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3.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4.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621E5C77-5763-412D-AB70-3FC4952F7E46}" xr6:coauthVersionLast="47" xr6:coauthVersionMax="47" xr10:uidLastSave="{00000000-0000-0000-0000-000000000000}"/>
  <bookViews>
    <workbookView xWindow="-120" yWindow="-120" windowWidth="29040" windowHeight="15840" tabRatio="904" xr2:uid="{00000000-000D-0000-FFFF-FFFF00000000}"/>
  </bookViews>
  <sheets>
    <sheet name="Cover" sheetId="43" r:id="rId1"/>
    <sheet name="Index" sheetId="44" r:id="rId2"/>
    <sheet name="OVERVIEW -&gt;" sheetId="88" r:id="rId3"/>
    <sheet name="Structure" sheetId="89" r:id="rId4"/>
    <sheet name="Summary" sheetId="57" r:id="rId5"/>
    <sheet name="Summary Detailed" sheetId="121" r:id="rId6"/>
    <sheet name="Summary Chart" sheetId="122" r:id="rId7"/>
    <sheet name="CHARTS -&gt;" sheetId="93" r:id="rId8"/>
    <sheet name="Res wo CL" sheetId="83" r:id="rId9"/>
    <sheet name="Res w CL" sheetId="119" r:id="rId10"/>
    <sheet name="SB wo CL" sheetId="120" r:id="rId11"/>
    <sheet name="DMO Zone prices -&gt;" sheetId="90" r:id="rId12"/>
    <sheet name="Ausgrid" sheetId="108" r:id="rId13"/>
    <sheet name="Endeavour" sheetId="113" r:id="rId14"/>
    <sheet name="Essential" sheetId="114" r:id="rId15"/>
    <sheet name="Energex" sheetId="115" r:id="rId16"/>
    <sheet name="SAPN" sheetId="116" r:id="rId17"/>
    <sheet name="COST CALCS -&gt;" sheetId="91" r:id="rId18"/>
    <sheet name="Network cost" sheetId="52" r:id="rId19"/>
    <sheet name="Wholesale cost" sheetId="66" r:id="rId20"/>
    <sheet name="Environmental cost" sheetId="68" r:id="rId21"/>
    <sheet name="Retail cost" sheetId="98" r:id="rId22"/>
    <sheet name="INPUTS -&gt;" sheetId="92" r:id="rId23"/>
    <sheet name="Key inputs" sheetId="78" r:id="rId24"/>
    <sheet name="Detail inputs" sheetId="58" r:id="rId25"/>
    <sheet name="Usage" sheetId="61" r:id="rId26"/>
    <sheet name="Lists" sheetId="60" state="hidden" r:id="rId27"/>
  </sheets>
  <definedNames>
    <definedName name="_xlnm._FilterDatabase" localSheetId="24" hidden="1">'Detail inputs'!$B$3:$N$195</definedName>
    <definedName name="_xlnm._FilterDatabase" localSheetId="3" hidden="1">Structure!$B$26:$C$26</definedName>
    <definedName name="_xlnm._FilterDatabase" localSheetId="4" hidden="1">Summary!$AF$32:$AF$32</definedName>
    <definedName name="_xlnm._FilterDatabase" localSheetId="25" hidden="1">Usage!$B$4:$M$4</definedName>
    <definedName name="CPI">'Key inputs'!$D$10</definedName>
    <definedName name="CPIPY">'Key inputs'!$D$9</definedName>
    <definedName name="Days">'Key inputs'!$D$11</definedName>
    <definedName name="FY">'Key inputs'!$D$6</definedName>
    <definedName name="GST">'Key inputs'!$D$13</definedName>
    <definedName name="PY">'Key inputs'!$D$7</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08" l="1"/>
  <c r="G37" i="78"/>
  <c r="I33" i="78" l="1"/>
  <c r="I32" i="78"/>
  <c r="I31" i="78"/>
  <c r="I30" i="78"/>
  <c r="I40" i="78" l="1"/>
  <c r="G40" i="78"/>
  <c r="I39" i="78"/>
  <c r="I38" i="78"/>
  <c r="G38" i="78"/>
  <c r="I37" i="78"/>
  <c r="I36" i="78"/>
  <c r="I35" i="78"/>
  <c r="I34" i="78"/>
  <c r="G34" i="78"/>
  <c r="I29" i="78" l="1"/>
  <c r="G29" i="78"/>
  <c r="I28" i="78"/>
  <c r="I27" i="78"/>
  <c r="G28" i="78"/>
  <c r="G27" i="78"/>
  <c r="I26" i="78"/>
  <c r="G26" i="78"/>
  <c r="I25" i="78"/>
  <c r="G25" i="78"/>
  <c r="G24" i="78"/>
  <c r="G23" i="78"/>
  <c r="G22" i="78"/>
  <c r="I24" i="78"/>
  <c r="I23" i="78"/>
  <c r="I22" i="78"/>
  <c r="AJ36" i="121" l="1"/>
  <c r="AJ30" i="121"/>
  <c r="AJ24" i="121"/>
  <c r="AJ18" i="121"/>
  <c r="AJ12" i="121"/>
  <c r="U36" i="121"/>
  <c r="U30" i="121"/>
  <c r="U24" i="121"/>
  <c r="U18" i="121"/>
  <c r="U12" i="121"/>
  <c r="F36" i="121"/>
  <c r="F30" i="121"/>
  <c r="F24" i="121"/>
  <c r="F18" i="121"/>
  <c r="F12" i="121"/>
  <c r="O177" i="68"/>
  <c r="O167" i="68"/>
  <c r="O157" i="68"/>
  <c r="O162" i="68" s="1"/>
  <c r="O148" i="68"/>
  <c r="O126" i="68"/>
  <c r="O131" i="68" s="1"/>
  <c r="O139" i="68"/>
  <c r="O135" i="68"/>
  <c r="H167" i="68"/>
  <c r="H162" i="68"/>
  <c r="H131" i="68"/>
  <c r="H135" i="68" s="1"/>
  <c r="H139" i="68" s="1"/>
  <c r="H107" i="68"/>
  <c r="H101" i="68"/>
  <c r="H95" i="68"/>
  <c r="H69" i="68"/>
  <c r="H63" i="68"/>
  <c r="H57" i="68"/>
  <c r="H31" i="68"/>
  <c r="H25" i="68"/>
  <c r="H19" i="68"/>
  <c r="O57" i="68"/>
  <c r="O95" i="68"/>
  <c r="O107" i="68"/>
  <c r="O101" i="68"/>
  <c r="O69" i="68"/>
  <c r="O63" i="68"/>
  <c r="O42" i="68"/>
  <c r="O31" i="68"/>
  <c r="O25" i="68"/>
  <c r="O19" i="68"/>
  <c r="S5" i="121" l="1"/>
  <c r="U5" i="121"/>
  <c r="W5" i="121"/>
  <c r="Y5" i="121"/>
  <c r="R17" i="121"/>
  <c r="R23" i="121" s="1"/>
  <c r="R29" i="121" s="1"/>
  <c r="R35" i="121" s="1"/>
  <c r="AH5" i="121"/>
  <c r="AJ5" i="121"/>
  <c r="AL5" i="121"/>
  <c r="AN5" i="121"/>
  <c r="AG17" i="121"/>
  <c r="B13" i="122" l="1"/>
  <c r="A2" i="121" l="1"/>
  <c r="D10" i="78" l="1"/>
  <c r="D133" i="52"/>
  <c r="C133" i="52"/>
  <c r="B133" i="52"/>
  <c r="J40" i="78" l="1"/>
  <c r="H40" i="78"/>
  <c r="F40" i="78"/>
  <c r="H39" i="78"/>
  <c r="J38" i="78"/>
  <c r="H38" i="78"/>
  <c r="F38" i="78"/>
  <c r="J37" i="78"/>
  <c r="H37" i="78"/>
  <c r="F37" i="78"/>
  <c r="H36" i="78"/>
  <c r="H35" i="78"/>
  <c r="J34" i="78"/>
  <c r="H34" i="78"/>
  <c r="F34" i="78"/>
  <c r="H33" i="78"/>
  <c r="H32" i="78"/>
  <c r="H31" i="78"/>
  <c r="H30" i="78"/>
  <c r="H29" i="78"/>
  <c r="F29" i="78"/>
  <c r="H28" i="78"/>
  <c r="F28" i="78"/>
  <c r="H27" i="78"/>
  <c r="F27" i="78"/>
  <c r="H26" i="78"/>
  <c r="F26" i="78"/>
  <c r="H25" i="78"/>
  <c r="F25" i="78"/>
  <c r="H24" i="78"/>
  <c r="F24" i="78"/>
  <c r="H23" i="78"/>
  <c r="F23" i="78"/>
  <c r="H22" i="78"/>
  <c r="F22" i="78"/>
  <c r="B14" i="122" l="1"/>
  <c r="P3" i="122"/>
  <c r="O3" i="122"/>
  <c r="M3" i="122"/>
  <c r="L3" i="122"/>
  <c r="J3" i="122"/>
  <c r="I3" i="122"/>
  <c r="G3" i="122"/>
  <c r="F3" i="122"/>
  <c r="D3" i="122"/>
  <c r="C3" i="122"/>
  <c r="C10" i="78" l="1"/>
  <c r="I153" i="98"/>
  <c r="P153" i="98"/>
  <c r="P143" i="98"/>
  <c r="I143" i="98"/>
  <c r="P133" i="98"/>
  <c r="I133" i="98"/>
  <c r="P123" i="98"/>
  <c r="I123" i="98"/>
  <c r="I113" i="98"/>
  <c r="P113" i="98"/>
  <c r="P103" i="98"/>
  <c r="I103" i="98"/>
  <c r="I93" i="98"/>
  <c r="P93" i="98"/>
  <c r="P83" i="98"/>
  <c r="I83" i="98"/>
  <c r="P73" i="98"/>
  <c r="I73" i="98"/>
  <c r="P63" i="98"/>
  <c r="I63" i="98"/>
  <c r="P53" i="98"/>
  <c r="I53" i="98"/>
  <c r="P43" i="98"/>
  <c r="I43" i="98"/>
  <c r="P33" i="98"/>
  <c r="I33" i="98"/>
  <c r="P23" i="98"/>
  <c r="I23" i="98"/>
  <c r="P13" i="98"/>
  <c r="I13" i="98"/>
  <c r="H177" i="68"/>
  <c r="H157" i="68"/>
  <c r="H148" i="68"/>
  <c r="H126" i="68"/>
  <c r="O118" i="68"/>
  <c r="H118" i="68"/>
  <c r="O90" i="68"/>
  <c r="H90" i="68"/>
  <c r="O80" i="68"/>
  <c r="H80" i="68"/>
  <c r="O52" i="68"/>
  <c r="H52" i="68"/>
  <c r="H42" i="68"/>
  <c r="O14" i="68"/>
  <c r="H14" i="68"/>
  <c r="B20" i="61" l="1"/>
  <c r="C25" i="61"/>
  <c r="B31" i="61"/>
  <c r="D9" i="78"/>
  <c r="C9" i="78"/>
  <c r="M39" i="61" l="1"/>
  <c r="K38" i="61"/>
  <c r="C37" i="61"/>
  <c r="E36" i="61"/>
  <c r="M36" i="61"/>
  <c r="E37" i="61"/>
  <c r="M40" i="61"/>
  <c r="E40" i="61"/>
  <c r="H39" i="61"/>
  <c r="H40" i="61"/>
  <c r="I38" i="61"/>
  <c r="K37" i="61"/>
  <c r="E38" i="61"/>
  <c r="I36" i="61"/>
  <c r="K39" i="61"/>
  <c r="C36" i="61"/>
  <c r="E39" i="61"/>
  <c r="I37" i="61"/>
  <c r="K40" i="61"/>
  <c r="C38" i="61"/>
  <c r="H36" i="61"/>
  <c r="I39" i="61"/>
  <c r="M37" i="61"/>
  <c r="C39" i="61"/>
  <c r="H37" i="61"/>
  <c r="I40" i="61"/>
  <c r="M38" i="61"/>
  <c r="C40" i="61"/>
  <c r="H38" i="61"/>
  <c r="K36" i="61"/>
  <c r="B12" i="122"/>
  <c r="B11" i="122"/>
  <c r="B10" i="122"/>
  <c r="AG23" i="121"/>
  <c r="AG29" i="121" s="1"/>
  <c r="AG35" i="121" s="1"/>
  <c r="C17" i="121"/>
  <c r="C23" i="121" s="1"/>
  <c r="C29" i="121" s="1"/>
  <c r="C35" i="121" s="1"/>
  <c r="C14" i="61"/>
  <c r="N120" i="58"/>
  <c r="N121" i="58"/>
  <c r="N95" i="58"/>
  <c r="N67" i="58"/>
  <c r="N39" i="58"/>
  <c r="N40" i="58"/>
  <c r="N138" i="58"/>
  <c r="N137" i="58"/>
  <c r="N136" i="58"/>
  <c r="N135" i="58"/>
  <c r="N134" i="58"/>
  <c r="N111" i="58"/>
  <c r="N110" i="58"/>
  <c r="N109" i="58"/>
  <c r="N108" i="58"/>
  <c r="N107" i="58"/>
  <c r="N85" i="58"/>
  <c r="N84" i="58"/>
  <c r="N83" i="58"/>
  <c r="N82" i="58"/>
  <c r="N81" i="58"/>
  <c r="N57" i="58"/>
  <c r="N56" i="58"/>
  <c r="N55" i="58"/>
  <c r="N54" i="58"/>
  <c r="N53" i="58"/>
  <c r="N28" i="58"/>
  <c r="N29" i="58"/>
  <c r="N11" i="58"/>
  <c r="N12" i="58"/>
  <c r="N13" i="58"/>
  <c r="N119" i="58" l="1"/>
  <c r="N94" i="58"/>
  <c r="N66" i="58"/>
  <c r="N38" i="58"/>
  <c r="N10" i="58"/>
  <c r="J44" i="119"/>
  <c r="C119" i="58" l="1"/>
  <c r="B119" i="58"/>
  <c r="C94" i="58"/>
  <c r="B94" i="58"/>
  <c r="C66" i="58"/>
  <c r="B66" i="58"/>
  <c r="B38" i="58"/>
  <c r="C38" i="58"/>
  <c r="C10" i="58"/>
  <c r="O17" i="78" l="1"/>
  <c r="N17" i="78"/>
  <c r="M17" i="78"/>
  <c r="L17" i="78"/>
  <c r="U9" i="57" l="1"/>
  <c r="U10" i="57" s="1"/>
  <c r="U11" i="57" s="1"/>
  <c r="U12" i="57" s="1"/>
  <c r="U13" i="57" s="1"/>
  <c r="U15" i="57"/>
  <c r="U16" i="57" s="1"/>
  <c r="U17" i="57" s="1"/>
  <c r="U18" i="57" s="1"/>
  <c r="U19" i="57" s="1"/>
  <c r="U21" i="57"/>
  <c r="U22" i="57" s="1"/>
  <c r="U23" i="57" s="1"/>
  <c r="U24" i="57" s="1"/>
  <c r="U25" i="57" s="1"/>
  <c r="C19" i="98" l="1"/>
  <c r="C20" i="98" s="1"/>
  <c r="C21" i="98" s="1"/>
  <c r="C138" i="58"/>
  <c r="C137" i="58"/>
  <c r="C111" i="58"/>
  <c r="C110" i="58"/>
  <c r="C85" i="58"/>
  <c r="C84" i="58"/>
  <c r="C57" i="58"/>
  <c r="C56" i="58"/>
  <c r="C29" i="58"/>
  <c r="C28" i="58"/>
  <c r="C22" i="98" l="1"/>
  <c r="C23" i="98" s="1"/>
  <c r="C24" i="98" s="1"/>
  <c r="C17" i="57" l="1"/>
  <c r="C23" i="57" s="1"/>
  <c r="C29" i="57" s="1"/>
  <c r="C35" i="57" s="1"/>
  <c r="B88" i="52" l="1"/>
  <c r="C88" i="52"/>
  <c r="D88" i="52"/>
  <c r="B89" i="52"/>
  <c r="C89" i="52"/>
  <c r="D89" i="52"/>
  <c r="B60" i="52"/>
  <c r="C60" i="52"/>
  <c r="D60" i="52"/>
  <c r="C27" i="61" l="1"/>
  <c r="C16" i="61" s="1"/>
  <c r="M16" i="61"/>
  <c r="K16" i="61"/>
  <c r="I17" i="61"/>
  <c r="I15" i="61"/>
  <c r="H14" i="61"/>
  <c r="E16" i="61"/>
  <c r="C18" i="61"/>
  <c r="C12" i="116" s="1" a="1"/>
  <c r="C12" i="116" s="1"/>
  <c r="K25" i="61"/>
  <c r="G14" i="61"/>
  <c r="G15" i="61"/>
  <c r="G16" i="61"/>
  <c r="G17" i="61"/>
  <c r="G18" i="61"/>
  <c r="F15" i="61"/>
  <c r="F16" i="61"/>
  <c r="F17" i="61"/>
  <c r="F18" i="61"/>
  <c r="F14" i="61"/>
  <c r="M29" i="61"/>
  <c r="M18" i="61" s="1"/>
  <c r="M28" i="61"/>
  <c r="M27" i="61"/>
  <c r="M26" i="61"/>
  <c r="M25" i="61"/>
  <c r="K29" i="61"/>
  <c r="K18" i="61" s="1"/>
  <c r="K28" i="61"/>
  <c r="K27" i="61"/>
  <c r="K26" i="61"/>
  <c r="J29" i="61"/>
  <c r="J28" i="61"/>
  <c r="J17" i="61" s="1"/>
  <c r="J27" i="61"/>
  <c r="J26" i="61"/>
  <c r="J25" i="61"/>
  <c r="I29" i="61"/>
  <c r="I18" i="61" s="1"/>
  <c r="I28" i="61"/>
  <c r="I27" i="61"/>
  <c r="I16" i="61" s="1"/>
  <c r="I26" i="61"/>
  <c r="I25" i="61"/>
  <c r="I14" i="61" s="1"/>
  <c r="H29" i="61"/>
  <c r="H18" i="61" s="1"/>
  <c r="H28" i="61"/>
  <c r="H17" i="61" s="1"/>
  <c r="H27" i="61"/>
  <c r="H16" i="61" s="1"/>
  <c r="H26" i="61"/>
  <c r="H15" i="61" s="1"/>
  <c r="H25" i="61"/>
  <c r="E29" i="61"/>
  <c r="E18" i="61" s="1"/>
  <c r="E28" i="61"/>
  <c r="E17" i="61" s="1"/>
  <c r="E27" i="61"/>
  <c r="E26" i="61"/>
  <c r="E15" i="61" s="1"/>
  <c r="E25" i="61"/>
  <c r="E14" i="61" s="1"/>
  <c r="C26" i="61"/>
  <c r="C28" i="61"/>
  <c r="C29" i="61"/>
  <c r="J39" i="61"/>
  <c r="J36" i="61"/>
  <c r="J40" i="61"/>
  <c r="J18" i="61" s="1"/>
  <c r="J38" i="61"/>
  <c r="J37" i="61"/>
  <c r="C20" i="61"/>
  <c r="B52" i="61"/>
  <c r="B51" i="61"/>
  <c r="B50" i="61"/>
  <c r="B49" i="61"/>
  <c r="B48" i="61"/>
  <c r="C31" i="61"/>
  <c r="J16" i="61" l="1"/>
  <c r="J14" i="61"/>
  <c r="J15" i="61"/>
  <c r="K14" i="61"/>
  <c r="M17" i="61"/>
  <c r="K15" i="61"/>
  <c r="C17" i="61"/>
  <c r="K17" i="61"/>
  <c r="C15" i="61"/>
  <c r="M14" i="61"/>
  <c r="M15" i="61"/>
  <c r="G133" i="52"/>
  <c r="E133" i="52"/>
  <c r="F88" i="52" l="1" a="1"/>
  <c r="F88" i="52" s="1"/>
  <c r="L3" i="58"/>
  <c r="M3" i="58"/>
  <c r="N4" i="58"/>
  <c r="N5" i="58"/>
  <c r="N6" i="58"/>
  <c r="N7" i="58"/>
  <c r="N8" i="58"/>
  <c r="N9" i="58"/>
  <c r="N14" i="58"/>
  <c r="N15" i="58"/>
  <c r="N16" i="58"/>
  <c r="N17" i="58"/>
  <c r="N18" i="58"/>
  <c r="N19" i="58"/>
  <c r="N20" i="58"/>
  <c r="N21" i="58"/>
  <c r="N22" i="58"/>
  <c r="N23" i="58"/>
  <c r="N24" i="58"/>
  <c r="N25" i="58"/>
  <c r="N26" i="58"/>
  <c r="N27" i="58"/>
  <c r="N30" i="58"/>
  <c r="N31" i="58"/>
  <c r="N32" i="58"/>
  <c r="N33" i="58"/>
  <c r="N36" i="58"/>
  <c r="N37" i="58"/>
  <c r="N41" i="58"/>
  <c r="N42" i="58"/>
  <c r="N43" i="58"/>
  <c r="N44" i="58"/>
  <c r="N45" i="58"/>
  <c r="N46" i="58"/>
  <c r="N47" i="58"/>
  <c r="N48" i="58"/>
  <c r="N49" i="58"/>
  <c r="N50" i="58"/>
  <c r="N51" i="58"/>
  <c r="N52" i="58"/>
  <c r="N58" i="58"/>
  <c r="N59" i="58"/>
  <c r="N60" i="58"/>
  <c r="N61" i="58"/>
  <c r="N64" i="58"/>
  <c r="N65" i="58"/>
  <c r="N68" i="58"/>
  <c r="N69" i="58"/>
  <c r="N70" i="58"/>
  <c r="N71" i="58"/>
  <c r="N72" i="58"/>
  <c r="N73" i="58"/>
  <c r="N74" i="58"/>
  <c r="N75" i="58"/>
  <c r="N76" i="58"/>
  <c r="N77" i="58"/>
  <c r="N78" i="58"/>
  <c r="N79" i="58"/>
  <c r="N80" i="58"/>
  <c r="N86" i="58"/>
  <c r="N87" i="58"/>
  <c r="N88" i="58"/>
  <c r="N89" i="58"/>
  <c r="N90" i="58"/>
  <c r="N92" i="58"/>
  <c r="N93" i="58"/>
  <c r="N96" i="58"/>
  <c r="N97" i="58"/>
  <c r="N98" i="58"/>
  <c r="N99" i="58"/>
  <c r="N100" i="58"/>
  <c r="N101" i="58"/>
  <c r="N102" i="58"/>
  <c r="N103" i="58"/>
  <c r="N104" i="58"/>
  <c r="N105" i="58"/>
  <c r="N106" i="58"/>
  <c r="N112" i="58"/>
  <c r="N113" i="58"/>
  <c r="N114" i="58"/>
  <c r="N115" i="58"/>
  <c r="N117" i="58"/>
  <c r="N118" i="58"/>
  <c r="N122" i="58"/>
  <c r="N123" i="58"/>
  <c r="N124" i="58"/>
  <c r="N125" i="58"/>
  <c r="N126" i="58"/>
  <c r="N127" i="58"/>
  <c r="N128" i="58"/>
  <c r="N129" i="58"/>
  <c r="N130" i="58"/>
  <c r="N131" i="58"/>
  <c r="N132" i="58"/>
  <c r="N133" i="58"/>
  <c r="N139" i="58"/>
  <c r="N140" i="58"/>
  <c r="B37" i="61" l="1"/>
  <c r="B38" i="61"/>
  <c r="B39" i="61"/>
  <c r="B40" i="61"/>
  <c r="B36" i="61"/>
  <c r="C9" i="61" l="1"/>
  <c r="N116" i="58" l="1"/>
  <c r="N91" i="58"/>
  <c r="N62" i="58"/>
  <c r="N63" i="58"/>
  <c r="N35" i="58"/>
  <c r="N34" i="58"/>
  <c r="C140" i="58" l="1"/>
  <c r="C139" i="58"/>
  <c r="B140" i="58"/>
  <c r="C113" i="58"/>
  <c r="C112" i="58"/>
  <c r="B113" i="58"/>
  <c r="C87" i="58"/>
  <c r="C86" i="58"/>
  <c r="B87" i="58"/>
  <c r="C59" i="58"/>
  <c r="C58" i="58"/>
  <c r="C31" i="58"/>
  <c r="C30" i="58"/>
  <c r="D140" i="52" l="1"/>
  <c r="D141" i="52" s="1"/>
  <c r="D142" i="52" s="1"/>
  <c r="D143" i="52" s="1"/>
  <c r="D144" i="52" s="1"/>
  <c r="C140" i="52"/>
  <c r="C141" i="52" s="1"/>
  <c r="C142" i="52" s="1"/>
  <c r="C143" i="52" s="1"/>
  <c r="C144" i="52" s="1"/>
  <c r="B140" i="52"/>
  <c r="B141" i="52" s="1"/>
  <c r="B142" i="52" s="1"/>
  <c r="B143" i="52" s="1"/>
  <c r="B144" i="52" s="1"/>
  <c r="N49" i="52"/>
  <c r="W5" i="57" l="1"/>
  <c r="T9" i="57" l="1"/>
  <c r="V4" i="57"/>
  <c r="T15" i="57"/>
  <c r="T16" i="57" s="1"/>
  <c r="T17" i="57" s="1"/>
  <c r="T18" i="57" s="1"/>
  <c r="T19" i="57" s="1"/>
  <c r="T21" i="57"/>
  <c r="T22" i="57" s="1"/>
  <c r="T23" i="57" s="1"/>
  <c r="T24" i="57" s="1"/>
  <c r="T25" i="57" s="1"/>
  <c r="M4" i="57"/>
  <c r="M8" i="57"/>
  <c r="M14" i="57"/>
  <c r="M20" i="57"/>
  <c r="T10" i="57" l="1"/>
  <c r="T11" i="57" s="1"/>
  <c r="T12" i="57" s="1"/>
  <c r="T13" i="57" s="1"/>
  <c r="G68" i="58" l="1"/>
  <c r="G34" i="66"/>
  <c r="G47" i="66" s="1"/>
  <c r="G105" i="66" s="1"/>
  <c r="G118" i="66" s="1"/>
  <c r="G26" i="66"/>
  <c r="C40" i="58"/>
  <c r="C96" i="58"/>
  <c r="C68" i="58"/>
  <c r="C12" i="58"/>
  <c r="C121" i="58"/>
  <c r="G96" i="58" l="1"/>
  <c r="G59" i="66"/>
  <c r="G72" i="66" s="1"/>
  <c r="G80" i="66" s="1"/>
  <c r="G93" i="66"/>
  <c r="G126" i="66"/>
  <c r="G139" i="66" s="1"/>
  <c r="G121" i="58" l="1"/>
  <c r="G151" i="66"/>
  <c r="G164" i="66"/>
  <c r="G172" i="66" s="1"/>
  <c r="G185" i="66" s="1"/>
  <c r="G197" i="66" s="1"/>
  <c r="G211" i="66" s="1"/>
  <c r="G225" i="66" s="1"/>
  <c r="B74" i="120" l="1"/>
  <c r="B75" i="120" s="1"/>
  <c r="B76" i="120" s="1"/>
  <c r="A73" i="120"/>
  <c r="B67" i="120"/>
  <c r="B68" i="120" s="1"/>
  <c r="A66" i="120"/>
  <c r="B60" i="120"/>
  <c r="B61" i="120" s="1"/>
  <c r="B62" i="120" s="1"/>
  <c r="A59" i="120"/>
  <c r="B53" i="120"/>
  <c r="B54" i="120" s="1"/>
  <c r="B55" i="120" s="1"/>
  <c r="B56" i="120" s="1"/>
  <c r="A52" i="120"/>
  <c r="B46" i="120"/>
  <c r="A45" i="120"/>
  <c r="J44" i="120"/>
  <c r="D44" i="120"/>
  <c r="B74" i="119"/>
  <c r="B75" i="119" s="1"/>
  <c r="B76" i="119" s="1"/>
  <c r="A73" i="119"/>
  <c r="B67" i="119"/>
  <c r="B68" i="119" s="1"/>
  <c r="A66" i="119"/>
  <c r="B60" i="119"/>
  <c r="B61" i="119" s="1"/>
  <c r="A59" i="119"/>
  <c r="B53" i="119"/>
  <c r="B54" i="119" s="1"/>
  <c r="B55" i="119" s="1"/>
  <c r="B56" i="119" s="1"/>
  <c r="A52" i="119"/>
  <c r="B46" i="119"/>
  <c r="A45" i="119"/>
  <c r="D44" i="119"/>
  <c r="D97" i="52"/>
  <c r="C97" i="52"/>
  <c r="B97" i="52"/>
  <c r="B69" i="120" l="1"/>
  <c r="B57" i="120"/>
  <c r="B58" i="120"/>
  <c r="B77" i="120"/>
  <c r="B47" i="120"/>
  <c r="B63" i="120"/>
  <c r="B62" i="119"/>
  <c r="B57" i="119"/>
  <c r="B58" i="119"/>
  <c r="B77" i="119"/>
  <c r="B69" i="119"/>
  <c r="B47" i="119"/>
  <c r="B74" i="83"/>
  <c r="B75" i="83" s="1"/>
  <c r="B76" i="83" s="1"/>
  <c r="B77" i="83" s="1"/>
  <c r="B67" i="83"/>
  <c r="B68" i="83" s="1"/>
  <c r="B69" i="83" s="1"/>
  <c r="B70" i="83" s="1"/>
  <c r="B60" i="83"/>
  <c r="B61" i="83" s="1"/>
  <c r="B62" i="83" s="1"/>
  <c r="B63" i="83" s="1"/>
  <c r="B53" i="83"/>
  <c r="B54" i="83" s="1"/>
  <c r="B55" i="83" s="1"/>
  <c r="B56" i="83" s="1"/>
  <c r="B48" i="120" l="1"/>
  <c r="B78" i="120"/>
  <c r="B79" i="120"/>
  <c r="B70" i="120"/>
  <c r="B64" i="120"/>
  <c r="B65" i="120"/>
  <c r="B78" i="119"/>
  <c r="B79" i="119"/>
  <c r="B63" i="119"/>
  <c r="B70" i="119"/>
  <c r="B48" i="119"/>
  <c r="B79" i="83"/>
  <c r="B78" i="83"/>
  <c r="B72" i="83"/>
  <c r="B71" i="83"/>
  <c r="B65" i="83"/>
  <c r="B64" i="83"/>
  <c r="B58" i="83"/>
  <c r="B57" i="83"/>
  <c r="B72" i="120" l="1"/>
  <c r="B71" i="120"/>
  <c r="B49" i="120"/>
  <c r="B49" i="119"/>
  <c r="B64" i="119"/>
  <c r="B65" i="119"/>
  <c r="B72" i="119"/>
  <c r="B71" i="119"/>
  <c r="B51" i="120" l="1"/>
  <c r="B50" i="120"/>
  <c r="B50" i="119"/>
  <c r="B51" i="119"/>
  <c r="F38" i="116" l="1"/>
  <c r="F32" i="116"/>
  <c r="AD29" i="116"/>
  <c r="AD25" i="116" s="1"/>
  <c r="AA29" i="116"/>
  <c r="AB25" i="116" s="1"/>
  <c r="U29" i="116"/>
  <c r="V25" i="116" s="1"/>
  <c r="R29" i="116"/>
  <c r="R25" i="116" s="1"/>
  <c r="L29" i="116"/>
  <c r="O25" i="116" s="1"/>
  <c r="I29" i="116"/>
  <c r="J25" i="116" s="1"/>
  <c r="AG24" i="116"/>
  <c r="AF24" i="116"/>
  <c r="AE24" i="116"/>
  <c r="AD24" i="116"/>
  <c r="AB24" i="116"/>
  <c r="AA24" i="116"/>
  <c r="Z24" i="116"/>
  <c r="X24" i="116"/>
  <c r="W24" i="116"/>
  <c r="V24" i="116"/>
  <c r="U24" i="116"/>
  <c r="S24" i="116"/>
  <c r="R24" i="116"/>
  <c r="Q24" i="116"/>
  <c r="O24" i="116"/>
  <c r="N24" i="116"/>
  <c r="M24" i="116"/>
  <c r="L24" i="116"/>
  <c r="J24" i="116"/>
  <c r="I24" i="116"/>
  <c r="H24" i="116"/>
  <c r="AG23" i="116"/>
  <c r="AF23" i="116"/>
  <c r="AE23" i="116"/>
  <c r="AD23" i="116"/>
  <c r="AB23" i="116"/>
  <c r="AA23" i="116"/>
  <c r="Z23" i="116"/>
  <c r="X23" i="116"/>
  <c r="W23" i="116"/>
  <c r="V23" i="116"/>
  <c r="U23" i="116"/>
  <c r="S23" i="116"/>
  <c r="R23" i="116"/>
  <c r="Q23" i="116"/>
  <c r="O23" i="116"/>
  <c r="N23" i="116"/>
  <c r="M23" i="116"/>
  <c r="L23" i="116"/>
  <c r="J23" i="116"/>
  <c r="I23" i="116"/>
  <c r="H23" i="116"/>
  <c r="B16" i="116"/>
  <c r="B15" i="116"/>
  <c r="B9" i="116"/>
  <c r="B6" i="116"/>
  <c r="E3" i="116"/>
  <c r="D3" i="116"/>
  <c r="C3" i="116"/>
  <c r="F38" i="115"/>
  <c r="F32" i="115"/>
  <c r="AD29" i="115"/>
  <c r="AD25" i="115" s="1"/>
  <c r="AA29" i="115"/>
  <c r="AB25" i="115" s="1"/>
  <c r="U29" i="115"/>
  <c r="X25" i="115" s="1"/>
  <c r="R29" i="115"/>
  <c r="R25" i="115" s="1"/>
  <c r="L29" i="115"/>
  <c r="L25" i="115" s="1"/>
  <c r="I29" i="115"/>
  <c r="J25" i="115" s="1"/>
  <c r="AG24" i="115"/>
  <c r="AF24" i="115"/>
  <c r="AE24" i="115"/>
  <c r="AD24" i="115"/>
  <c r="AB24" i="115"/>
  <c r="AA24" i="115"/>
  <c r="Z24" i="115"/>
  <c r="X24" i="115"/>
  <c r="W24" i="115"/>
  <c r="V24" i="115"/>
  <c r="U24" i="115"/>
  <c r="S24" i="115"/>
  <c r="R24" i="115"/>
  <c r="Q24" i="115"/>
  <c r="O24" i="115"/>
  <c r="N24" i="115"/>
  <c r="M24" i="115"/>
  <c r="L24" i="115"/>
  <c r="J24" i="115"/>
  <c r="I24" i="115"/>
  <c r="H24" i="115"/>
  <c r="AG23" i="115"/>
  <c r="AF23" i="115"/>
  <c r="AE23" i="115"/>
  <c r="AD23" i="115"/>
  <c r="AB23" i="115"/>
  <c r="AA23" i="115"/>
  <c r="Z23" i="115"/>
  <c r="X23" i="115"/>
  <c r="W23" i="115"/>
  <c r="V23" i="115"/>
  <c r="U23" i="115"/>
  <c r="S23" i="115"/>
  <c r="R23" i="115"/>
  <c r="Q23" i="115"/>
  <c r="O23" i="115"/>
  <c r="N23" i="115"/>
  <c r="M23" i="115"/>
  <c r="L23" i="115"/>
  <c r="J23" i="115"/>
  <c r="I23" i="115"/>
  <c r="H23" i="115"/>
  <c r="B16" i="115"/>
  <c r="B15" i="115"/>
  <c r="B9" i="115"/>
  <c r="B6" i="115"/>
  <c r="E3" i="115"/>
  <c r="D3" i="115"/>
  <c r="C3" i="115"/>
  <c r="F38" i="114"/>
  <c r="F32" i="114"/>
  <c r="AD29" i="114"/>
  <c r="AD25" i="114" s="1"/>
  <c r="AA29" i="114"/>
  <c r="U29" i="114"/>
  <c r="X25" i="114" s="1"/>
  <c r="R29" i="114"/>
  <c r="R25" i="114" s="1"/>
  <c r="L29" i="114"/>
  <c r="M25" i="114" s="1"/>
  <c r="I29" i="114"/>
  <c r="J25" i="114" s="1"/>
  <c r="AG24" i="114"/>
  <c r="AF24" i="114"/>
  <c r="AE24" i="114"/>
  <c r="AD24" i="114"/>
  <c r="AB24" i="114"/>
  <c r="AA24" i="114"/>
  <c r="Z24" i="114"/>
  <c r="X24" i="114"/>
  <c r="W24" i="114"/>
  <c r="V24" i="114"/>
  <c r="U24" i="114"/>
  <c r="S24" i="114"/>
  <c r="R24" i="114"/>
  <c r="Q24" i="114"/>
  <c r="O24" i="114"/>
  <c r="N24" i="114"/>
  <c r="M24" i="114"/>
  <c r="L24" i="114"/>
  <c r="J24" i="114"/>
  <c r="I24" i="114"/>
  <c r="H24" i="114"/>
  <c r="AG23" i="114"/>
  <c r="AF23" i="114"/>
  <c r="AE23" i="114"/>
  <c r="AD23" i="114"/>
  <c r="AB23" i="114"/>
  <c r="AA23" i="114"/>
  <c r="Z23" i="114"/>
  <c r="X23" i="114"/>
  <c r="W23" i="114"/>
  <c r="V23" i="114"/>
  <c r="U23" i="114"/>
  <c r="S23" i="114"/>
  <c r="R23" i="114"/>
  <c r="Q23" i="114"/>
  <c r="O23" i="114"/>
  <c r="N23" i="114"/>
  <c r="M23" i="114"/>
  <c r="L23" i="114"/>
  <c r="J23" i="114"/>
  <c r="I23" i="114"/>
  <c r="H23" i="114"/>
  <c r="B16" i="114"/>
  <c r="B15" i="114"/>
  <c r="B9" i="114"/>
  <c r="B6" i="114"/>
  <c r="E3" i="114"/>
  <c r="D3" i="114"/>
  <c r="C3" i="114"/>
  <c r="F38" i="113"/>
  <c r="F32" i="113"/>
  <c r="AD29" i="113"/>
  <c r="AD25" i="113" s="1"/>
  <c r="AA29" i="113"/>
  <c r="AB25" i="113" s="1"/>
  <c r="U29" i="113"/>
  <c r="X25" i="113" s="1"/>
  <c r="R29" i="113"/>
  <c r="R25" i="113" s="1"/>
  <c r="L29" i="113"/>
  <c r="M25" i="113" s="1"/>
  <c r="I29" i="113"/>
  <c r="AG24" i="113"/>
  <c r="AF24" i="113"/>
  <c r="AE24" i="113"/>
  <c r="AD24" i="113"/>
  <c r="AB24" i="113"/>
  <c r="AA24" i="113"/>
  <c r="Z24" i="113"/>
  <c r="X24" i="113"/>
  <c r="W24" i="113"/>
  <c r="V24" i="113"/>
  <c r="U24" i="113"/>
  <c r="S24" i="113"/>
  <c r="R24" i="113"/>
  <c r="Q24" i="113"/>
  <c r="O24" i="113"/>
  <c r="N24" i="113"/>
  <c r="M24" i="113"/>
  <c r="L24" i="113"/>
  <c r="J24" i="113"/>
  <c r="I24" i="113"/>
  <c r="H24" i="113"/>
  <c r="AG23" i="113"/>
  <c r="AF23" i="113"/>
  <c r="AE23" i="113"/>
  <c r="AD23" i="113"/>
  <c r="AB23" i="113"/>
  <c r="AA23" i="113"/>
  <c r="Z23" i="113"/>
  <c r="X23" i="113"/>
  <c r="W23" i="113"/>
  <c r="V23" i="113"/>
  <c r="U23" i="113"/>
  <c r="S23" i="113"/>
  <c r="R23" i="113"/>
  <c r="Q23" i="113"/>
  <c r="O23" i="113"/>
  <c r="N23" i="113"/>
  <c r="M23" i="113"/>
  <c r="L23" i="113"/>
  <c r="J23" i="113"/>
  <c r="I23" i="113"/>
  <c r="H23" i="113"/>
  <c r="B16" i="113"/>
  <c r="B15" i="113"/>
  <c r="B9" i="113"/>
  <c r="B6" i="113"/>
  <c r="E3" i="113"/>
  <c r="D3" i="113"/>
  <c r="C3" i="113"/>
  <c r="F19" i="78"/>
  <c r="AB25" i="114" l="1"/>
  <c r="J25" i="113"/>
  <c r="I25" i="113"/>
  <c r="S25" i="116"/>
  <c r="U25" i="116"/>
  <c r="X25" i="116"/>
  <c r="I25" i="116"/>
  <c r="AA25" i="116"/>
  <c r="L25" i="116"/>
  <c r="W25" i="116"/>
  <c r="M25" i="116"/>
  <c r="I25" i="115"/>
  <c r="M25" i="115"/>
  <c r="N25" i="115"/>
  <c r="O25" i="115"/>
  <c r="AE25" i="116"/>
  <c r="AA25" i="115"/>
  <c r="AG25" i="116"/>
  <c r="AF25" i="116"/>
  <c r="N25" i="116"/>
  <c r="L25" i="114"/>
  <c r="N25" i="114"/>
  <c r="U25" i="115"/>
  <c r="AF25" i="115"/>
  <c r="O25" i="114"/>
  <c r="AA25" i="114"/>
  <c r="V25" i="115"/>
  <c r="AG25" i="115"/>
  <c r="S25" i="115"/>
  <c r="W25" i="115"/>
  <c r="AE25" i="115"/>
  <c r="N25" i="113"/>
  <c r="S25" i="114"/>
  <c r="AE25" i="114"/>
  <c r="O25" i="113"/>
  <c r="I25" i="114"/>
  <c r="U25" i="114"/>
  <c r="AF25" i="114"/>
  <c r="AA25" i="113"/>
  <c r="V25" i="114"/>
  <c r="AG25" i="114"/>
  <c r="W25" i="114"/>
  <c r="L25" i="113"/>
  <c r="U25" i="113"/>
  <c r="AF25" i="113"/>
  <c r="V25" i="113"/>
  <c r="AG25" i="113"/>
  <c r="S25" i="113"/>
  <c r="W25" i="113"/>
  <c r="AE25" i="113"/>
  <c r="F38" i="108" l="1"/>
  <c r="AD29" i="108"/>
  <c r="AG25" i="108" s="1"/>
  <c r="AA29" i="108"/>
  <c r="AB25" i="108" s="1"/>
  <c r="U29" i="108"/>
  <c r="X25" i="108" s="1"/>
  <c r="R29" i="108"/>
  <c r="S25" i="108" s="1"/>
  <c r="L29" i="108"/>
  <c r="I29" i="108"/>
  <c r="J25" i="108" s="1"/>
  <c r="AG24" i="108"/>
  <c r="AF24" i="108"/>
  <c r="AE24" i="108"/>
  <c r="AD24" i="108"/>
  <c r="AB24" i="108"/>
  <c r="AA24" i="108"/>
  <c r="Z24" i="108"/>
  <c r="X24" i="108"/>
  <c r="W24" i="108"/>
  <c r="V24" i="108"/>
  <c r="U24" i="108"/>
  <c r="S24" i="108"/>
  <c r="R24" i="108"/>
  <c r="Q24" i="108"/>
  <c r="O24" i="108"/>
  <c r="N24" i="108"/>
  <c r="M24" i="108"/>
  <c r="L24" i="108"/>
  <c r="J24" i="108"/>
  <c r="I24" i="108"/>
  <c r="H24" i="108"/>
  <c r="AG23" i="108"/>
  <c r="AF23" i="108"/>
  <c r="AE23" i="108"/>
  <c r="AD23" i="108"/>
  <c r="AB23" i="108"/>
  <c r="AA23" i="108"/>
  <c r="Z23" i="108"/>
  <c r="X23" i="108"/>
  <c r="W23" i="108"/>
  <c r="V23" i="108"/>
  <c r="U23" i="108"/>
  <c r="S23" i="108"/>
  <c r="R23" i="108"/>
  <c r="Q23" i="108"/>
  <c r="O23" i="108"/>
  <c r="N23" i="108"/>
  <c r="M23" i="108"/>
  <c r="L23" i="108"/>
  <c r="J23" i="108"/>
  <c r="I23" i="108"/>
  <c r="H23" i="108"/>
  <c r="B16" i="108"/>
  <c r="B15" i="108"/>
  <c r="B9" i="108"/>
  <c r="B6" i="108"/>
  <c r="E3" i="108"/>
  <c r="D3" i="108"/>
  <c r="C3" i="108"/>
  <c r="O25" i="108" l="1"/>
  <c r="M25" i="108"/>
  <c r="I25" i="108"/>
  <c r="AA25" i="108"/>
  <c r="AE25" i="108"/>
  <c r="L25" i="108"/>
  <c r="N25" i="108"/>
  <c r="R25" i="108"/>
  <c r="AD25" i="108"/>
  <c r="U25" i="108"/>
  <c r="AF25" i="108"/>
  <c r="V25" i="108"/>
  <c r="W25" i="108"/>
  <c r="B19" i="98" l="1"/>
  <c r="B10" i="52"/>
  <c r="B11" i="52"/>
  <c r="B12" i="52"/>
  <c r="B13" i="52"/>
  <c r="C129" i="52"/>
  <c r="D129" i="52"/>
  <c r="C130" i="52"/>
  <c r="D130" i="52"/>
  <c r="C131" i="52"/>
  <c r="D131" i="52"/>
  <c r="C132" i="52"/>
  <c r="D132" i="52"/>
  <c r="C134" i="52"/>
  <c r="D134" i="52"/>
  <c r="C135" i="52"/>
  <c r="D135" i="52"/>
  <c r="C136" i="52"/>
  <c r="D136" i="52"/>
  <c r="C137" i="52"/>
  <c r="D137" i="52"/>
  <c r="B129" i="52"/>
  <c r="B130" i="52"/>
  <c r="B131" i="52"/>
  <c r="B132" i="52"/>
  <c r="B134" i="52"/>
  <c r="B135" i="52"/>
  <c r="B136" i="52"/>
  <c r="B137" i="52"/>
  <c r="C122" i="52"/>
  <c r="D122" i="52"/>
  <c r="C123" i="52"/>
  <c r="D123" i="52"/>
  <c r="C124" i="52"/>
  <c r="D124" i="52"/>
  <c r="C125" i="52"/>
  <c r="D125" i="52"/>
  <c r="C126" i="52"/>
  <c r="D126" i="52"/>
  <c r="B122" i="52"/>
  <c r="B123" i="52"/>
  <c r="B124" i="52"/>
  <c r="B125" i="52"/>
  <c r="B126" i="52"/>
  <c r="C115" i="52"/>
  <c r="D115" i="52"/>
  <c r="C116" i="52"/>
  <c r="D116" i="52"/>
  <c r="C117" i="52"/>
  <c r="D117" i="52"/>
  <c r="C118" i="52"/>
  <c r="D118" i="52"/>
  <c r="C119" i="52"/>
  <c r="D119" i="52"/>
  <c r="B115" i="52"/>
  <c r="B116" i="52"/>
  <c r="B117" i="52"/>
  <c r="B118" i="52"/>
  <c r="B119" i="52"/>
  <c r="C101" i="52"/>
  <c r="D101" i="52"/>
  <c r="C102" i="52"/>
  <c r="D102" i="52"/>
  <c r="C103" i="52"/>
  <c r="D103" i="52"/>
  <c r="C104" i="52"/>
  <c r="D104" i="52"/>
  <c r="C105" i="52"/>
  <c r="D105" i="52"/>
  <c r="C106" i="52"/>
  <c r="D106" i="52"/>
  <c r="C107" i="52"/>
  <c r="D107" i="52"/>
  <c r="C108" i="52"/>
  <c r="D108" i="52"/>
  <c r="C109" i="52"/>
  <c r="D109" i="52"/>
  <c r="C110" i="52"/>
  <c r="D110" i="52"/>
  <c r="C111" i="52"/>
  <c r="D111" i="52"/>
  <c r="C112" i="52"/>
  <c r="D112" i="52"/>
  <c r="B101" i="52"/>
  <c r="B102" i="52"/>
  <c r="B103" i="52"/>
  <c r="B104" i="52"/>
  <c r="B105" i="52"/>
  <c r="B106" i="52"/>
  <c r="B107" i="52"/>
  <c r="B108" i="52"/>
  <c r="B109" i="52"/>
  <c r="B110" i="52"/>
  <c r="B111" i="52"/>
  <c r="B112" i="52"/>
  <c r="C94" i="52"/>
  <c r="D94" i="52"/>
  <c r="C95" i="52"/>
  <c r="D95" i="52"/>
  <c r="C96" i="52"/>
  <c r="D96" i="52"/>
  <c r="C98" i="52"/>
  <c r="D98" i="52"/>
  <c r="B94" i="52"/>
  <c r="B95" i="52"/>
  <c r="B96" i="52"/>
  <c r="B98" i="52"/>
  <c r="C86" i="52"/>
  <c r="D86" i="52"/>
  <c r="C87" i="52"/>
  <c r="D87" i="52"/>
  <c r="C90" i="52"/>
  <c r="D90" i="52"/>
  <c r="C91" i="52"/>
  <c r="D91" i="52"/>
  <c r="B86" i="52"/>
  <c r="B87" i="52"/>
  <c r="B90" i="52"/>
  <c r="B91" i="52"/>
  <c r="C72" i="52"/>
  <c r="D72" i="52"/>
  <c r="C73" i="52"/>
  <c r="D73" i="52"/>
  <c r="C74" i="52"/>
  <c r="D74" i="52"/>
  <c r="C75" i="52"/>
  <c r="D75" i="52"/>
  <c r="C76" i="52"/>
  <c r="D76" i="52"/>
  <c r="C77" i="52"/>
  <c r="D77" i="52"/>
  <c r="C78" i="52"/>
  <c r="D78" i="52"/>
  <c r="C79" i="52"/>
  <c r="D79" i="52"/>
  <c r="C80" i="52"/>
  <c r="D80" i="52"/>
  <c r="C81" i="52"/>
  <c r="D81" i="52"/>
  <c r="C82" i="52"/>
  <c r="D82" i="52"/>
  <c r="C83" i="52"/>
  <c r="D83" i="52"/>
  <c r="B72" i="52"/>
  <c r="B73" i="52"/>
  <c r="B74" i="52"/>
  <c r="B75" i="52"/>
  <c r="B76" i="52"/>
  <c r="B77" i="52"/>
  <c r="B78" i="52"/>
  <c r="B79" i="52"/>
  <c r="B80" i="52"/>
  <c r="B81" i="52"/>
  <c r="B82" i="52"/>
  <c r="B83" i="52"/>
  <c r="C65" i="52"/>
  <c r="D65" i="52"/>
  <c r="C66" i="52"/>
  <c r="D66" i="52"/>
  <c r="C67" i="52"/>
  <c r="D67" i="52"/>
  <c r="C68" i="52"/>
  <c r="D68" i="52"/>
  <c r="C69" i="52"/>
  <c r="D69" i="52"/>
  <c r="B65" i="52"/>
  <c r="B66" i="52"/>
  <c r="B67" i="52"/>
  <c r="B68" i="52"/>
  <c r="B69" i="52"/>
  <c r="C58" i="52"/>
  <c r="D58" i="52"/>
  <c r="C59" i="52"/>
  <c r="D59" i="52"/>
  <c r="C61" i="52"/>
  <c r="D61" i="52"/>
  <c r="C62" i="52"/>
  <c r="D62" i="52"/>
  <c r="B58" i="52"/>
  <c r="B59" i="52"/>
  <c r="B61" i="52"/>
  <c r="B62" i="52"/>
  <c r="C44" i="52"/>
  <c r="D44" i="52"/>
  <c r="C45" i="52"/>
  <c r="D45" i="52"/>
  <c r="C46" i="52"/>
  <c r="D46" i="52"/>
  <c r="C47" i="52"/>
  <c r="D47" i="52"/>
  <c r="C48" i="52"/>
  <c r="D48" i="52"/>
  <c r="C49" i="52"/>
  <c r="D49" i="52"/>
  <c r="C50" i="52"/>
  <c r="D50" i="52"/>
  <c r="C51" i="52"/>
  <c r="D51" i="52"/>
  <c r="C52" i="52"/>
  <c r="D52" i="52"/>
  <c r="C53" i="52"/>
  <c r="D53" i="52"/>
  <c r="C54" i="52"/>
  <c r="D54" i="52"/>
  <c r="C55" i="52"/>
  <c r="D55" i="52"/>
  <c r="B44" i="52"/>
  <c r="B45" i="52"/>
  <c r="B46" i="52"/>
  <c r="B47" i="52"/>
  <c r="B48" i="52"/>
  <c r="B49" i="52"/>
  <c r="B50" i="52"/>
  <c r="B51" i="52"/>
  <c r="B52" i="52"/>
  <c r="B53" i="52"/>
  <c r="B54" i="52"/>
  <c r="B55" i="52"/>
  <c r="C37" i="52"/>
  <c r="D37" i="52"/>
  <c r="C38" i="52"/>
  <c r="D38" i="52"/>
  <c r="C39" i="52"/>
  <c r="D39" i="52"/>
  <c r="C40" i="52"/>
  <c r="D40" i="52"/>
  <c r="C41" i="52"/>
  <c r="D41" i="52"/>
  <c r="B37" i="52"/>
  <c r="B38" i="52"/>
  <c r="B39" i="52"/>
  <c r="B40" i="52"/>
  <c r="B41" i="52"/>
  <c r="C30" i="52"/>
  <c r="D30" i="52"/>
  <c r="C31" i="52"/>
  <c r="D31" i="52"/>
  <c r="C32" i="52"/>
  <c r="D32" i="52"/>
  <c r="C33" i="52"/>
  <c r="D33" i="52"/>
  <c r="C34" i="52"/>
  <c r="D34" i="52"/>
  <c r="B30" i="52"/>
  <c r="B31" i="52"/>
  <c r="B32" i="52"/>
  <c r="B33" i="52"/>
  <c r="B34" i="52"/>
  <c r="C16" i="52"/>
  <c r="D16" i="52"/>
  <c r="C17" i="52"/>
  <c r="D17" i="52"/>
  <c r="C18" i="52"/>
  <c r="D18" i="52"/>
  <c r="C19" i="52"/>
  <c r="D19" i="52"/>
  <c r="C20" i="52"/>
  <c r="D20" i="52"/>
  <c r="C21" i="52"/>
  <c r="D21" i="52"/>
  <c r="C22" i="52"/>
  <c r="D22" i="52"/>
  <c r="C23" i="52"/>
  <c r="D23" i="52"/>
  <c r="C24" i="52"/>
  <c r="D24" i="52"/>
  <c r="C25" i="52"/>
  <c r="D25" i="52"/>
  <c r="C26" i="52"/>
  <c r="D26" i="52"/>
  <c r="C27" i="52"/>
  <c r="D27" i="52"/>
  <c r="B16" i="52"/>
  <c r="B17" i="52"/>
  <c r="B18" i="52"/>
  <c r="B19" i="52"/>
  <c r="B20" i="52"/>
  <c r="B21" i="52"/>
  <c r="B22" i="52"/>
  <c r="B23" i="52"/>
  <c r="B24" i="52"/>
  <c r="B25" i="52"/>
  <c r="B26" i="52"/>
  <c r="B27" i="52"/>
  <c r="C10" i="52"/>
  <c r="D10" i="52"/>
  <c r="C11" i="52"/>
  <c r="D11" i="52"/>
  <c r="C12" i="52"/>
  <c r="D12" i="52"/>
  <c r="C13" i="52"/>
  <c r="D13" i="52"/>
  <c r="C9" i="52"/>
  <c r="D9" i="52"/>
  <c r="B9" i="52"/>
  <c r="C195" i="58" l="1"/>
  <c r="C181" i="58"/>
  <c r="C182" i="58"/>
  <c r="C183" i="58"/>
  <c r="C184" i="58"/>
  <c r="C185" i="58"/>
  <c r="C186" i="58"/>
  <c r="C187" i="58"/>
  <c r="C188" i="58"/>
  <c r="C189" i="58"/>
  <c r="C190" i="58"/>
  <c r="C191" i="58"/>
  <c r="C192" i="58"/>
  <c r="C193" i="58"/>
  <c r="C194" i="58"/>
  <c r="B39" i="98" l="1"/>
  <c r="B40" i="98" s="1"/>
  <c r="B29" i="98"/>
  <c r="B30" i="98" s="1"/>
  <c r="B129" i="98"/>
  <c r="B130" i="98" s="1"/>
  <c r="D149" i="98"/>
  <c r="D150" i="98" s="1"/>
  <c r="D151" i="98" s="1"/>
  <c r="C149" i="98"/>
  <c r="C150" i="98" s="1"/>
  <c r="C151" i="98" s="1"/>
  <c r="B149" i="98"/>
  <c r="D139" i="98"/>
  <c r="D140" i="98" s="1"/>
  <c r="D141" i="98" s="1"/>
  <c r="C139" i="98"/>
  <c r="C140" i="98" s="1"/>
  <c r="C141" i="98" s="1"/>
  <c r="B139" i="98"/>
  <c r="B140" i="98" s="1"/>
  <c r="D129" i="98"/>
  <c r="D130" i="98" s="1"/>
  <c r="D131" i="98" s="1"/>
  <c r="C129" i="98"/>
  <c r="C130" i="98" s="1"/>
  <c r="C131" i="98" s="1"/>
  <c r="D119" i="98"/>
  <c r="D120" i="98" s="1"/>
  <c r="D121" i="98" s="1"/>
  <c r="C119" i="98"/>
  <c r="C120" i="98" s="1"/>
  <c r="C121" i="98" s="1"/>
  <c r="B119" i="98"/>
  <c r="B120" i="98" s="1"/>
  <c r="D109" i="98"/>
  <c r="D110" i="98" s="1"/>
  <c r="D111" i="98" s="1"/>
  <c r="C109" i="98"/>
  <c r="C110" i="98" s="1"/>
  <c r="C111" i="98" s="1"/>
  <c r="B109" i="98"/>
  <c r="B110" i="98" s="1"/>
  <c r="D99" i="98"/>
  <c r="D100" i="98" s="1"/>
  <c r="D101" i="98" s="1"/>
  <c r="C99" i="98"/>
  <c r="C100" i="98" s="1"/>
  <c r="C101" i="98" s="1"/>
  <c r="B99" i="98"/>
  <c r="B100" i="98" s="1"/>
  <c r="D89" i="98"/>
  <c r="D90" i="98" s="1"/>
  <c r="D91" i="98" s="1"/>
  <c r="C89" i="98"/>
  <c r="C90" i="98" s="1"/>
  <c r="C91" i="98" s="1"/>
  <c r="B89" i="98"/>
  <c r="B90" i="98" s="1"/>
  <c r="D79" i="98"/>
  <c r="D80" i="98" s="1"/>
  <c r="D81" i="98" s="1"/>
  <c r="C79" i="98"/>
  <c r="C80" i="98" s="1"/>
  <c r="C81" i="98" s="1"/>
  <c r="B79" i="98"/>
  <c r="B80" i="98" s="1"/>
  <c r="D69" i="98"/>
  <c r="D70" i="98" s="1"/>
  <c r="D71" i="98" s="1"/>
  <c r="C69" i="98"/>
  <c r="C70" i="98" s="1"/>
  <c r="C71" i="98" s="1"/>
  <c r="B69" i="98"/>
  <c r="B70" i="98" s="1"/>
  <c r="D59" i="98"/>
  <c r="D60" i="98" s="1"/>
  <c r="D61" i="98" s="1"/>
  <c r="C59" i="98"/>
  <c r="C60" i="98" s="1"/>
  <c r="C61" i="98" s="1"/>
  <c r="B59" i="98"/>
  <c r="B60" i="98" s="1"/>
  <c r="D49" i="98"/>
  <c r="D50" i="98" s="1"/>
  <c r="D51" i="98" s="1"/>
  <c r="C49" i="98"/>
  <c r="C50" i="98" s="1"/>
  <c r="C51" i="98" s="1"/>
  <c r="B49" i="98"/>
  <c r="B50" i="98" s="1"/>
  <c r="D39" i="98"/>
  <c r="D40" i="98" s="1"/>
  <c r="D41" i="98" s="1"/>
  <c r="C39" i="98"/>
  <c r="C40" i="98" s="1"/>
  <c r="C41" i="98" s="1"/>
  <c r="D29" i="98"/>
  <c r="D30" i="98" s="1"/>
  <c r="D31" i="98" s="1"/>
  <c r="C29" i="98"/>
  <c r="D19" i="98"/>
  <c r="D20" i="98" s="1"/>
  <c r="D21" i="98" s="1"/>
  <c r="C25" i="98"/>
  <c r="C26" i="98" s="1"/>
  <c r="C27" i="98" s="1"/>
  <c r="B20" i="98"/>
  <c r="D9" i="98"/>
  <c r="D10" i="98" s="1"/>
  <c r="D11" i="98" s="1"/>
  <c r="C9" i="98"/>
  <c r="C10" i="98" s="1"/>
  <c r="C11" i="98" s="1"/>
  <c r="C12" i="98" s="1"/>
  <c r="C13" i="98" s="1"/>
  <c r="C14" i="98" s="1"/>
  <c r="B9" i="98"/>
  <c r="M4" i="98"/>
  <c r="O3" i="98"/>
  <c r="Q4" i="98" s="1"/>
  <c r="M3" i="98"/>
  <c r="H3" i="98"/>
  <c r="F4" i="98" s="1"/>
  <c r="C127" i="58"/>
  <c r="B4" i="57"/>
  <c r="A2" i="57"/>
  <c r="C126" i="58"/>
  <c r="C73" i="58"/>
  <c r="C45" i="58"/>
  <c r="C17" i="58"/>
  <c r="D32" i="98" l="1"/>
  <c r="D33" i="98" s="1"/>
  <c r="D34" i="98" s="1"/>
  <c r="D35" i="98" s="1"/>
  <c r="D36" i="98" s="1"/>
  <c r="D37" i="98" s="1"/>
  <c r="D23" i="98"/>
  <c r="D24" i="98" s="1"/>
  <c r="D25" i="98" s="1"/>
  <c r="D26" i="98" s="1"/>
  <c r="D27" i="98" s="1"/>
  <c r="D22" i="98"/>
  <c r="D82" i="98"/>
  <c r="D83" i="98" s="1"/>
  <c r="D84" i="98" s="1"/>
  <c r="D85" i="98" s="1"/>
  <c r="D86" i="98" s="1"/>
  <c r="D87" i="98" s="1"/>
  <c r="C112" i="98"/>
  <c r="C113" i="98" s="1"/>
  <c r="C114" i="98" s="1"/>
  <c r="C115" i="98" s="1"/>
  <c r="C116" i="98" s="1"/>
  <c r="C117" i="98" s="1"/>
  <c r="C142" i="98"/>
  <c r="C143" i="98" s="1"/>
  <c r="C144" i="98" s="1"/>
  <c r="C145" i="98" s="1"/>
  <c r="C146" i="98" s="1"/>
  <c r="C147" i="98" s="1"/>
  <c r="D112" i="98"/>
  <c r="D113" i="98" s="1"/>
  <c r="D114" i="98" s="1"/>
  <c r="D115" i="98" s="1"/>
  <c r="D116" i="98" s="1"/>
  <c r="D117" i="98" s="1"/>
  <c r="D142" i="98"/>
  <c r="D143" i="98" s="1"/>
  <c r="D144" i="98" s="1"/>
  <c r="D145" i="98" s="1"/>
  <c r="D146" i="98" s="1"/>
  <c r="D147" i="98" s="1"/>
  <c r="D62" i="98"/>
  <c r="D63" i="98" s="1"/>
  <c r="D64" i="98" s="1"/>
  <c r="D65" i="98" s="1"/>
  <c r="D66" i="98" s="1"/>
  <c r="D67" i="98" s="1"/>
  <c r="C92" i="98"/>
  <c r="C93" i="98" s="1"/>
  <c r="C94" i="98" s="1"/>
  <c r="C95" i="98" s="1"/>
  <c r="C96" i="98" s="1"/>
  <c r="C97" i="98" s="1"/>
  <c r="C62" i="98"/>
  <c r="C63" i="98" s="1"/>
  <c r="C64" i="98" s="1"/>
  <c r="C65" i="98" s="1"/>
  <c r="C66" i="98" s="1"/>
  <c r="C67" i="98" s="1"/>
  <c r="C42" i="98"/>
  <c r="C43" i="98" s="1"/>
  <c r="C44" i="98" s="1"/>
  <c r="C45" i="98" s="1"/>
  <c r="C46" i="98" s="1"/>
  <c r="C47" i="98" s="1"/>
  <c r="D92" i="98"/>
  <c r="D93" i="98" s="1"/>
  <c r="D94" i="98" s="1"/>
  <c r="D95" i="98" s="1"/>
  <c r="D96" i="98" s="1"/>
  <c r="D97" i="98" s="1"/>
  <c r="C123" i="98"/>
  <c r="C124" i="98" s="1"/>
  <c r="C125" i="98" s="1"/>
  <c r="C126" i="98" s="1"/>
  <c r="C127" i="98" s="1"/>
  <c r="C122" i="98"/>
  <c r="C152" i="98"/>
  <c r="C153" i="98" s="1"/>
  <c r="C154" i="98" s="1"/>
  <c r="C155" i="98" s="1"/>
  <c r="C156" i="98" s="1"/>
  <c r="C157" i="98" s="1"/>
  <c r="B10" i="98"/>
  <c r="D42" i="98"/>
  <c r="D43" i="98" s="1"/>
  <c r="D44" i="98" s="1"/>
  <c r="D45" i="98" s="1"/>
  <c r="D46" i="98" s="1"/>
  <c r="D47" i="98" s="1"/>
  <c r="C72" i="98"/>
  <c r="C73" i="98" s="1"/>
  <c r="C74" i="98" s="1"/>
  <c r="C75" i="98" s="1"/>
  <c r="C76" i="98" s="1"/>
  <c r="C77" i="98" s="1"/>
  <c r="D123" i="98"/>
  <c r="D124" i="98" s="1"/>
  <c r="D125" i="98" s="1"/>
  <c r="D126" i="98" s="1"/>
  <c r="D127" i="98" s="1"/>
  <c r="D122" i="98"/>
  <c r="D152" i="98"/>
  <c r="D153" i="98" s="1"/>
  <c r="D154" i="98" s="1"/>
  <c r="D155" i="98" s="1"/>
  <c r="D156" i="98" s="1"/>
  <c r="D157" i="98" s="1"/>
  <c r="D13" i="98"/>
  <c r="D14" i="98" s="1"/>
  <c r="D15" i="98" s="1"/>
  <c r="D16" i="98" s="1"/>
  <c r="D17" i="98" s="1"/>
  <c r="D12" i="98"/>
  <c r="D72" i="98"/>
  <c r="D73" i="98" s="1"/>
  <c r="D74" i="98" s="1"/>
  <c r="D75" i="98" s="1"/>
  <c r="D76" i="98" s="1"/>
  <c r="D77" i="98" s="1"/>
  <c r="C102" i="98"/>
  <c r="C103" i="98" s="1"/>
  <c r="C104" i="98" s="1"/>
  <c r="C105" i="98" s="1"/>
  <c r="C106" i="98" s="1"/>
  <c r="C107" i="98" s="1"/>
  <c r="C132" i="98"/>
  <c r="C133" i="98" s="1"/>
  <c r="C134" i="98" s="1"/>
  <c r="C135" i="98" s="1"/>
  <c r="C136" i="98" s="1"/>
  <c r="C137" i="98" s="1"/>
  <c r="C52" i="98"/>
  <c r="C53" i="98" s="1"/>
  <c r="C54" i="98" s="1"/>
  <c r="C55" i="98" s="1"/>
  <c r="C56" i="98" s="1"/>
  <c r="C57" i="98" s="1"/>
  <c r="D102" i="98"/>
  <c r="D103" i="98" s="1"/>
  <c r="D104" i="98" s="1"/>
  <c r="D105" i="98" s="1"/>
  <c r="D106" i="98" s="1"/>
  <c r="D107" i="98" s="1"/>
  <c r="D132" i="98"/>
  <c r="D133" i="98" s="1"/>
  <c r="D134" i="98" s="1"/>
  <c r="D135" i="98" s="1"/>
  <c r="D136" i="98" s="1"/>
  <c r="D137" i="98" s="1"/>
  <c r="C30" i="98"/>
  <c r="C31" i="98" s="1"/>
  <c r="C32" i="98" s="1"/>
  <c r="D52" i="98"/>
  <c r="D53" i="98" s="1"/>
  <c r="D54" i="98" s="1"/>
  <c r="D55" i="98" s="1"/>
  <c r="D56" i="98" s="1"/>
  <c r="D57" i="98" s="1"/>
  <c r="C82" i="98"/>
  <c r="C83" i="98" s="1"/>
  <c r="C84" i="98" s="1"/>
  <c r="C85" i="98" s="1"/>
  <c r="C86" i="98" s="1"/>
  <c r="C87" i="98" s="1"/>
  <c r="C15" i="98"/>
  <c r="C16" i="98" s="1"/>
  <c r="C17" i="98" s="1"/>
  <c r="B11" i="98"/>
  <c r="B150" i="98"/>
  <c r="B101" i="98"/>
  <c r="B102" i="98" s="1"/>
  <c r="B21" i="98"/>
  <c r="B81" i="98"/>
  <c r="B82" i="98" s="1"/>
  <c r="B131" i="98"/>
  <c r="B132" i="98" s="1"/>
  <c r="B111" i="98"/>
  <c r="B112" i="98" s="1"/>
  <c r="B61" i="98"/>
  <c r="B62" i="98" s="1"/>
  <c r="B63" i="98" s="1"/>
  <c r="B64" i="98" s="1"/>
  <c r="B141" i="98"/>
  <c r="B142" i="98" s="1"/>
  <c r="B41" i="98"/>
  <c r="B42" i="98" s="1"/>
  <c r="B71" i="98"/>
  <c r="B72" i="98" s="1"/>
  <c r="B51" i="98"/>
  <c r="B52" i="98" s="1"/>
  <c r="B91" i="98"/>
  <c r="B31" i="98"/>
  <c r="B121" i="98"/>
  <c r="B122" i="98" s="1"/>
  <c r="K4" i="98"/>
  <c r="O4" i="98"/>
  <c r="R4" i="98"/>
  <c r="H4" i="98"/>
  <c r="H29" i="98" s="1" a="1"/>
  <c r="H29" i="98" s="1"/>
  <c r="I4" i="98"/>
  <c r="J4" i="98"/>
  <c r="P4" i="98"/>
  <c r="H122" i="98" l="1" a="1"/>
  <c r="H122" i="98" s="1"/>
  <c r="B92" i="98"/>
  <c r="H92" i="98" s="1" a="1"/>
  <c r="H92" i="98" s="1"/>
  <c r="H91" i="98" a="1"/>
  <c r="H91" i="98" s="1"/>
  <c r="B53" i="98"/>
  <c r="B22" i="98"/>
  <c r="C33" i="98"/>
  <c r="C34" i="98" s="1"/>
  <c r="C35" i="98" s="1"/>
  <c r="C36" i="98" s="1"/>
  <c r="C37" i="98" s="1"/>
  <c r="B143" i="98"/>
  <c r="B103" i="98"/>
  <c r="B43" i="98"/>
  <c r="B83" i="98"/>
  <c r="B73" i="98"/>
  <c r="B12" i="98"/>
  <c r="B13" i="98" s="1"/>
  <c r="B113" i="98"/>
  <c r="B32" i="98"/>
  <c r="H32" i="98" s="1" a="1"/>
  <c r="H32" i="98" s="1"/>
  <c r="B133" i="98"/>
  <c r="B123" i="98"/>
  <c r="B151" i="98"/>
  <c r="B152" i="98" s="1"/>
  <c r="H152" i="98" s="1" a="1"/>
  <c r="H152" i="98" s="1"/>
  <c r="G19" i="78"/>
  <c r="B93" i="98" l="1"/>
  <c r="B153" i="98"/>
  <c r="B33" i="98"/>
  <c r="B34" i="98" s="1"/>
  <c r="B23" i="98"/>
  <c r="B84" i="98"/>
  <c r="B144" i="98"/>
  <c r="B14" i="98"/>
  <c r="B104" i="98"/>
  <c r="B134" i="98"/>
  <c r="B114" i="98"/>
  <c r="B44" i="98"/>
  <c r="B54" i="98"/>
  <c r="B74" i="98"/>
  <c r="B124" i="98"/>
  <c r="B94" i="98"/>
  <c r="B24" i="98" l="1"/>
  <c r="B25" i="98" s="1"/>
  <c r="B154" i="98"/>
  <c r="B155" i="98" s="1"/>
  <c r="B156" i="98" s="1"/>
  <c r="B157" i="98" s="1"/>
  <c r="B125" i="98"/>
  <c r="B126" i="98" s="1"/>
  <c r="B127" i="98" s="1"/>
  <c r="B45" i="98"/>
  <c r="B46" i="98" s="1"/>
  <c r="B47" i="98" s="1"/>
  <c r="B115" i="98"/>
  <c r="B116" i="98" s="1"/>
  <c r="B117" i="98" s="1"/>
  <c r="B75" i="98"/>
  <c r="B76" i="98" s="1"/>
  <c r="B77" i="98" s="1"/>
  <c r="B35" i="98"/>
  <c r="B36" i="98" s="1"/>
  <c r="B37" i="98" s="1"/>
  <c r="B15" i="98"/>
  <c r="B16" i="98" s="1"/>
  <c r="B17" i="98" s="1"/>
  <c r="B145" i="98"/>
  <c r="B146" i="98" s="1"/>
  <c r="B147" i="98" s="1"/>
  <c r="B135" i="98"/>
  <c r="B136" i="98" s="1"/>
  <c r="B137" i="98" s="1"/>
  <c r="B105" i="98"/>
  <c r="B106" i="98" s="1"/>
  <c r="B107" i="98" s="1"/>
  <c r="B85" i="98"/>
  <c r="B86" i="98" s="1"/>
  <c r="B87" i="98" s="1"/>
  <c r="B55" i="98"/>
  <c r="B56" i="98" s="1"/>
  <c r="B57" i="98" s="1"/>
  <c r="B95" i="98"/>
  <c r="B96" i="98" s="1"/>
  <c r="B97" i="98" s="1"/>
  <c r="B26" i="98"/>
  <c r="B27" i="98" s="1"/>
  <c r="B65" i="98"/>
  <c r="B66" i="98" s="1"/>
  <c r="B67" i="98" s="1"/>
  <c r="F10" i="93" l="1"/>
  <c r="I18" i="78" l="1"/>
  <c r="H18" i="78"/>
  <c r="G18" i="78"/>
  <c r="F18" i="78"/>
  <c r="K18" i="78"/>
  <c r="J18" i="78"/>
  <c r="I19" i="78" l="1"/>
  <c r="H19" i="78"/>
  <c r="K19" i="78"/>
  <c r="J19" i="78"/>
  <c r="F11" i="43" l="1"/>
  <c r="A73" i="83" l="1"/>
  <c r="A66" i="83"/>
  <c r="A59" i="83"/>
  <c r="A52" i="83"/>
  <c r="A45" i="83"/>
  <c r="F10" i="92" l="1"/>
  <c r="F10" i="91"/>
  <c r="F10" i="90"/>
  <c r="F10" i="88"/>
  <c r="B25" i="44"/>
  <c r="B26" i="44" s="1"/>
  <c r="B27" i="44" s="1"/>
  <c r="B20" i="44"/>
  <c r="B21" i="44" s="1"/>
  <c r="B22" i="44" s="1"/>
  <c r="B23" i="44" s="1"/>
  <c r="B14" i="44"/>
  <c r="B15" i="44" s="1"/>
  <c r="B16" i="44" s="1"/>
  <c r="B17" i="44" s="1"/>
  <c r="B18" i="44" s="1"/>
  <c r="B10" i="44"/>
  <c r="B11" i="44" s="1"/>
  <c r="B12" i="44" s="1"/>
  <c r="B5" i="44"/>
  <c r="B6" i="44" s="1"/>
  <c r="V20" i="57" l="1"/>
  <c r="V14" i="57"/>
  <c r="V8" i="57"/>
  <c r="J44" i="83" l="1"/>
  <c r="D44" i="83"/>
  <c r="C130" i="58" l="1"/>
  <c r="C129" i="58"/>
  <c r="C103" i="58"/>
  <c r="C102" i="58"/>
  <c r="C101" i="58"/>
  <c r="C77" i="58"/>
  <c r="C76" i="58"/>
  <c r="C75" i="58"/>
  <c r="C49" i="58"/>
  <c r="C48" i="58"/>
  <c r="C47" i="58"/>
  <c r="C21" i="58"/>
  <c r="C20" i="58"/>
  <c r="C19" i="58"/>
  <c r="B46" i="83" l="1"/>
  <c r="B47" i="83" s="1"/>
  <c r="B48" i="83" l="1"/>
  <c r="B49" i="83" s="1"/>
  <c r="B50" i="83" s="1"/>
  <c r="B51" i="83" l="1"/>
  <c r="M3" i="68" l="1"/>
  <c r="M3" i="66"/>
  <c r="M3" i="52"/>
  <c r="F10" i="43"/>
  <c r="C180" i="58" l="1"/>
  <c r="C179" i="58"/>
  <c r="C178" i="58"/>
  <c r="C177" i="58"/>
  <c r="C176" i="58"/>
  <c r="C175" i="58"/>
  <c r="C174" i="58"/>
  <c r="C173" i="58"/>
  <c r="C172" i="58"/>
  <c r="C171" i="58"/>
  <c r="C170" i="58"/>
  <c r="C169" i="58"/>
  <c r="C168" i="58"/>
  <c r="C167" i="58"/>
  <c r="C166" i="58"/>
  <c r="C165" i="58"/>
  <c r="C164" i="58"/>
  <c r="C163" i="58"/>
  <c r="C162" i="58"/>
  <c r="C161" i="58"/>
  <c r="C160" i="58"/>
  <c r="C159" i="58"/>
  <c r="C158" i="58"/>
  <c r="C157" i="58"/>
  <c r="C156" i="58"/>
  <c r="C155" i="58"/>
  <c r="C154" i="58"/>
  <c r="C153" i="58"/>
  <c r="C152" i="58"/>
  <c r="C151" i="58"/>
  <c r="C150" i="58"/>
  <c r="C149" i="58"/>
  <c r="C148" i="58"/>
  <c r="C147" i="58"/>
  <c r="C146" i="58"/>
  <c r="C145" i="58"/>
  <c r="C144" i="58"/>
  <c r="C143" i="58"/>
  <c r="C142" i="58"/>
  <c r="C141" i="58"/>
  <c r="C128" i="58"/>
  <c r="C125" i="58"/>
  <c r="C124" i="58"/>
  <c r="C123" i="58"/>
  <c r="C122" i="58"/>
  <c r="C120" i="58"/>
  <c r="C118" i="58"/>
  <c r="C117" i="58"/>
  <c r="C116" i="58"/>
  <c r="C115" i="58"/>
  <c r="C114" i="58"/>
  <c r="C100" i="58"/>
  <c r="C99" i="58"/>
  <c r="C98" i="58"/>
  <c r="C97" i="58"/>
  <c r="C95" i="58"/>
  <c r="C93" i="58"/>
  <c r="C92" i="58"/>
  <c r="C91" i="58"/>
  <c r="C90" i="58"/>
  <c r="C89" i="58"/>
  <c r="C88" i="58"/>
  <c r="C74" i="58"/>
  <c r="C72" i="58"/>
  <c r="C71" i="58"/>
  <c r="C70" i="58"/>
  <c r="C69" i="58"/>
  <c r="C67" i="58"/>
  <c r="C65" i="58"/>
  <c r="C64" i="58"/>
  <c r="C63" i="58"/>
  <c r="C62" i="58"/>
  <c r="C61" i="58"/>
  <c r="C60" i="58"/>
  <c r="C46" i="58"/>
  <c r="C44" i="58"/>
  <c r="C43" i="58"/>
  <c r="C42" i="58"/>
  <c r="C41" i="58"/>
  <c r="C39" i="58"/>
  <c r="C37" i="58"/>
  <c r="C36" i="58"/>
  <c r="C35" i="58"/>
  <c r="C34" i="58"/>
  <c r="C33" i="58"/>
  <c r="C32" i="58"/>
  <c r="C18" i="58"/>
  <c r="C16" i="58"/>
  <c r="C15" i="58"/>
  <c r="C14" i="58"/>
  <c r="C13" i="58"/>
  <c r="C11" i="58"/>
  <c r="C9" i="58"/>
  <c r="C8" i="58"/>
  <c r="C7" i="58"/>
  <c r="C6" i="58"/>
  <c r="C5" i="58"/>
  <c r="C4" i="58"/>
  <c r="D173" i="68" l="1"/>
  <c r="D174" i="68" s="1"/>
  <c r="D175" i="68" s="1"/>
  <c r="D176" i="68" s="1"/>
  <c r="D177" i="68" s="1"/>
  <c r="C173" i="68"/>
  <c r="C174" i="68" s="1"/>
  <c r="C175" i="68" s="1"/>
  <c r="C176" i="68" s="1"/>
  <c r="C177" i="68" s="1"/>
  <c r="B173" i="68"/>
  <c r="D162" i="68"/>
  <c r="D163" i="68" s="1"/>
  <c r="D164" i="68" s="1"/>
  <c r="D165" i="68" s="1"/>
  <c r="C162" i="68"/>
  <c r="C163" i="68" s="1"/>
  <c r="C164" i="68" s="1"/>
  <c r="C165" i="68" s="1"/>
  <c r="B162" i="68"/>
  <c r="B163" i="68" s="1"/>
  <c r="D153" i="68"/>
  <c r="D154" i="68" s="1"/>
  <c r="D155" i="68" s="1"/>
  <c r="D156" i="68" s="1"/>
  <c r="D157" i="68" s="1"/>
  <c r="D158" i="68" s="1"/>
  <c r="C153" i="68"/>
  <c r="C154" i="68" s="1"/>
  <c r="C155" i="68" s="1"/>
  <c r="C156" i="68" s="1"/>
  <c r="C157" i="68" s="1"/>
  <c r="C158" i="68" s="1"/>
  <c r="B153" i="68"/>
  <c r="D145" i="68"/>
  <c r="D146" i="68" s="1"/>
  <c r="D147" i="68" s="1"/>
  <c r="D148" i="68" s="1"/>
  <c r="D149" i="68" s="1"/>
  <c r="D150" i="68" s="1"/>
  <c r="C145" i="68"/>
  <c r="C146" i="68" s="1"/>
  <c r="C147" i="68" s="1"/>
  <c r="C148" i="68" s="1"/>
  <c r="C149" i="68" s="1"/>
  <c r="C150" i="68" s="1"/>
  <c r="B145" i="68"/>
  <c r="D131" i="68"/>
  <c r="D132" i="68" s="1"/>
  <c r="D133" i="68" s="1"/>
  <c r="D134" i="68" s="1"/>
  <c r="D135" i="68" s="1"/>
  <c r="D136" i="68" s="1"/>
  <c r="D137" i="68" s="1"/>
  <c r="D138" i="68" s="1"/>
  <c r="D139" i="68" s="1"/>
  <c r="D140" i="68" s="1"/>
  <c r="D141" i="68" s="1"/>
  <c r="D142" i="68" s="1"/>
  <c r="C131" i="68"/>
  <c r="C132" i="68" s="1"/>
  <c r="C133" i="68" s="1"/>
  <c r="C134" i="68" s="1"/>
  <c r="C135" i="68" s="1"/>
  <c r="C136" i="68" s="1"/>
  <c r="C137" i="68" s="1"/>
  <c r="C138" i="68" s="1"/>
  <c r="C139" i="68" s="1"/>
  <c r="C140" i="68" s="1"/>
  <c r="C141" i="68" s="1"/>
  <c r="C142" i="68" s="1"/>
  <c r="B131" i="68"/>
  <c r="B132" i="68" s="1"/>
  <c r="D123" i="68"/>
  <c r="D124" i="68" s="1"/>
  <c r="D125" i="68" s="1"/>
  <c r="D126" i="68" s="1"/>
  <c r="D127" i="68" s="1"/>
  <c r="D128" i="68" s="1"/>
  <c r="C123" i="68"/>
  <c r="C124" i="68" s="1"/>
  <c r="C125" i="68" s="1"/>
  <c r="C126" i="68" s="1"/>
  <c r="C127" i="68" s="1"/>
  <c r="C128" i="68" s="1"/>
  <c r="B123" i="68"/>
  <c r="D113" i="68"/>
  <c r="D114" i="68" s="1"/>
  <c r="D115" i="68" s="1"/>
  <c r="C113" i="68"/>
  <c r="C114" i="68" s="1"/>
  <c r="C115" i="68" s="1"/>
  <c r="B113" i="68"/>
  <c r="D95" i="68"/>
  <c r="D96" i="68" s="1"/>
  <c r="D97" i="68" s="1"/>
  <c r="D98" i="68" s="1"/>
  <c r="C95" i="68"/>
  <c r="C96" i="68" s="1"/>
  <c r="C97" i="68" s="1"/>
  <c r="C98" i="68" s="1"/>
  <c r="B95" i="68"/>
  <c r="B96" i="68" s="1"/>
  <c r="D85" i="68"/>
  <c r="D86" i="68" s="1"/>
  <c r="D87" i="68" s="1"/>
  <c r="C85" i="68"/>
  <c r="C86" i="68" s="1"/>
  <c r="C87" i="68" s="1"/>
  <c r="B85" i="68"/>
  <c r="D75" i="68"/>
  <c r="D76" i="68" s="1"/>
  <c r="D77" i="68" s="1"/>
  <c r="C75" i="68"/>
  <c r="C76" i="68" s="1"/>
  <c r="B75" i="68"/>
  <c r="D57" i="68"/>
  <c r="D58" i="68" s="1"/>
  <c r="D59" i="68" s="1"/>
  <c r="D60" i="68" s="1"/>
  <c r="C57" i="68"/>
  <c r="C58" i="68" s="1"/>
  <c r="C59" i="68" s="1"/>
  <c r="C60" i="68" s="1"/>
  <c r="B57" i="68"/>
  <c r="B58" i="68" s="1"/>
  <c r="D47" i="68"/>
  <c r="D48" i="68" s="1"/>
  <c r="D49" i="68" s="1"/>
  <c r="C47" i="68"/>
  <c r="C48" i="68" s="1"/>
  <c r="C49" i="68" s="1"/>
  <c r="B47" i="68"/>
  <c r="D37" i="68"/>
  <c r="D38" i="68" s="1"/>
  <c r="D39" i="68" s="1"/>
  <c r="C37" i="68"/>
  <c r="C38" i="68" s="1"/>
  <c r="C39" i="68" s="1"/>
  <c r="B37" i="68"/>
  <c r="D19" i="68"/>
  <c r="D20" i="68" s="1"/>
  <c r="D21" i="68" s="1"/>
  <c r="D22" i="68" s="1"/>
  <c r="C19" i="68"/>
  <c r="C20" i="68" s="1"/>
  <c r="C21" i="68" s="1"/>
  <c r="C22" i="68" s="1"/>
  <c r="B19" i="68"/>
  <c r="B20" i="68" s="1"/>
  <c r="D9" i="68"/>
  <c r="D10" i="68" s="1"/>
  <c r="D11" i="68" s="1"/>
  <c r="C9" i="68"/>
  <c r="C10" i="68" s="1"/>
  <c r="C11" i="68" s="1"/>
  <c r="B9" i="68"/>
  <c r="D221" i="66"/>
  <c r="D222" i="66" s="1"/>
  <c r="D223" i="66" s="1"/>
  <c r="D224" i="66" s="1"/>
  <c r="C221" i="66"/>
  <c r="C222" i="66" s="1"/>
  <c r="C223" i="66" s="1"/>
  <c r="C224" i="66" s="1"/>
  <c r="B221" i="66"/>
  <c r="D206" i="66"/>
  <c r="D207" i="66" s="1"/>
  <c r="D208" i="66" s="1"/>
  <c r="D209" i="66" s="1"/>
  <c r="D210" i="66" s="1"/>
  <c r="D211" i="66" s="1"/>
  <c r="D212" i="66" s="1"/>
  <c r="D213" i="66" s="1"/>
  <c r="D214" i="66" s="1"/>
  <c r="D215" i="66" s="1"/>
  <c r="D216" i="66" s="1"/>
  <c r="C206" i="66"/>
  <c r="C207" i="66" s="1"/>
  <c r="C208" i="66" s="1"/>
  <c r="C209" i="66" s="1"/>
  <c r="C210" i="66" s="1"/>
  <c r="C211" i="66" s="1"/>
  <c r="C212" i="66" s="1"/>
  <c r="C213" i="66" s="1"/>
  <c r="C214" i="66" s="1"/>
  <c r="C215" i="66" s="1"/>
  <c r="C216" i="66" s="1"/>
  <c r="B206" i="66"/>
  <c r="B207" i="66" s="1"/>
  <c r="D193" i="66"/>
  <c r="D194" i="66" s="1"/>
  <c r="D195" i="66" s="1"/>
  <c r="D196" i="66" s="1"/>
  <c r="C193" i="66"/>
  <c r="C194" i="66" s="1"/>
  <c r="C195" i="66" s="1"/>
  <c r="C196" i="66" s="1"/>
  <c r="B193" i="66"/>
  <c r="D181" i="66"/>
  <c r="D182" i="66" s="1"/>
  <c r="D183" i="66" s="1"/>
  <c r="D184" i="66" s="1"/>
  <c r="D185" i="66" s="1"/>
  <c r="D186" i="66" s="1"/>
  <c r="D187" i="66" s="1"/>
  <c r="D188" i="66" s="1"/>
  <c r="D189" i="66" s="1"/>
  <c r="D190" i="66" s="1"/>
  <c r="C181" i="66"/>
  <c r="C182" i="66" s="1"/>
  <c r="C183" i="66" s="1"/>
  <c r="C184" i="66" s="1"/>
  <c r="C185" i="66" s="1"/>
  <c r="C186" i="66" s="1"/>
  <c r="C187" i="66" s="1"/>
  <c r="C188" i="66" s="1"/>
  <c r="C189" i="66" s="1"/>
  <c r="C190" i="66" s="1"/>
  <c r="B181" i="66"/>
  <c r="D159" i="66"/>
  <c r="D160" i="66" s="1"/>
  <c r="D161" i="66" s="1"/>
  <c r="D162" i="66" s="1"/>
  <c r="D163" i="66" s="1"/>
  <c r="C159" i="66"/>
  <c r="C160" i="66" s="1"/>
  <c r="C161" i="66" s="1"/>
  <c r="C162" i="66" s="1"/>
  <c r="C163" i="66" s="1"/>
  <c r="B159" i="66"/>
  <c r="B160" i="66" s="1"/>
  <c r="D147" i="66"/>
  <c r="D148" i="66" s="1"/>
  <c r="D149" i="66" s="1"/>
  <c r="D150" i="66" s="1"/>
  <c r="C147" i="66"/>
  <c r="C148" i="66" s="1"/>
  <c r="C149" i="66" s="1"/>
  <c r="C150" i="66" s="1"/>
  <c r="B147" i="66"/>
  <c r="D135" i="66"/>
  <c r="D136" i="66" s="1"/>
  <c r="D137" i="66" s="1"/>
  <c r="D138" i="66" s="1"/>
  <c r="C135" i="66"/>
  <c r="C136" i="66" s="1"/>
  <c r="C137" i="66" s="1"/>
  <c r="C138" i="66" s="1"/>
  <c r="B135" i="66"/>
  <c r="D113" i="66"/>
  <c r="D114" i="66" s="1"/>
  <c r="D115" i="66" s="1"/>
  <c r="D116" i="66" s="1"/>
  <c r="D117" i="66" s="1"/>
  <c r="C113" i="66"/>
  <c r="C114" i="66" s="1"/>
  <c r="C115" i="66" s="1"/>
  <c r="C116" i="66" s="1"/>
  <c r="C117" i="66" s="1"/>
  <c r="B113" i="66"/>
  <c r="B114" i="66" s="1"/>
  <c r="D101" i="66"/>
  <c r="D102" i="66" s="1"/>
  <c r="D103" i="66" s="1"/>
  <c r="D104" i="66" s="1"/>
  <c r="C101" i="66"/>
  <c r="C102" i="66" s="1"/>
  <c r="C103" i="66" s="1"/>
  <c r="C104" i="66" s="1"/>
  <c r="B101" i="66"/>
  <c r="D89" i="66"/>
  <c r="D90" i="66" s="1"/>
  <c r="D91" i="66" s="1"/>
  <c r="D92" i="66" s="1"/>
  <c r="C89" i="66"/>
  <c r="C90" i="66" s="1"/>
  <c r="C91" i="66" s="1"/>
  <c r="C92" i="66" s="1"/>
  <c r="B89" i="66"/>
  <c r="D67" i="66"/>
  <c r="D68" i="66" s="1"/>
  <c r="D69" i="66" s="1"/>
  <c r="D70" i="66" s="1"/>
  <c r="D71" i="66" s="1"/>
  <c r="C67" i="66"/>
  <c r="C68" i="66" s="1"/>
  <c r="C69" i="66" s="1"/>
  <c r="C70" i="66" s="1"/>
  <c r="C71" i="66" s="1"/>
  <c r="B67" i="66"/>
  <c r="B68" i="66" s="1"/>
  <c r="D55" i="66"/>
  <c r="D56" i="66" s="1"/>
  <c r="D57" i="66" s="1"/>
  <c r="D58" i="66" s="1"/>
  <c r="C55" i="66"/>
  <c r="C56" i="66" s="1"/>
  <c r="C57" i="66" s="1"/>
  <c r="C58" i="66" s="1"/>
  <c r="B55" i="66"/>
  <c r="D43" i="66"/>
  <c r="D44" i="66" s="1"/>
  <c r="D45" i="66" s="1"/>
  <c r="C43" i="66"/>
  <c r="C44" i="66" s="1"/>
  <c r="C45" i="66" s="1"/>
  <c r="B43" i="66"/>
  <c r="D21" i="66"/>
  <c r="D22" i="66" s="1"/>
  <c r="D23" i="66" s="1"/>
  <c r="D24" i="66" s="1"/>
  <c r="D25" i="66" s="1"/>
  <c r="C21" i="66"/>
  <c r="C22" i="66" s="1"/>
  <c r="C23" i="66" s="1"/>
  <c r="C24" i="66" s="1"/>
  <c r="C25" i="66" s="1"/>
  <c r="B21" i="66"/>
  <c r="B22" i="66" s="1"/>
  <c r="D9" i="66"/>
  <c r="D10" i="66" s="1"/>
  <c r="D11" i="66" s="1"/>
  <c r="D12" i="66" s="1"/>
  <c r="C9" i="66"/>
  <c r="B9" i="66"/>
  <c r="R187" i="68"/>
  <c r="K187" i="68"/>
  <c r="R186" i="68"/>
  <c r="K186" i="68"/>
  <c r="R185" i="68"/>
  <c r="K185" i="68"/>
  <c r="R184" i="68"/>
  <c r="K184" i="68"/>
  <c r="R183" i="68"/>
  <c r="K183" i="68"/>
  <c r="R182" i="68"/>
  <c r="K182" i="68"/>
  <c r="R181" i="68"/>
  <c r="K181" i="68"/>
  <c r="R180" i="68"/>
  <c r="K180" i="68"/>
  <c r="M4" i="68"/>
  <c r="O3" i="68"/>
  <c r="P4" i="68" s="1"/>
  <c r="H3" i="68"/>
  <c r="I4" i="68" s="1"/>
  <c r="R239" i="66"/>
  <c r="R238" i="66"/>
  <c r="R237" i="66"/>
  <c r="R236" i="66"/>
  <c r="R235" i="66"/>
  <c r="R234" i="66"/>
  <c r="R233" i="66"/>
  <c r="K239" i="66"/>
  <c r="K238" i="66"/>
  <c r="K237" i="66"/>
  <c r="K236" i="66"/>
  <c r="K235" i="66"/>
  <c r="K234" i="66"/>
  <c r="K233" i="66"/>
  <c r="K232" i="66"/>
  <c r="M36" i="52"/>
  <c r="D225" i="66" l="1"/>
  <c r="D226" i="66" s="1"/>
  <c r="D227" i="66" s="1"/>
  <c r="D228" i="66" s="1"/>
  <c r="D229" i="66" s="1"/>
  <c r="D230" i="66" s="1"/>
  <c r="D231" i="66" s="1"/>
  <c r="C197" i="66"/>
  <c r="C198" i="66" s="1"/>
  <c r="C199" i="66" s="1"/>
  <c r="C200" i="66" s="1"/>
  <c r="C201" i="66" s="1"/>
  <c r="C202" i="66" s="1"/>
  <c r="C203" i="66" s="1"/>
  <c r="D197" i="66"/>
  <c r="D198" i="66" s="1"/>
  <c r="D199" i="66" s="1"/>
  <c r="D200" i="66" s="1"/>
  <c r="D201" i="66" s="1"/>
  <c r="D202" i="66" s="1"/>
  <c r="D203" i="66" s="1"/>
  <c r="C225" i="66"/>
  <c r="C226" i="66" s="1"/>
  <c r="C227" i="66" s="1"/>
  <c r="C228" i="66" s="1"/>
  <c r="C229" i="66" s="1"/>
  <c r="C230" i="66" s="1"/>
  <c r="C231" i="66" s="1"/>
  <c r="C151" i="66"/>
  <c r="C152" i="66" s="1"/>
  <c r="C153" i="66" s="1"/>
  <c r="C154" i="66" s="1"/>
  <c r="C155" i="66" s="1"/>
  <c r="C156" i="66" s="1"/>
  <c r="D151" i="66"/>
  <c r="D152" i="66" s="1"/>
  <c r="D153" i="66" s="1"/>
  <c r="D154" i="66" s="1"/>
  <c r="D155" i="66" s="1"/>
  <c r="D156" i="66" s="1"/>
  <c r="C164" i="66"/>
  <c r="C165" i="66" s="1"/>
  <c r="C166" i="66" s="1"/>
  <c r="C167" i="66" s="1"/>
  <c r="C168" i="66" s="1"/>
  <c r="C169" i="66" s="1"/>
  <c r="C170" i="66" s="1"/>
  <c r="C171" i="66" s="1"/>
  <c r="C172" i="66" s="1"/>
  <c r="C173" i="66" s="1"/>
  <c r="C174" i="66" s="1"/>
  <c r="C175" i="66" s="1"/>
  <c r="C176" i="66" s="1"/>
  <c r="C177" i="66" s="1"/>
  <c r="C178" i="66" s="1"/>
  <c r="D164" i="66"/>
  <c r="D165" i="66" s="1"/>
  <c r="D166" i="66" s="1"/>
  <c r="D167" i="66" s="1"/>
  <c r="D168" i="66" s="1"/>
  <c r="D169" i="66" s="1"/>
  <c r="D170" i="66" s="1"/>
  <c r="D171" i="66" s="1"/>
  <c r="D172" i="66" s="1"/>
  <c r="D173" i="66" s="1"/>
  <c r="D174" i="66" s="1"/>
  <c r="D175" i="66" s="1"/>
  <c r="D176" i="66" s="1"/>
  <c r="D177" i="66" s="1"/>
  <c r="D178" i="66" s="1"/>
  <c r="C93" i="66"/>
  <c r="C94" i="66" s="1"/>
  <c r="C95" i="66" s="1"/>
  <c r="C96" i="66" s="1"/>
  <c r="C97" i="66" s="1"/>
  <c r="C98" i="66" s="1"/>
  <c r="D93" i="66"/>
  <c r="D94" i="66" s="1"/>
  <c r="D95" i="66" s="1"/>
  <c r="D96" i="66" s="1"/>
  <c r="D97" i="66" s="1"/>
  <c r="D98" i="66" s="1"/>
  <c r="C59" i="66"/>
  <c r="C60" i="66" s="1"/>
  <c r="C61" i="66" s="1"/>
  <c r="C62" i="66" s="1"/>
  <c r="C63" i="66" s="1"/>
  <c r="C64" i="66" s="1"/>
  <c r="D59" i="66"/>
  <c r="D60" i="66" s="1"/>
  <c r="D61" i="66" s="1"/>
  <c r="D62" i="66" s="1"/>
  <c r="D63" i="66" s="1"/>
  <c r="D64" i="66" s="1"/>
  <c r="C72" i="66"/>
  <c r="C73" i="66" s="1"/>
  <c r="C74" i="66" s="1"/>
  <c r="C75" i="66" s="1"/>
  <c r="C76" i="66" s="1"/>
  <c r="C77" i="66" s="1"/>
  <c r="C78" i="66" s="1"/>
  <c r="C79" i="66" s="1"/>
  <c r="C80" i="66" s="1"/>
  <c r="C81" i="66" s="1"/>
  <c r="C82" i="66" s="1"/>
  <c r="C83" i="66" s="1"/>
  <c r="C84" i="66" s="1"/>
  <c r="C85" i="66" s="1"/>
  <c r="C86" i="66" s="1"/>
  <c r="D72" i="66"/>
  <c r="D73" i="66" s="1"/>
  <c r="D74" i="66" s="1"/>
  <c r="D75" i="66" s="1"/>
  <c r="D76" i="66" s="1"/>
  <c r="D77" i="66" s="1"/>
  <c r="D78" i="66" s="1"/>
  <c r="D79" i="66" s="1"/>
  <c r="D80" i="66" s="1"/>
  <c r="D81" i="66" s="1"/>
  <c r="D82" i="66" s="1"/>
  <c r="D83" i="66" s="1"/>
  <c r="D84" i="66" s="1"/>
  <c r="D85" i="66" s="1"/>
  <c r="D86" i="66" s="1"/>
  <c r="C139" i="66"/>
  <c r="C140" i="66" s="1"/>
  <c r="C141" i="66" s="1"/>
  <c r="C142" i="66" s="1"/>
  <c r="C143" i="66" s="1"/>
  <c r="C144" i="66" s="1"/>
  <c r="D139" i="66"/>
  <c r="D140" i="66" s="1"/>
  <c r="D141" i="66" s="1"/>
  <c r="D142" i="66" s="1"/>
  <c r="D143" i="66" s="1"/>
  <c r="D144" i="66" s="1"/>
  <c r="C118" i="66"/>
  <c r="C119" i="66" s="1"/>
  <c r="C120" i="66" s="1"/>
  <c r="C121" i="66" s="1"/>
  <c r="C122" i="66" s="1"/>
  <c r="C123" i="66" s="1"/>
  <c r="C124" i="66" s="1"/>
  <c r="C125" i="66" s="1"/>
  <c r="D118" i="66"/>
  <c r="D119" i="66" s="1"/>
  <c r="D120" i="66" s="1"/>
  <c r="D121" i="66" s="1"/>
  <c r="D122" i="66" s="1"/>
  <c r="D123" i="66" s="1"/>
  <c r="D124" i="66" s="1"/>
  <c r="D125" i="66" s="1"/>
  <c r="D105" i="66"/>
  <c r="D106" i="66" s="1"/>
  <c r="D107" i="66" s="1"/>
  <c r="D108" i="66" s="1"/>
  <c r="D109" i="66" s="1"/>
  <c r="D110" i="66" s="1"/>
  <c r="C105" i="66"/>
  <c r="C106" i="66" s="1"/>
  <c r="C107" i="66" s="1"/>
  <c r="C108" i="66" s="1"/>
  <c r="C109" i="66" s="1"/>
  <c r="C110" i="66" s="1"/>
  <c r="D26" i="66"/>
  <c r="D27" i="66" s="1"/>
  <c r="D28" i="66" s="1"/>
  <c r="D29" i="66" s="1"/>
  <c r="D30" i="66" s="1"/>
  <c r="D31" i="66" s="1"/>
  <c r="D32" i="66" s="1"/>
  <c r="D33" i="66" s="1"/>
  <c r="D34" i="66" s="1"/>
  <c r="D35" i="66" s="1"/>
  <c r="D36" i="66" s="1"/>
  <c r="D37" i="66" s="1"/>
  <c r="D38" i="66" s="1"/>
  <c r="D39" i="66" s="1"/>
  <c r="D40" i="66" s="1"/>
  <c r="C26" i="66"/>
  <c r="C27" i="66" s="1"/>
  <c r="C28" i="66" s="1"/>
  <c r="C29" i="66" s="1"/>
  <c r="C30" i="66" s="1"/>
  <c r="C31" i="66" s="1"/>
  <c r="C32" i="66" s="1"/>
  <c r="C33" i="66" s="1"/>
  <c r="C34" i="66" s="1"/>
  <c r="C35" i="66" s="1"/>
  <c r="C36" i="66" s="1"/>
  <c r="C37" i="66" s="1"/>
  <c r="C38" i="66" s="1"/>
  <c r="C39" i="66" s="1"/>
  <c r="C40" i="66" s="1"/>
  <c r="D14" i="66"/>
  <c r="D16" i="66" s="1"/>
  <c r="D18" i="66" s="1"/>
  <c r="D13" i="66"/>
  <c r="D15" i="66" s="1"/>
  <c r="D17" i="66" s="1"/>
  <c r="C217" i="66"/>
  <c r="C218" i="66" s="1"/>
  <c r="D217" i="66"/>
  <c r="D218" i="66" s="1"/>
  <c r="D78" i="68"/>
  <c r="D79" i="68" s="1"/>
  <c r="D80" i="68" s="1"/>
  <c r="D81" i="68" s="1"/>
  <c r="D82" i="68" s="1"/>
  <c r="C116" i="68"/>
  <c r="C117" i="68" s="1"/>
  <c r="C118" i="68" s="1"/>
  <c r="C119" i="68" s="1"/>
  <c r="C120" i="68" s="1"/>
  <c r="D166" i="68"/>
  <c r="D167" i="68" s="1"/>
  <c r="D168" i="68" s="1"/>
  <c r="D169" i="68" s="1"/>
  <c r="D170" i="68" s="1"/>
  <c r="C50" i="68"/>
  <c r="C51" i="68" s="1"/>
  <c r="C52" i="68" s="1"/>
  <c r="C53" i="68" s="1"/>
  <c r="C54" i="68" s="1"/>
  <c r="D116" i="68"/>
  <c r="D117" i="68" s="1"/>
  <c r="D118" i="68" s="1"/>
  <c r="D119" i="68" s="1"/>
  <c r="D120" i="68" s="1"/>
  <c r="D40" i="68"/>
  <c r="D41" i="68" s="1"/>
  <c r="D42" i="68" s="1"/>
  <c r="D43" i="68" s="1"/>
  <c r="D44" i="68" s="1"/>
  <c r="D50" i="68"/>
  <c r="D51" i="68" s="1"/>
  <c r="D52" i="68" s="1"/>
  <c r="D53" i="68" s="1"/>
  <c r="D54" i="68" s="1"/>
  <c r="C88" i="68"/>
  <c r="C89" i="68" s="1"/>
  <c r="C90" i="68" s="1"/>
  <c r="C91" i="68" s="1"/>
  <c r="C92" i="68" s="1"/>
  <c r="C178" i="68"/>
  <c r="C179" i="68" s="1"/>
  <c r="D88" i="68"/>
  <c r="D89" i="68" s="1"/>
  <c r="D90" i="68" s="1"/>
  <c r="D91" i="68" s="1"/>
  <c r="D92" i="68" s="1"/>
  <c r="D178" i="68"/>
  <c r="D179" i="68" s="1"/>
  <c r="C159" i="68"/>
  <c r="D61" i="68"/>
  <c r="D62" i="68" s="1"/>
  <c r="D63" i="68" s="1"/>
  <c r="D64" i="68" s="1"/>
  <c r="D65" i="68" s="1"/>
  <c r="D66" i="68" s="1"/>
  <c r="C99" i="68"/>
  <c r="C100" i="68" s="1"/>
  <c r="C101" i="68" s="1"/>
  <c r="C102" i="68" s="1"/>
  <c r="C103" i="68" s="1"/>
  <c r="C104" i="68" s="1"/>
  <c r="D159" i="68"/>
  <c r="C61" i="68"/>
  <c r="C62" i="68" s="1"/>
  <c r="C63" i="68" s="1"/>
  <c r="C64" i="68" s="1"/>
  <c r="C65" i="68" s="1"/>
  <c r="C66" i="68" s="1"/>
  <c r="C40" i="68"/>
  <c r="C41" i="68" s="1"/>
  <c r="C42" i="68" s="1"/>
  <c r="C43" i="68" s="1"/>
  <c r="C44" i="68" s="1"/>
  <c r="D99" i="68"/>
  <c r="D100" i="68" s="1"/>
  <c r="D101" i="68" s="1"/>
  <c r="D102" i="68" s="1"/>
  <c r="D103" i="68" s="1"/>
  <c r="D104" i="68" s="1"/>
  <c r="C166" i="68"/>
  <c r="C167" i="68" s="1"/>
  <c r="C168" i="68" s="1"/>
  <c r="C169" i="68" s="1"/>
  <c r="C170" i="68" s="1"/>
  <c r="C23" i="68"/>
  <c r="C24" i="68" s="1"/>
  <c r="C25" i="68" s="1"/>
  <c r="C26" i="68" s="1"/>
  <c r="C27" i="68" s="1"/>
  <c r="C28" i="68" s="1"/>
  <c r="D23" i="68"/>
  <c r="D24" i="68" s="1"/>
  <c r="D25" i="68" s="1"/>
  <c r="D26" i="68" s="1"/>
  <c r="D27" i="68" s="1"/>
  <c r="D28" i="68" s="1"/>
  <c r="C12" i="68"/>
  <c r="C13" i="68" s="1"/>
  <c r="C14" i="68" s="1"/>
  <c r="C15" i="68" s="1"/>
  <c r="C16" i="68" s="1"/>
  <c r="D12" i="68"/>
  <c r="D13" i="68" s="1"/>
  <c r="D14" i="68" s="1"/>
  <c r="D15" i="68" s="1"/>
  <c r="D16" i="68" s="1"/>
  <c r="B21" i="68"/>
  <c r="B76" i="68"/>
  <c r="B124" i="68"/>
  <c r="B164" i="68"/>
  <c r="B165" i="68" s="1"/>
  <c r="B133" i="68"/>
  <c r="B174" i="68"/>
  <c r="B175" i="68" s="1"/>
  <c r="B176" i="68" s="1"/>
  <c r="B177" i="68" s="1"/>
  <c r="B59" i="68"/>
  <c r="B114" i="68"/>
  <c r="B115" i="68" s="1"/>
  <c r="B116" i="68" s="1"/>
  <c r="B117" i="68" s="1"/>
  <c r="B154" i="68"/>
  <c r="B155" i="68" s="1"/>
  <c r="B156" i="68" s="1"/>
  <c r="B157" i="68" s="1"/>
  <c r="B158" i="68" s="1"/>
  <c r="B38" i="68"/>
  <c r="B86" i="68"/>
  <c r="B48" i="68"/>
  <c r="B97" i="68"/>
  <c r="B146" i="68"/>
  <c r="C10" i="66"/>
  <c r="C11" i="66" s="1"/>
  <c r="C12" i="66" s="1"/>
  <c r="C46" i="66"/>
  <c r="D46" i="66"/>
  <c r="B148" i="66"/>
  <c r="B69" i="66"/>
  <c r="B136" i="66"/>
  <c r="B194" i="66"/>
  <c r="B23" i="66"/>
  <c r="B90" i="66"/>
  <c r="B56" i="66"/>
  <c r="B115" i="66"/>
  <c r="B182" i="66"/>
  <c r="B208" i="66"/>
  <c r="B44" i="66"/>
  <c r="B102" i="66"/>
  <c r="B222" i="66"/>
  <c r="B10" i="68"/>
  <c r="B161" i="66"/>
  <c r="B10" i="66"/>
  <c r="C77" i="68"/>
  <c r="F4" i="68"/>
  <c r="H4" i="68"/>
  <c r="K4" i="68"/>
  <c r="Q4" i="68"/>
  <c r="J4" i="68"/>
  <c r="R4" i="68"/>
  <c r="O4" i="68"/>
  <c r="B166" i="68" l="1"/>
  <c r="B167" i="68" s="1"/>
  <c r="D126" i="66"/>
  <c r="D127" i="66" s="1"/>
  <c r="D128" i="66" s="1"/>
  <c r="D129" i="66" s="1"/>
  <c r="D130" i="66" s="1"/>
  <c r="D131" i="66" s="1"/>
  <c r="D132" i="66" s="1"/>
  <c r="C126" i="66"/>
  <c r="C127" i="66" s="1"/>
  <c r="C128" i="66" s="1"/>
  <c r="C129" i="66" s="1"/>
  <c r="C130" i="66" s="1"/>
  <c r="C131" i="66" s="1"/>
  <c r="C132" i="66" s="1"/>
  <c r="D47" i="66"/>
  <c r="D48" i="66" s="1"/>
  <c r="D49" i="66" s="1"/>
  <c r="D50" i="66" s="1"/>
  <c r="D51" i="66" s="1"/>
  <c r="D52" i="66" s="1"/>
  <c r="C47" i="66"/>
  <c r="C48" i="66" s="1"/>
  <c r="C49" i="66" s="1"/>
  <c r="C50" i="66" s="1"/>
  <c r="C51" i="66" s="1"/>
  <c r="C52" i="66" s="1"/>
  <c r="C14" i="66"/>
  <c r="C16" i="66" s="1"/>
  <c r="C18" i="66" s="1"/>
  <c r="C13" i="66"/>
  <c r="C15" i="66" s="1"/>
  <c r="C17" i="66" s="1"/>
  <c r="D67" i="68"/>
  <c r="D68" i="68" s="1"/>
  <c r="D69" i="68" s="1"/>
  <c r="D70" i="68" s="1"/>
  <c r="D71" i="68" s="1"/>
  <c r="D72" i="68" s="1"/>
  <c r="C78" i="68"/>
  <c r="C79" i="68" s="1"/>
  <c r="C80" i="68" s="1"/>
  <c r="C81" i="68" s="1"/>
  <c r="C82" i="68" s="1"/>
  <c r="C67" i="68"/>
  <c r="C68" i="68" s="1"/>
  <c r="C69" i="68" s="1"/>
  <c r="C70" i="68" s="1"/>
  <c r="C71" i="68" s="1"/>
  <c r="C72" i="68" s="1"/>
  <c r="C105" i="68"/>
  <c r="C106" i="68" s="1"/>
  <c r="C107" i="68" s="1"/>
  <c r="C108" i="68" s="1"/>
  <c r="C109" i="68" s="1"/>
  <c r="C110" i="68" s="1"/>
  <c r="D105" i="68"/>
  <c r="D106" i="68" s="1"/>
  <c r="D107" i="68" s="1"/>
  <c r="D108" i="68" s="1"/>
  <c r="D109" i="68" s="1"/>
  <c r="D110" i="68" s="1"/>
  <c r="D29" i="68"/>
  <c r="D30" i="68" s="1"/>
  <c r="D31" i="68" s="1"/>
  <c r="D32" i="68" s="1"/>
  <c r="D33" i="68" s="1"/>
  <c r="D34" i="68" s="1"/>
  <c r="C29" i="68"/>
  <c r="C30" i="68" s="1"/>
  <c r="C31" i="68" s="1"/>
  <c r="C32" i="68" s="1"/>
  <c r="C33" i="68" s="1"/>
  <c r="C34" i="68" s="1"/>
  <c r="B87" i="68"/>
  <c r="B88" i="68" s="1"/>
  <c r="B89" i="68" s="1"/>
  <c r="B60" i="68"/>
  <c r="B61" i="68" s="1"/>
  <c r="B62" i="68" s="1"/>
  <c r="B125" i="68"/>
  <c r="B39" i="68"/>
  <c r="B40" i="68" s="1"/>
  <c r="B41" i="68" s="1"/>
  <c r="B49" i="68"/>
  <c r="B50" i="68" s="1"/>
  <c r="B51" i="68" s="1"/>
  <c r="B77" i="68"/>
  <c r="B78" i="68" s="1"/>
  <c r="B79" i="68" s="1"/>
  <c r="B147" i="68"/>
  <c r="B148" i="68" s="1"/>
  <c r="B98" i="68"/>
  <c r="B99" i="68" s="1"/>
  <c r="B100" i="68" s="1"/>
  <c r="B134" i="68"/>
  <c r="B22" i="68"/>
  <c r="B23" i="68" s="1"/>
  <c r="B24" i="68" s="1"/>
  <c r="B137" i="66"/>
  <c r="B195" i="66"/>
  <c r="B183" i="66"/>
  <c r="B24" i="66"/>
  <c r="B162" i="66"/>
  <c r="B116" i="66"/>
  <c r="B209" i="66"/>
  <c r="B91" i="66"/>
  <c r="B70" i="66"/>
  <c r="B103" i="66"/>
  <c r="B223" i="66"/>
  <c r="B45" i="66"/>
  <c r="B57" i="66"/>
  <c r="B149" i="66"/>
  <c r="B11" i="68"/>
  <c r="B11" i="66"/>
  <c r="B12" i="68" l="1"/>
  <c r="B13" i="68" s="1"/>
  <c r="B168" i="68"/>
  <c r="B135" i="68"/>
  <c r="B126" i="68"/>
  <c r="B58" i="66"/>
  <c r="B59" i="66" s="1"/>
  <c r="B71" i="66"/>
  <c r="B72" i="66" s="1"/>
  <c r="B163" i="66"/>
  <c r="B164" i="66" s="1"/>
  <c r="B46" i="66"/>
  <c r="B47" i="66" s="1"/>
  <c r="B92" i="66"/>
  <c r="B93" i="66" s="1"/>
  <c r="B25" i="66"/>
  <c r="B26" i="66" s="1"/>
  <c r="B224" i="66"/>
  <c r="B225" i="66" s="1"/>
  <c r="B226" i="66" s="1"/>
  <c r="B227" i="66" s="1"/>
  <c r="B228" i="66" s="1"/>
  <c r="B229" i="66" s="1"/>
  <c r="B210" i="66"/>
  <c r="B211" i="66" s="1"/>
  <c r="B184" i="66"/>
  <c r="B185" i="66" s="1"/>
  <c r="B186" i="66" s="1"/>
  <c r="B187" i="66" s="1"/>
  <c r="B188" i="66" s="1"/>
  <c r="B189" i="66" s="1"/>
  <c r="B190" i="66" s="1"/>
  <c r="B150" i="66"/>
  <c r="B151" i="66" s="1"/>
  <c r="B104" i="66"/>
  <c r="B105" i="66" s="1"/>
  <c r="B117" i="66"/>
  <c r="B118" i="66" s="1"/>
  <c r="B196" i="66"/>
  <c r="B197" i="66" s="1"/>
  <c r="B198" i="66" s="1"/>
  <c r="B199" i="66" s="1"/>
  <c r="B200" i="66" s="1"/>
  <c r="B201" i="66" s="1"/>
  <c r="B138" i="66"/>
  <c r="B139" i="66" s="1"/>
  <c r="B12" i="66"/>
  <c r="B149" i="68"/>
  <c r="B150" i="68" s="1"/>
  <c r="B118" i="68"/>
  <c r="J148" i="68" l="1"/>
  <c r="B212" i="66"/>
  <c r="B213" i="66" s="1"/>
  <c r="B214" i="66" s="1"/>
  <c r="B215" i="66" s="1"/>
  <c r="B216" i="66" s="1"/>
  <c r="B165" i="66"/>
  <c r="B166" i="66" s="1"/>
  <c r="B167" i="66" s="1"/>
  <c r="B152" i="66"/>
  <c r="B153" i="66" s="1"/>
  <c r="B154" i="66" s="1"/>
  <c r="B94" i="66"/>
  <c r="B60" i="66"/>
  <c r="B61" i="66" s="1"/>
  <c r="B62" i="66" s="1"/>
  <c r="B73" i="66"/>
  <c r="B74" i="66" s="1"/>
  <c r="B75" i="66" s="1"/>
  <c r="B76" i="66" s="1"/>
  <c r="B77" i="66" s="1"/>
  <c r="B78" i="66" s="1"/>
  <c r="B79" i="66" s="1"/>
  <c r="B80" i="66" s="1"/>
  <c r="B140" i="66"/>
  <c r="B119" i="66"/>
  <c r="B106" i="66"/>
  <c r="B107" i="66" s="1"/>
  <c r="B108" i="66" s="1"/>
  <c r="B48" i="66"/>
  <c r="B27" i="66"/>
  <c r="B28" i="66" s="1"/>
  <c r="B29" i="66" s="1"/>
  <c r="B30" i="66" s="1"/>
  <c r="B31" i="66" s="1"/>
  <c r="B32" i="66" s="1"/>
  <c r="B33" i="66" s="1"/>
  <c r="B34" i="66" s="1"/>
  <c r="B13" i="66"/>
  <c r="B136" i="68"/>
  <c r="B90" i="68"/>
  <c r="B80" i="68"/>
  <c r="B52" i="68"/>
  <c r="B42" i="68"/>
  <c r="B25" i="68"/>
  <c r="B127" i="68"/>
  <c r="B128" i="68" s="1"/>
  <c r="B63" i="68"/>
  <c r="B101" i="68"/>
  <c r="B14" i="66"/>
  <c r="B16" i="66" s="1"/>
  <c r="B14" i="68"/>
  <c r="B119" i="68"/>
  <c r="B120" i="68" s="1"/>
  <c r="J118" i="68" l="1"/>
  <c r="B168" i="66"/>
  <c r="B169" i="66" s="1"/>
  <c r="B170" i="66" s="1"/>
  <c r="B171" i="66" s="1"/>
  <c r="B172" i="66" s="1"/>
  <c r="B173" i="66" s="1"/>
  <c r="B174" i="66" s="1"/>
  <c r="B175" i="66" s="1"/>
  <c r="B18" i="66"/>
  <c r="B95" i="66"/>
  <c r="B81" i="66"/>
  <c r="B82" i="66" s="1"/>
  <c r="B83" i="66" s="1"/>
  <c r="B84" i="66" s="1"/>
  <c r="B141" i="66"/>
  <c r="B120" i="66"/>
  <c r="B49" i="66"/>
  <c r="B35" i="66"/>
  <c r="B36" i="66" s="1"/>
  <c r="B37" i="66" s="1"/>
  <c r="B15" i="66"/>
  <c r="B102" i="68"/>
  <c r="B91" i="68"/>
  <c r="B92" i="68" s="1"/>
  <c r="B26" i="68"/>
  <c r="B81" i="68"/>
  <c r="B82" i="68" s="1"/>
  <c r="B169" i="68"/>
  <c r="B170" i="68" s="1"/>
  <c r="B53" i="68"/>
  <c r="B54" i="68" s="1"/>
  <c r="B43" i="68"/>
  <c r="B44" i="68" s="1"/>
  <c r="B137" i="68"/>
  <c r="B64" i="68"/>
  <c r="B159" i="68"/>
  <c r="B178" i="68"/>
  <c r="B179" i="68" s="1"/>
  <c r="B155" i="66"/>
  <c r="B156" i="66" s="1"/>
  <c r="B15" i="68"/>
  <c r="J80" i="68" l="1"/>
  <c r="J42" i="68"/>
  <c r="J177" i="68"/>
  <c r="B17" i="66"/>
  <c r="B96" i="66"/>
  <c r="B142" i="66"/>
  <c r="B121" i="66"/>
  <c r="B50" i="66"/>
  <c r="B202" i="66"/>
  <c r="B203" i="66" s="1"/>
  <c r="B138" i="68"/>
  <c r="B65" i="68"/>
  <c r="B27" i="68"/>
  <c r="B103" i="68"/>
  <c r="B109" i="66"/>
  <c r="B110" i="66" s="1"/>
  <c r="B63" i="66"/>
  <c r="B64" i="66" s="1"/>
  <c r="B230" i="66"/>
  <c r="B231" i="66" s="1"/>
  <c r="B217" i="66"/>
  <c r="B218" i="66" s="1"/>
  <c r="B16" i="68"/>
  <c r="B122" i="66" l="1"/>
  <c r="B123" i="66" s="1"/>
  <c r="B97" i="66"/>
  <c r="B98" i="66" s="1"/>
  <c r="B143" i="66"/>
  <c r="B144" i="66" s="1"/>
  <c r="B28" i="68"/>
  <c r="B29" i="68" s="1"/>
  <c r="B30" i="68" s="1"/>
  <c r="B66" i="68"/>
  <c r="B67" i="68" s="1"/>
  <c r="B68" i="68" s="1"/>
  <c r="B104" i="68"/>
  <c r="B105" i="68" s="1"/>
  <c r="B106" i="68" s="1"/>
  <c r="B139" i="68"/>
  <c r="B140" i="68" l="1"/>
  <c r="B141" i="68" s="1"/>
  <c r="B142" i="68" s="1"/>
  <c r="B124" i="66"/>
  <c r="B107" i="68" l="1"/>
  <c r="B69" i="68"/>
  <c r="B31" i="68"/>
  <c r="B125" i="66"/>
  <c r="B126" i="66" s="1"/>
  <c r="B127" i="66" l="1"/>
  <c r="B128" i="66" s="1"/>
  <c r="B129" i="66" s="1"/>
  <c r="B51" i="66"/>
  <c r="B52" i="66" s="1"/>
  <c r="B108" i="68"/>
  <c r="B109" i="68" s="1"/>
  <c r="B110" i="68" s="1"/>
  <c r="B70" i="68"/>
  <c r="B71" i="68" s="1"/>
  <c r="B72" i="68" s="1"/>
  <c r="B32" i="68"/>
  <c r="B33" i="68" s="1"/>
  <c r="B34" i="68" s="1"/>
  <c r="B130" i="66" l="1"/>
  <c r="B131" i="66" s="1"/>
  <c r="B132" i="66" s="1"/>
  <c r="B176" i="66"/>
  <c r="B177" i="66" s="1"/>
  <c r="B178" i="66" s="1"/>
  <c r="B38" i="66"/>
  <c r="B39" i="66" s="1"/>
  <c r="B40" i="66" s="1"/>
  <c r="B85" i="66"/>
  <c r="B86" i="66" s="1"/>
  <c r="M4" i="66" l="1"/>
  <c r="O3" i="66"/>
  <c r="P4" i="66" s="1"/>
  <c r="P211" i="66" s="1" a="1"/>
  <c r="P211" i="66" s="1"/>
  <c r="H3" i="66"/>
  <c r="J4" i="66" s="1"/>
  <c r="O4" i="66" l="1"/>
  <c r="H4" i="66"/>
  <c r="I4" i="66"/>
  <c r="Q4" i="66"/>
  <c r="K4" i="66"/>
  <c r="R4" i="66"/>
  <c r="F4" i="66"/>
  <c r="M4" i="52" l="1"/>
  <c r="H7" i="61" l="1"/>
  <c r="I7" i="61"/>
  <c r="M8" i="61"/>
  <c r="K8" i="61"/>
  <c r="J8" i="61"/>
  <c r="I8" i="61"/>
  <c r="H8" i="61"/>
  <c r="E8" i="61"/>
  <c r="C8" i="61"/>
  <c r="M7" i="61"/>
  <c r="K7" i="61"/>
  <c r="J7" i="61"/>
  <c r="F7" i="61"/>
  <c r="E7" i="61"/>
  <c r="C7" i="61"/>
  <c r="M6" i="61"/>
  <c r="K6" i="61"/>
  <c r="J6" i="61"/>
  <c r="I6" i="61"/>
  <c r="H6" i="61"/>
  <c r="F6" i="61"/>
  <c r="E6" i="61"/>
  <c r="C6" i="61"/>
  <c r="M5" i="61"/>
  <c r="K5" i="61"/>
  <c r="J5" i="61"/>
  <c r="I5" i="61"/>
  <c r="H5" i="61"/>
  <c r="F5" i="61"/>
  <c r="E5" i="61"/>
  <c r="C5" i="61"/>
  <c r="F19" i="52" l="1" a="1"/>
  <c r="F19" i="52" s="1"/>
  <c r="F52" i="98" a="1"/>
  <c r="F52" i="98" s="1"/>
  <c r="F102" i="98" a="1"/>
  <c r="F102" i="98" s="1"/>
  <c r="F92" i="98" a="1"/>
  <c r="F92" i="98" s="1"/>
  <c r="F122" i="98" a="1"/>
  <c r="F122" i="98" s="1"/>
  <c r="F42" i="98" a="1"/>
  <c r="F42" i="98" s="1"/>
  <c r="F112" i="98" a="1"/>
  <c r="F112" i="98" s="1"/>
  <c r="F72" i="98" a="1"/>
  <c r="F72" i="98" s="1"/>
  <c r="F142" i="98" a="1"/>
  <c r="F142" i="98" s="1"/>
  <c r="F62" i="98" a="1"/>
  <c r="F62" i="98" s="1"/>
  <c r="F82" i="98" a="1"/>
  <c r="F82" i="98" s="1"/>
  <c r="F132" i="98" a="1"/>
  <c r="F132" i="98" s="1"/>
  <c r="F83" i="98" a="1"/>
  <c r="F83" i="98" s="1"/>
  <c r="F53" i="98" a="1"/>
  <c r="F53" i="98" s="1"/>
  <c r="F143" i="98" a="1"/>
  <c r="F143" i="98" s="1"/>
  <c r="F152" i="98" a="1"/>
  <c r="F152" i="98" s="1"/>
  <c r="F43" i="98" a="1"/>
  <c r="F43" i="98" s="1"/>
  <c r="F113" i="98" a="1"/>
  <c r="F113" i="98" s="1"/>
  <c r="F93" i="98" a="1"/>
  <c r="F93" i="98" s="1"/>
  <c r="F103" i="98" a="1"/>
  <c r="F103" i="98" s="1"/>
  <c r="F133" i="98" a="1"/>
  <c r="F133" i="98" s="1"/>
  <c r="F73" i="98" a="1"/>
  <c r="F73" i="98" s="1"/>
  <c r="F153" i="98" a="1"/>
  <c r="F153" i="98" s="1"/>
  <c r="F23" i="98" a="1"/>
  <c r="F23" i="98" s="1"/>
  <c r="F154" i="98" a="1"/>
  <c r="F154" i="98" s="1"/>
  <c r="E12" i="114" a="1"/>
  <c r="E12" i="114" s="1"/>
  <c r="E11" i="114" s="1"/>
  <c r="E12" i="115" a="1"/>
  <c r="E12" i="115" s="1"/>
  <c r="E11" i="115" s="1"/>
  <c r="E12" i="116" a="1"/>
  <c r="E12" i="116" s="1"/>
  <c r="E11" i="116" s="1"/>
  <c r="E12" i="113" a="1"/>
  <c r="E12" i="113" s="1"/>
  <c r="E11" i="113" s="1"/>
  <c r="E12" i="108" a="1"/>
  <c r="E12" i="108" s="1"/>
  <c r="E11" i="108" s="1"/>
  <c r="F60" i="98" a="1"/>
  <c r="F60" i="98" s="1"/>
  <c r="F90" i="98" a="1"/>
  <c r="F90" i="98" s="1"/>
  <c r="F149" i="98" a="1"/>
  <c r="F149" i="98" s="1"/>
  <c r="F30" i="98" a="1"/>
  <c r="F30" i="98" s="1"/>
  <c r="F59" i="98" a="1"/>
  <c r="F59" i="98" s="1"/>
  <c r="F120" i="98" a="1"/>
  <c r="F120" i="98" s="1"/>
  <c r="F29" i="98" a="1"/>
  <c r="F29" i="98" s="1"/>
  <c r="F119" i="98" a="1"/>
  <c r="F119" i="98" s="1"/>
  <c r="F89" i="98" a="1"/>
  <c r="F89" i="98" s="1"/>
  <c r="F121" i="98" a="1"/>
  <c r="F121" i="98" s="1"/>
  <c r="F150" i="98" a="1"/>
  <c r="F150" i="98" s="1"/>
  <c r="F31" i="98" a="1"/>
  <c r="F31" i="98" s="1"/>
  <c r="F32" i="98" s="1"/>
  <c r="F91" i="98" a="1"/>
  <c r="F91" i="98" s="1"/>
  <c r="J91" i="98" s="1"/>
  <c r="F61" i="98" a="1"/>
  <c r="F61" i="98" s="1"/>
  <c r="F63" i="98" a="1"/>
  <c r="F63" i="98" s="1"/>
  <c r="F123" i="98" a="1"/>
  <c r="F123" i="98" s="1"/>
  <c r="F151" i="98" a="1"/>
  <c r="F151" i="98" s="1"/>
  <c r="F64" i="98" a="1"/>
  <c r="F64" i="98" s="1"/>
  <c r="F124" i="98" a="1"/>
  <c r="F124" i="98" s="1"/>
  <c r="F94" i="98" a="1"/>
  <c r="F94" i="98" s="1"/>
  <c r="F116" i="68" a="1"/>
  <c r="F116" i="68" s="1"/>
  <c r="F175" i="68" a="1"/>
  <c r="F175" i="68" s="1"/>
  <c r="F78" i="68" a="1"/>
  <c r="F78" i="68" s="1"/>
  <c r="F40" i="68" a="1"/>
  <c r="F40" i="68" s="1"/>
  <c r="F185" i="66" a="1"/>
  <c r="F185" i="66" s="1"/>
  <c r="F139" i="66" a="1"/>
  <c r="F139" i="66" s="1"/>
  <c r="F225" i="66" a="1"/>
  <c r="F225" i="66" s="1"/>
  <c r="F93" i="66" a="1"/>
  <c r="F93" i="66" s="1"/>
  <c r="F47" i="66" a="1"/>
  <c r="F47" i="66" s="1"/>
  <c r="F48" i="66" a="1"/>
  <c r="F48" i="66" s="1"/>
  <c r="F227" i="66" a="1"/>
  <c r="F227" i="66" s="1"/>
  <c r="F94" i="66" a="1"/>
  <c r="F94" i="66" s="1"/>
  <c r="F140" i="66" a="1"/>
  <c r="F140" i="66" s="1"/>
  <c r="F49" i="66" a="1"/>
  <c r="F49" i="66" s="1"/>
  <c r="F141" i="66" a="1"/>
  <c r="F141" i="66" s="1"/>
  <c r="F95" i="66" a="1"/>
  <c r="F95" i="66" s="1"/>
  <c r="F50" i="66" a="1"/>
  <c r="F50" i="66" s="1"/>
  <c r="F142" i="66" a="1"/>
  <c r="F142" i="66" s="1"/>
  <c r="F96" i="66" a="1"/>
  <c r="F96" i="66" s="1"/>
  <c r="F61" i="52" a="1"/>
  <c r="F61" i="52" s="1"/>
  <c r="F60" i="52" a="1"/>
  <c r="F60" i="52" s="1"/>
  <c r="F89" i="52" a="1"/>
  <c r="F89" i="52" s="1"/>
  <c r="F117" i="52" a="1"/>
  <c r="F117" i="52" s="1"/>
  <c r="F32" i="52" a="1"/>
  <c r="F32" i="52" s="1"/>
  <c r="F142" i="52" a="1"/>
  <c r="F142" i="52" s="1"/>
  <c r="F80" i="68" a="1"/>
  <c r="F80" i="68" s="1"/>
  <c r="F188" i="66" a="1"/>
  <c r="F188" i="66" s="1"/>
  <c r="F177" i="68" a="1"/>
  <c r="F177" i="68" s="1"/>
  <c r="F42" i="68" a="1"/>
  <c r="F42" i="68" s="1"/>
  <c r="F148" i="68" a="1"/>
  <c r="F148" i="68" s="1"/>
  <c r="F229" i="66" a="1"/>
  <c r="F229" i="66" s="1"/>
  <c r="F118" i="68" a="1"/>
  <c r="F118" i="68" s="1"/>
  <c r="F173" i="68" a="1"/>
  <c r="F173" i="68" s="1"/>
  <c r="F113" i="68" a="1"/>
  <c r="F113" i="68" s="1"/>
  <c r="F174" i="68" a="1"/>
  <c r="F174" i="68" s="1"/>
  <c r="F38" i="68" a="1"/>
  <c r="F38" i="68" s="1"/>
  <c r="F91" i="66" a="1"/>
  <c r="F91" i="66" s="1"/>
  <c r="F145" i="68" a="1"/>
  <c r="F145" i="68" s="1"/>
  <c r="F37" i="68" a="1"/>
  <c r="F37" i="68" s="1"/>
  <c r="F146" i="68" a="1"/>
  <c r="F146" i="68" s="1"/>
  <c r="F114" i="68" a="1"/>
  <c r="F114" i="68" s="1"/>
  <c r="F75" i="68" a="1"/>
  <c r="F75" i="68" s="1"/>
  <c r="F223" i="66" a="1"/>
  <c r="F223" i="66" s="1"/>
  <c r="F137" i="66" a="1"/>
  <c r="F137" i="66" s="1"/>
  <c r="F76" i="68" a="1"/>
  <c r="F76" i="68" s="1"/>
  <c r="F45" i="66" a="1"/>
  <c r="F45" i="66" s="1"/>
  <c r="F39" i="68" a="1"/>
  <c r="F39" i="68" s="1"/>
  <c r="F183" i="66" a="1"/>
  <c r="F183" i="66" s="1"/>
  <c r="F77" i="68" a="1"/>
  <c r="F77" i="68" s="1"/>
  <c r="F147" i="68" a="1"/>
  <c r="F147" i="68" s="1"/>
  <c r="F176" i="68" a="1"/>
  <c r="F176" i="68" s="1"/>
  <c r="F41" i="68" a="1"/>
  <c r="F41" i="68" s="1"/>
  <c r="F79" i="68" a="1"/>
  <c r="F79" i="68" s="1"/>
  <c r="F115" i="68" a="1"/>
  <c r="F115" i="68" s="1"/>
  <c r="F117" i="68" a="1"/>
  <c r="F117" i="68" s="1"/>
  <c r="F140" i="52" a="1"/>
  <c r="F140" i="52" s="1"/>
  <c r="F141" i="52" a="1"/>
  <c r="F141" i="52" s="1"/>
  <c r="F86" i="52" a="1"/>
  <c r="F86" i="52" s="1"/>
  <c r="F115" i="52" a="1"/>
  <c r="F115" i="52" s="1"/>
  <c r="F116" i="52" a="1"/>
  <c r="F116" i="52" s="1"/>
  <c r="F87" i="52" a="1"/>
  <c r="F87" i="52" s="1"/>
  <c r="J4" i="61"/>
  <c r="H4" i="61"/>
  <c r="C4" i="61"/>
  <c r="F4" i="61"/>
  <c r="K4" i="61"/>
  <c r="E4" i="61"/>
  <c r="M4" i="61"/>
  <c r="I4" i="61"/>
  <c r="H27" i="57" a="1"/>
  <c r="H21" i="57" a="1"/>
  <c r="H33" i="57" a="1"/>
  <c r="H15" i="57" a="1"/>
  <c r="F33" i="98" l="1"/>
  <c r="F34" i="98" s="1"/>
  <c r="J32" i="98"/>
  <c r="H27" i="57"/>
  <c r="H33" i="57"/>
  <c r="H15" i="57"/>
  <c r="H21" i="57"/>
  <c r="O3" i="52" l="1"/>
  <c r="H3" i="52"/>
  <c r="H9" i="57" a="1"/>
  <c r="R4" i="52" l="1"/>
  <c r="O4" i="52"/>
  <c r="K4" i="52"/>
  <c r="H4" i="52"/>
  <c r="H9" i="57"/>
  <c r="F4" i="52"/>
  <c r="I4" i="52"/>
  <c r="J4" i="52"/>
  <c r="P4" i="52"/>
  <c r="O65" i="52" a="1"/>
  <c r="O65" i="52" s="1"/>
  <c r="Q4" i="52"/>
  <c r="H107" i="52" l="1" a="1"/>
  <c r="H107" i="52" s="1"/>
  <c r="H75" i="52" a="1"/>
  <c r="H75" i="52" s="1"/>
  <c r="H47" i="52" a="1"/>
  <c r="H47" i="52" s="1"/>
  <c r="H51" i="52" a="1"/>
  <c r="H51" i="52" s="1"/>
  <c r="H105" i="52" a="1"/>
  <c r="H105" i="52" s="1"/>
  <c r="H48" i="52" a="1"/>
  <c r="H48" i="52" s="1"/>
  <c r="H104" i="52" a="1"/>
  <c r="H104" i="52" s="1"/>
  <c r="H19" i="52" a="1"/>
  <c r="H19" i="52" s="1"/>
  <c r="H50" i="52" a="1"/>
  <c r="H50" i="52" s="1"/>
  <c r="H23" i="52" a="1"/>
  <c r="H23" i="52" s="1"/>
  <c r="H133" i="52" a="1"/>
  <c r="H133" i="52" s="1"/>
  <c r="H79" i="52" a="1"/>
  <c r="H79" i="52" s="1"/>
  <c r="H22" i="52" a="1"/>
  <c r="H22" i="52" s="1"/>
  <c r="H76" i="52" a="1"/>
  <c r="H76" i="52" s="1"/>
  <c r="H132" i="52" a="1"/>
  <c r="H132" i="52" s="1"/>
  <c r="H78" i="52" a="1"/>
  <c r="H78" i="52" s="1"/>
  <c r="H20" i="52" a="1"/>
  <c r="H20" i="52" s="1"/>
  <c r="H108" i="52" a="1"/>
  <c r="H108" i="52" s="1"/>
  <c r="O132" i="52" a="1"/>
  <c r="O132" i="52" s="1"/>
  <c r="O75" i="52" a="1"/>
  <c r="O75" i="52" s="1"/>
  <c r="O108" i="52" a="1"/>
  <c r="O108" i="52" s="1"/>
  <c r="O51" i="52" a="1"/>
  <c r="O51" i="52" s="1"/>
  <c r="O48" i="52" a="1"/>
  <c r="O48" i="52" s="1"/>
  <c r="O107" i="52" a="1"/>
  <c r="O107" i="52" s="1"/>
  <c r="O50" i="52" a="1"/>
  <c r="O50" i="52" s="1"/>
  <c r="O105" i="52" a="1"/>
  <c r="O105" i="52" s="1"/>
  <c r="O104" i="52" a="1"/>
  <c r="O104" i="52" s="1"/>
  <c r="O47" i="52" a="1"/>
  <c r="O47" i="52" s="1"/>
  <c r="O79" i="52" a="1"/>
  <c r="O79" i="52" s="1"/>
  <c r="O78" i="52" a="1"/>
  <c r="O78" i="52" s="1"/>
  <c r="O133" i="52" a="1"/>
  <c r="O133" i="52" s="1"/>
  <c r="O76" i="52" a="1"/>
  <c r="O76" i="52" s="1"/>
  <c r="O23" i="52" a="1"/>
  <c r="O23" i="52" s="1"/>
  <c r="O22" i="52" a="1"/>
  <c r="O22" i="52" s="1"/>
  <c r="O20" i="52" a="1"/>
  <c r="O20" i="52" s="1"/>
  <c r="O19" i="52" a="1"/>
  <c r="O19" i="52" s="1"/>
  <c r="P94" i="52" a="1"/>
  <c r="P94" i="52" s="1"/>
  <c r="P130" i="52"/>
  <c r="P133" i="52"/>
  <c r="I94" i="52" a="1"/>
  <c r="I94" i="52" s="1"/>
  <c r="I133" i="52"/>
  <c r="O94" i="52" a="1"/>
  <c r="O94" i="52" s="1"/>
  <c r="O17" i="52" a="1"/>
  <c r="O17" i="52" s="1"/>
  <c r="O16" i="52" a="1"/>
  <c r="O16" i="52" s="1"/>
  <c r="P19" i="52" a="1"/>
  <c r="P19" i="52" s="1"/>
  <c r="P44" i="52" a="1"/>
  <c r="P44" i="52" s="1"/>
  <c r="H10" i="52" a="1"/>
  <c r="H10" i="52" s="1"/>
  <c r="H9" i="52" a="1"/>
  <c r="H9" i="52" s="1"/>
  <c r="I75" i="52" a="1"/>
  <c r="I75" i="52" s="1"/>
  <c r="I22" i="52" a="1"/>
  <c r="I22" i="52" s="1"/>
  <c r="P22" i="52" a="1"/>
  <c r="P22" i="52" s="1"/>
  <c r="P9" i="52" a="1"/>
  <c r="P9" i="52" s="1"/>
  <c r="O9" i="52" a="1"/>
  <c r="O9" i="52" s="1"/>
  <c r="O44" i="52" a="1"/>
  <c r="O44" i="52" s="1"/>
  <c r="H16" i="52" a="1"/>
  <c r="H16" i="52" s="1"/>
  <c r="H30" i="52" a="1"/>
  <c r="H30" i="52" s="1"/>
  <c r="H17" i="52" a="1"/>
  <c r="H17" i="52" s="1"/>
  <c r="I122" i="52" a="1"/>
  <c r="I122" i="52" s="1"/>
  <c r="I65" i="52" a="1"/>
  <c r="I65" i="52" s="1"/>
  <c r="I67" i="52" s="1"/>
  <c r="I86" i="52" a="1"/>
  <c r="I86" i="52" s="1"/>
  <c r="I89" i="52" s="1"/>
  <c r="I140" i="52" a="1"/>
  <c r="I140" i="52" s="1"/>
  <c r="I72" i="52" a="1"/>
  <c r="I72" i="52" s="1"/>
  <c r="I129" i="52" a="1"/>
  <c r="I129" i="52" s="1"/>
  <c r="I132" i="52" a="1"/>
  <c r="I132" i="52" s="1"/>
  <c r="I78" i="52" a="1"/>
  <c r="I78" i="52" s="1"/>
  <c r="P65" i="52" a="1"/>
  <c r="P65" i="52" s="1"/>
  <c r="P67" i="52" s="1"/>
  <c r="P86" i="52" a="1"/>
  <c r="P86" i="52" s="1"/>
  <c r="P122" i="52" a="1"/>
  <c r="P122" i="52" s="1"/>
  <c r="P72" i="52" a="1"/>
  <c r="P72" i="52" s="1"/>
  <c r="P129" i="52" a="1"/>
  <c r="P129" i="52" s="1"/>
  <c r="P75" i="52" a="1"/>
  <c r="P75" i="52" s="1"/>
  <c r="P132" i="52" a="1"/>
  <c r="P132" i="52" s="1"/>
  <c r="P78" i="52" a="1"/>
  <c r="P78" i="52" s="1"/>
  <c r="O86" i="52" a="1"/>
  <c r="O86" i="52" s="1"/>
  <c r="O140" i="52" a="1"/>
  <c r="O140" i="52" s="1"/>
  <c r="O122" i="52" a="1"/>
  <c r="O122" i="52" s="1"/>
  <c r="O72" i="52" a="1"/>
  <c r="O72" i="52" s="1"/>
  <c r="O130" i="52" a="1"/>
  <c r="O130" i="52" s="1"/>
  <c r="O87" i="52" a="1"/>
  <c r="O87" i="52" s="1"/>
  <c r="O129" i="52" a="1"/>
  <c r="O129" i="52" s="1"/>
  <c r="O141" i="52" a="1"/>
  <c r="O141" i="52" s="1"/>
  <c r="O66" i="52" a="1"/>
  <c r="O66" i="52" s="1"/>
  <c r="O67" i="52" s="1"/>
  <c r="O123" i="52" a="1"/>
  <c r="O123" i="52" s="1"/>
  <c r="O73" i="52" a="1"/>
  <c r="O73" i="52" s="1"/>
  <c r="H140" i="52" a="1"/>
  <c r="H140" i="52" s="1"/>
  <c r="H122" i="52" a="1"/>
  <c r="H122" i="52" s="1"/>
  <c r="H65" i="52" a="1"/>
  <c r="H65" i="52" s="1"/>
  <c r="H86" i="52" a="1"/>
  <c r="H86" i="52" s="1"/>
  <c r="H129" i="52" a="1"/>
  <c r="H129" i="52" s="1"/>
  <c r="H87" i="52" a="1"/>
  <c r="H87" i="52" s="1"/>
  <c r="H141" i="52" a="1"/>
  <c r="H141" i="52" s="1"/>
  <c r="H130" i="52" a="1"/>
  <c r="H130" i="52" s="1"/>
  <c r="H66" i="52" a="1"/>
  <c r="H66" i="52" s="1"/>
  <c r="H123" i="52" a="1"/>
  <c r="H123" i="52" s="1"/>
  <c r="H72" i="52" a="1"/>
  <c r="H72" i="52" s="1"/>
  <c r="H73" i="52" a="1"/>
  <c r="H73" i="52" s="1"/>
  <c r="P58" i="52" a="1"/>
  <c r="P58" i="52" s="1"/>
  <c r="P60" i="52" s="1"/>
  <c r="P115" i="52" a="1"/>
  <c r="P115" i="52" s="1"/>
  <c r="P101" i="52" a="1"/>
  <c r="P101" i="52" s="1"/>
  <c r="P37" i="52" a="1"/>
  <c r="P37" i="52" s="1"/>
  <c r="P39" i="52" s="1"/>
  <c r="P104" i="52" a="1"/>
  <c r="P104" i="52" s="1"/>
  <c r="P47" i="52" a="1"/>
  <c r="P47" i="52" s="1"/>
  <c r="P107" i="52" a="1"/>
  <c r="P107" i="52" s="1"/>
  <c r="P50" i="52" a="1"/>
  <c r="P50" i="52" s="1"/>
  <c r="O59" i="52" a="1"/>
  <c r="O59" i="52" s="1"/>
  <c r="O58" i="52" a="1"/>
  <c r="O58" i="52" s="1"/>
  <c r="O101" i="52" a="1"/>
  <c r="O101" i="52" s="1"/>
  <c r="O115" i="52" a="1"/>
  <c r="O115" i="52" s="1"/>
  <c r="O95" i="52" a="1"/>
  <c r="O95" i="52" s="1"/>
  <c r="O116" i="52" a="1"/>
  <c r="O116" i="52" s="1"/>
  <c r="O102" i="52" a="1"/>
  <c r="O102" i="52" s="1"/>
  <c r="O37" i="52" a="1"/>
  <c r="O37" i="52" s="1"/>
  <c r="O38" i="52" a="1"/>
  <c r="O38" i="52" s="1"/>
  <c r="O45" i="52" a="1"/>
  <c r="O45" i="52" s="1"/>
  <c r="I58" i="52" a="1"/>
  <c r="I58" i="52" s="1"/>
  <c r="I60" i="52" s="1"/>
  <c r="I101" i="52" a="1"/>
  <c r="I101" i="52" s="1"/>
  <c r="I115" i="52" a="1"/>
  <c r="I115" i="52" s="1"/>
  <c r="I37" i="52" a="1"/>
  <c r="I37" i="52" s="1"/>
  <c r="I39" i="52" s="1"/>
  <c r="I44" i="52" a="1"/>
  <c r="I44" i="52" s="1"/>
  <c r="I104" i="52" a="1"/>
  <c r="I104" i="52" s="1"/>
  <c r="I47" i="52" a="1"/>
  <c r="I47" i="52" s="1"/>
  <c r="I107" i="52" a="1"/>
  <c r="I107" i="52" s="1"/>
  <c r="I50" i="52" a="1"/>
  <c r="I50" i="52" s="1"/>
  <c r="H59" i="52" a="1"/>
  <c r="H59" i="52" s="1"/>
  <c r="H58" i="52" a="1"/>
  <c r="H58" i="52" s="1"/>
  <c r="H115" i="52" a="1"/>
  <c r="H115" i="52" s="1"/>
  <c r="H94" i="52" a="1"/>
  <c r="H94" i="52" s="1"/>
  <c r="H101" i="52" a="1"/>
  <c r="H101" i="52" s="1"/>
  <c r="H116" i="52" a="1"/>
  <c r="H116" i="52" s="1"/>
  <c r="H95" i="52" a="1"/>
  <c r="H95" i="52" s="1"/>
  <c r="H102" i="52" a="1"/>
  <c r="H102" i="52" s="1"/>
  <c r="H37" i="52" a="1"/>
  <c r="H37" i="52" s="1"/>
  <c r="H44" i="52" a="1"/>
  <c r="H44" i="52" s="1"/>
  <c r="H38" i="52" a="1"/>
  <c r="H38" i="52" s="1"/>
  <c r="H45" i="52" a="1"/>
  <c r="H45" i="52" s="1"/>
  <c r="H31" i="52" a="1"/>
  <c r="H31" i="52" s="1"/>
  <c r="O30" i="52" a="1"/>
  <c r="O30" i="52" s="1"/>
  <c r="O31" i="52" a="1"/>
  <c r="O31" i="52" s="1"/>
  <c r="P30" i="52" a="1"/>
  <c r="P30" i="52" s="1"/>
  <c r="I30" i="52" a="1"/>
  <c r="I30" i="52" s="1"/>
  <c r="I32" i="52" s="1"/>
  <c r="I9" i="52" a="1"/>
  <c r="I9" i="52" s="1"/>
  <c r="O10" i="52" a="1"/>
  <c r="O10" i="52" s="1"/>
  <c r="I16" i="52" a="1"/>
  <c r="I16" i="52" s="1"/>
  <c r="I19" i="52" a="1"/>
  <c r="I19" i="52" s="1"/>
  <c r="P16" i="52" a="1"/>
  <c r="P16" i="52" s="1"/>
  <c r="O134" i="52" l="1"/>
  <c r="H134" i="52"/>
  <c r="Q19" i="52"/>
  <c r="J19" i="52"/>
  <c r="I134" i="52"/>
  <c r="O11" i="52"/>
  <c r="J86" i="52"/>
  <c r="O32" i="52"/>
  <c r="O39" i="52"/>
  <c r="O60" i="52"/>
  <c r="Q60" i="52" s="1"/>
  <c r="J122" i="52"/>
  <c r="O62" i="98" a="1"/>
  <c r="O62" i="98" s="1"/>
  <c r="Q62" i="98" s="1"/>
  <c r="H62" i="98" a="1"/>
  <c r="H62" i="98" s="1"/>
  <c r="J62" i="98" s="1"/>
  <c r="H52" i="98" a="1"/>
  <c r="H52" i="98" s="1"/>
  <c r="J52" i="98" s="1"/>
  <c r="H223" i="66" a="1"/>
  <c r="H223" i="66" s="1"/>
  <c r="H229" i="66" s="1"/>
  <c r="J229" i="66" s="1"/>
  <c r="H57" i="66" a="1"/>
  <c r="H57" i="66" s="1"/>
  <c r="H62" i="66" s="1"/>
  <c r="H67" i="66" s="1"/>
  <c r="H137" i="66" a="1"/>
  <c r="H137" i="66" s="1"/>
  <c r="H142" i="66" s="1"/>
  <c r="J142" i="66" s="1"/>
  <c r="H45" i="66" a="1"/>
  <c r="H45" i="66" s="1"/>
  <c r="H50" i="66" s="1"/>
  <c r="J50" i="66" s="1"/>
  <c r="H195" i="66" a="1"/>
  <c r="H195" i="66" s="1"/>
  <c r="H201" i="66" s="1"/>
  <c r="H206" i="66" s="1"/>
  <c r="H183" i="66" a="1"/>
  <c r="H183" i="66" s="1"/>
  <c r="H188" i="66" s="1"/>
  <c r="J188" i="66" s="1"/>
  <c r="H103" i="66" a="1"/>
  <c r="H103" i="66" s="1"/>
  <c r="H108" i="66" s="1"/>
  <c r="H113" i="66" s="1"/>
  <c r="H91" i="66" a="1"/>
  <c r="H91" i="66" s="1"/>
  <c r="H96" i="66" s="1"/>
  <c r="J96" i="66" s="1"/>
  <c r="H11" i="66" a="1"/>
  <c r="H11" i="66" s="1"/>
  <c r="H16" i="66" s="1"/>
  <c r="H149" i="66" a="1"/>
  <c r="H149" i="66" s="1"/>
  <c r="H154" i="66" s="1"/>
  <c r="H159" i="66" s="1"/>
  <c r="J101" i="52"/>
  <c r="I88" i="52" a="1"/>
  <c r="I88" i="52" s="1"/>
  <c r="J88" i="52" s="1"/>
  <c r="O11" i="66" a="1"/>
  <c r="O11" i="66" s="1"/>
  <c r="O16" i="66" s="1"/>
  <c r="O103" i="66" a="1"/>
  <c r="O103" i="66" s="1"/>
  <c r="O108" i="66" s="1"/>
  <c r="O137" i="66" a="1"/>
  <c r="O137" i="66" s="1"/>
  <c r="O142" i="66" s="1"/>
  <c r="O223" i="66" a="1"/>
  <c r="O223" i="66" s="1"/>
  <c r="O229" i="66" s="1"/>
  <c r="O45" i="66" a="1"/>
  <c r="O45" i="66" s="1"/>
  <c r="O50" i="66" s="1"/>
  <c r="O91" i="66" a="1"/>
  <c r="O91" i="66" s="1"/>
  <c r="O96" i="66" s="1"/>
  <c r="O149" i="66" a="1"/>
  <c r="O149" i="66" s="1"/>
  <c r="O154" i="66" s="1"/>
  <c r="O183" i="66" a="1"/>
  <c r="O183" i="66" s="1"/>
  <c r="O188" i="66" s="1"/>
  <c r="O57" i="66" a="1"/>
  <c r="O57" i="66" s="1"/>
  <c r="O62" i="66" s="1"/>
  <c r="O195" i="66" a="1"/>
  <c r="O195" i="66" s="1"/>
  <c r="O201" i="66" s="1"/>
  <c r="I31" i="52"/>
  <c r="J31" i="52" s="1"/>
  <c r="P9" i="66" a="1"/>
  <c r="P9" i="66" s="1"/>
  <c r="O140" i="98" a="1"/>
  <c r="O140" i="98" s="1"/>
  <c r="P11" i="68" a="1"/>
  <c r="P11" i="68" s="1"/>
  <c r="O9" i="98" a="1"/>
  <c r="O9" i="98" s="1"/>
  <c r="O21" i="98" a="1"/>
  <c r="O21" i="98" s="1"/>
  <c r="H102" i="98" a="1"/>
  <c r="H102" i="98" s="1"/>
  <c r="J102" i="98" s="1"/>
  <c r="J122" i="98"/>
  <c r="O12" i="98" a="1"/>
  <c r="O12" i="98" s="1"/>
  <c r="O92" i="98" a="1"/>
  <c r="O92" i="98" s="1"/>
  <c r="Q92" i="98" s="1"/>
  <c r="H42" i="98" a="1"/>
  <c r="H42" i="98" s="1"/>
  <c r="J42" i="98" s="1"/>
  <c r="O122" i="98" a="1"/>
  <c r="O122" i="98" s="1"/>
  <c r="Q122" i="98" s="1"/>
  <c r="O10" i="98" a="1"/>
  <c r="O10" i="98" s="1"/>
  <c r="O42" i="98" a="1"/>
  <c r="O42" i="98" s="1"/>
  <c r="Q42" i="98" s="1"/>
  <c r="H112" i="98" a="1"/>
  <c r="H112" i="98" s="1"/>
  <c r="J112" i="98" s="1"/>
  <c r="H132" i="98" a="1"/>
  <c r="H132" i="98" s="1"/>
  <c r="J132" i="98" s="1"/>
  <c r="O142" i="98" a="1"/>
  <c r="O142" i="98" s="1"/>
  <c r="Q142" i="98" s="1"/>
  <c r="H72" i="98" a="1"/>
  <c r="H72" i="98" s="1"/>
  <c r="J72" i="98" s="1"/>
  <c r="O132" i="98" a="1"/>
  <c r="O132" i="98" s="1"/>
  <c r="Q132" i="98" s="1"/>
  <c r="O52" i="98" a="1"/>
  <c r="O52" i="98" s="1"/>
  <c r="Q52" i="98" s="1"/>
  <c r="J92" i="98"/>
  <c r="O72" i="98" a="1"/>
  <c r="O72" i="98" s="1"/>
  <c r="Q72" i="98" s="1"/>
  <c r="O31" i="98" a="1"/>
  <c r="O31" i="98" s="1"/>
  <c r="Q31" i="98" s="1"/>
  <c r="H142" i="98" a="1"/>
  <c r="H142" i="98" s="1"/>
  <c r="J142" i="98" s="1"/>
  <c r="O112" i="98" a="1"/>
  <c r="O112" i="98" s="1"/>
  <c r="Q112" i="98" s="1"/>
  <c r="H12" i="98" a="1"/>
  <c r="H12" i="98" s="1"/>
  <c r="O82" i="98" a="1"/>
  <c r="O82" i="98" s="1"/>
  <c r="Q82" i="98" s="1"/>
  <c r="H82" i="98" a="1"/>
  <c r="H82" i="98" s="1"/>
  <c r="J82" i="98" s="1"/>
  <c r="O11" i="98" a="1"/>
  <c r="O11" i="98" s="1"/>
  <c r="O102" i="98" a="1"/>
  <c r="O102" i="98" s="1"/>
  <c r="Q102" i="98" s="1"/>
  <c r="H22" i="98" a="1"/>
  <c r="H22" i="98" s="1"/>
  <c r="O152" i="98" a="1"/>
  <c r="O152" i="98" s="1"/>
  <c r="Q152" i="98" s="1"/>
  <c r="O32" i="98" a="1"/>
  <c r="O32" i="98" s="1"/>
  <c r="Q32" i="98" s="1"/>
  <c r="O22" i="98" a="1"/>
  <c r="O22" i="98" s="1"/>
  <c r="J152" i="98"/>
  <c r="O18" i="52"/>
  <c r="O24" i="52"/>
  <c r="O21" i="52"/>
  <c r="P17" i="52"/>
  <c r="J9" i="52"/>
  <c r="Z32" i="114" a="1"/>
  <c r="Z32" i="114" s="1"/>
  <c r="AH24" i="121" s="1"/>
  <c r="H151" i="98" a="1"/>
  <c r="H151" i="98" s="1"/>
  <c r="H121" i="98" a="1"/>
  <c r="H121" i="98" s="1"/>
  <c r="H61" i="98" a="1"/>
  <c r="H61" i="98" s="1"/>
  <c r="H31" i="98" a="1"/>
  <c r="H31" i="98" s="1"/>
  <c r="H30" i="98" a="1"/>
  <c r="H30" i="98" s="1"/>
  <c r="I9" i="68" a="1"/>
  <c r="I9" i="68" s="1"/>
  <c r="P88" i="52" a="1"/>
  <c r="P88" i="52" s="1"/>
  <c r="Q88" i="52" s="1"/>
  <c r="J140" i="52"/>
  <c r="J115" i="52"/>
  <c r="J58" i="52"/>
  <c r="J30" i="52"/>
  <c r="P165" i="68" a="1"/>
  <c r="P165" i="68" s="1"/>
  <c r="H11" i="52"/>
  <c r="O121" i="98" a="1"/>
  <c r="O121" i="98" s="1"/>
  <c r="O151" i="98" a="1"/>
  <c r="O151" i="98" s="1"/>
  <c r="O60" i="98" a="1"/>
  <c r="O60" i="98" s="1"/>
  <c r="Q60" i="98" s="1"/>
  <c r="O61" i="98" a="1"/>
  <c r="O61" i="98" s="1"/>
  <c r="Q61" i="98" s="1"/>
  <c r="O91" i="98" a="1"/>
  <c r="O91" i="98" s="1"/>
  <c r="H124" i="52"/>
  <c r="H39" i="52"/>
  <c r="J39" i="52" s="1"/>
  <c r="H18" i="52"/>
  <c r="H109" i="52"/>
  <c r="H131" i="52"/>
  <c r="H49" i="52"/>
  <c r="H103" i="52"/>
  <c r="H77" i="52"/>
  <c r="H52" i="52"/>
  <c r="H46" i="52"/>
  <c r="H89" i="52"/>
  <c r="J89" i="52" s="1"/>
  <c r="H106" i="52"/>
  <c r="H21" i="52"/>
  <c r="H80" i="52"/>
  <c r="H67" i="52"/>
  <c r="J67" i="52" s="1"/>
  <c r="H142" i="52"/>
  <c r="H60" i="52"/>
  <c r="J60" i="52" s="1"/>
  <c r="H96" i="52"/>
  <c r="H24" i="52"/>
  <c r="H117" i="52"/>
  <c r="H32" i="52"/>
  <c r="J32" i="52" s="1"/>
  <c r="H74" i="52"/>
  <c r="O52" i="52"/>
  <c r="O77" i="52"/>
  <c r="O109" i="52"/>
  <c r="O124" i="52"/>
  <c r="O96" i="52"/>
  <c r="O131" i="52"/>
  <c r="O49" i="52"/>
  <c r="O142" i="52"/>
  <c r="O106" i="52"/>
  <c r="O117" i="52"/>
  <c r="O118" i="52" s="1"/>
  <c r="O119" i="52" s="1"/>
  <c r="O80" i="52"/>
  <c r="O103" i="52"/>
  <c r="O46" i="52"/>
  <c r="O74" i="52"/>
  <c r="I11" i="66" a="1"/>
  <c r="I11" i="66" s="1"/>
  <c r="P185" i="66" a="1"/>
  <c r="P185" i="66" s="1"/>
  <c r="Q185" i="66" s="1"/>
  <c r="P172" i="66" a="1"/>
  <c r="P172" i="66" s="1"/>
  <c r="P47" i="66" a="1"/>
  <c r="P47" i="66" s="1"/>
  <c r="Q47" i="66" s="1"/>
  <c r="P139" i="66" a="1"/>
  <c r="P139" i="66" s="1"/>
  <c r="Q139" i="66" s="1"/>
  <c r="P105" i="66" a="1"/>
  <c r="P105" i="66" s="1"/>
  <c r="P225" i="66" a="1"/>
  <c r="P225" i="66" s="1"/>
  <c r="Q225" i="66" s="1"/>
  <c r="P72" i="66" a="1"/>
  <c r="P72" i="66" s="1"/>
  <c r="P13" i="66" a="1"/>
  <c r="P13" i="66" s="1"/>
  <c r="P197" i="66" a="1"/>
  <c r="P197" i="66" s="1"/>
  <c r="P59" i="66" a="1"/>
  <c r="P59" i="66" s="1"/>
  <c r="P26" i="66" a="1"/>
  <c r="P26" i="66" s="1"/>
  <c r="P93" i="66" a="1"/>
  <c r="P93" i="66" s="1"/>
  <c r="Q93" i="66" s="1"/>
  <c r="P34" i="66" a="1"/>
  <c r="P34" i="66" s="1"/>
  <c r="P80" i="66" a="1"/>
  <c r="P80" i="66" s="1"/>
  <c r="P164" i="66" a="1"/>
  <c r="P164" i="66" s="1"/>
  <c r="P118" i="66" a="1"/>
  <c r="P118" i="66" s="1"/>
  <c r="P151" i="66" a="1"/>
  <c r="P151" i="66" s="1"/>
  <c r="P126" i="66" a="1"/>
  <c r="P126" i="66" s="1"/>
  <c r="I185" i="66" a="1"/>
  <c r="I185" i="66" s="1"/>
  <c r="J185" i="66" s="1"/>
  <c r="I139" i="66" a="1"/>
  <c r="I139" i="66" s="1"/>
  <c r="J139" i="66" s="1"/>
  <c r="I105" i="66" a="1"/>
  <c r="I105" i="66" s="1"/>
  <c r="I211" i="66" a="1"/>
  <c r="I211" i="66" s="1"/>
  <c r="I72" i="66" a="1"/>
  <c r="I72" i="66" s="1"/>
  <c r="I26" i="66" a="1"/>
  <c r="I26" i="66" s="1"/>
  <c r="I225" i="66" a="1"/>
  <c r="I225" i="66" s="1"/>
  <c r="J225" i="66" s="1"/>
  <c r="I93" i="66" a="1"/>
  <c r="I93" i="66" s="1"/>
  <c r="J93" i="66" s="1"/>
  <c r="I34" i="66" a="1"/>
  <c r="I34" i="66" s="1"/>
  <c r="I47" i="66" a="1"/>
  <c r="I47" i="66" s="1"/>
  <c r="J47" i="66" s="1"/>
  <c r="I197" i="66" a="1"/>
  <c r="I197" i="66" s="1"/>
  <c r="I59" i="66" a="1"/>
  <c r="I59" i="66" s="1"/>
  <c r="I12" i="66" a="1"/>
  <c r="I12" i="66" s="1"/>
  <c r="I172" i="66" a="1"/>
  <c r="I172" i="66" s="1"/>
  <c r="I80" i="66" a="1"/>
  <c r="I80" i="66" s="1"/>
  <c r="I13" i="66" a="1"/>
  <c r="I13" i="66" s="1"/>
  <c r="I164" i="66" a="1"/>
  <c r="I164" i="66" s="1"/>
  <c r="I151" i="66" a="1"/>
  <c r="I151" i="66" s="1"/>
  <c r="I118" i="66" a="1"/>
  <c r="I118" i="66" s="1"/>
  <c r="I126" i="66" a="1"/>
  <c r="I126" i="66" s="1"/>
  <c r="P12" i="66" a="1"/>
  <c r="P12" i="66" s="1"/>
  <c r="P10" i="52"/>
  <c r="P11" i="52" s="1"/>
  <c r="H150" i="98" a="1"/>
  <c r="H150" i="98" s="1"/>
  <c r="H120" i="98" a="1"/>
  <c r="H120" i="98" s="1"/>
  <c r="H90" i="98" a="1"/>
  <c r="H90" i="98" s="1"/>
  <c r="I9" i="66" a="1"/>
  <c r="I9" i="66" s="1"/>
  <c r="O89" i="52"/>
  <c r="P221" i="66" a="1"/>
  <c r="P221" i="66" s="1"/>
  <c r="O30" i="98" a="1"/>
  <c r="O30" i="98" s="1"/>
  <c r="O150" i="98" a="1"/>
  <c r="O150" i="98" s="1"/>
  <c r="O120" i="98" a="1"/>
  <c r="O120" i="98" s="1"/>
  <c r="O90" i="98" a="1"/>
  <c r="O90" i="98" s="1"/>
  <c r="H60" i="98" a="1"/>
  <c r="H60" i="98" s="1"/>
  <c r="H50" i="98" a="1"/>
  <c r="H50" i="98" s="1"/>
  <c r="H40" i="98" a="1"/>
  <c r="H40" i="98" s="1"/>
  <c r="H10" i="98" a="1"/>
  <c r="H10" i="98" s="1"/>
  <c r="H20" i="98" a="1"/>
  <c r="H20" i="98" s="1"/>
  <c r="H9" i="98" a="1"/>
  <c r="H9" i="98" s="1"/>
  <c r="O69" i="98" a="1"/>
  <c r="O69" i="98" s="1"/>
  <c r="O101" i="98" a="1"/>
  <c r="O101" i="98" s="1"/>
  <c r="O20" i="98" a="1"/>
  <c r="O20" i="98" s="1"/>
  <c r="H100" i="98" a="1"/>
  <c r="H100" i="98" s="1"/>
  <c r="H101" i="98" a="1"/>
  <c r="H101" i="98" s="1"/>
  <c r="H21" i="98" a="1"/>
  <c r="H21" i="98" s="1"/>
  <c r="H109" i="98" a="1"/>
  <c r="H109" i="98" s="1"/>
  <c r="O99" i="98" a="1"/>
  <c r="O99" i="98" s="1"/>
  <c r="O39" i="98" a="1"/>
  <c r="O39" i="98" s="1"/>
  <c r="H149" i="98" a="1"/>
  <c r="H149" i="98" s="1"/>
  <c r="O109" i="98" a="1"/>
  <c r="O109" i="98" s="1"/>
  <c r="O81" i="98" a="1"/>
  <c r="O81" i="98" s="1"/>
  <c r="O129" i="98" a="1"/>
  <c r="O129" i="98" s="1"/>
  <c r="O80" i="98" a="1"/>
  <c r="O80" i="98" s="1"/>
  <c r="H89" i="98" a="1"/>
  <c r="H89" i="98" s="1"/>
  <c r="H80" i="98" a="1"/>
  <c r="H80" i="98" s="1"/>
  <c r="H11" i="98" a="1"/>
  <c r="H11" i="98" s="1"/>
  <c r="H81" i="98" a="1"/>
  <c r="H81" i="98" s="1"/>
  <c r="H79" i="98" a="1"/>
  <c r="H79" i="98" s="1"/>
  <c r="O71" i="98" a="1"/>
  <c r="O71" i="98" s="1"/>
  <c r="O70" i="98" a="1"/>
  <c r="O70" i="98" s="1"/>
  <c r="H70" i="98" a="1"/>
  <c r="H70" i="98" s="1"/>
  <c r="H71" i="98" a="1"/>
  <c r="H71" i="98" s="1"/>
  <c r="O149" i="98" a="1"/>
  <c r="O149" i="98" s="1"/>
  <c r="H69" i="98" a="1"/>
  <c r="H69" i="98" s="1"/>
  <c r="H99" i="98" a="1"/>
  <c r="H99" i="98" s="1"/>
  <c r="O141" i="98" a="1"/>
  <c r="O141" i="98" s="1"/>
  <c r="H140" i="98" a="1"/>
  <c r="H140" i="98" s="1"/>
  <c r="H141" i="98" a="1"/>
  <c r="H141" i="98" s="1"/>
  <c r="O139" i="98" a="1"/>
  <c r="O139" i="98" s="1"/>
  <c r="H129" i="98" a="1"/>
  <c r="H129" i="98" s="1"/>
  <c r="H39" i="98" a="1"/>
  <c r="H39" i="98" s="1"/>
  <c r="O131" i="98" a="1"/>
  <c r="O131" i="98" s="1"/>
  <c r="O51" i="98" a="1"/>
  <c r="O51" i="98" s="1"/>
  <c r="O130" i="98" a="1"/>
  <c r="O130" i="98" s="1"/>
  <c r="O50" i="98" a="1"/>
  <c r="O50" i="98" s="1"/>
  <c r="H130" i="98" a="1"/>
  <c r="H130" i="98" s="1"/>
  <c r="H131" i="98" a="1"/>
  <c r="H131" i="98" s="1"/>
  <c r="H51" i="98" a="1"/>
  <c r="H51" i="98" s="1"/>
  <c r="H19" i="98" a="1"/>
  <c r="H19" i="98" s="1"/>
  <c r="O49" i="98" a="1"/>
  <c r="O49" i="98" s="1"/>
  <c r="O59" i="98" a="1"/>
  <c r="O59" i="98" s="1"/>
  <c r="H49" i="98" a="1"/>
  <c r="H49" i="98" s="1"/>
  <c r="O41" i="98" a="1"/>
  <c r="O41" i="98" s="1"/>
  <c r="O40" i="98" a="1"/>
  <c r="O40" i="98" s="1"/>
  <c r="H41" i="98" a="1"/>
  <c r="H41" i="98" s="1"/>
  <c r="H119" i="98" a="1"/>
  <c r="H119" i="98" s="1"/>
  <c r="O89" i="98" a="1"/>
  <c r="O89" i="98" s="1"/>
  <c r="H59" i="98" a="1"/>
  <c r="H59" i="98" s="1"/>
  <c r="O19" i="98" a="1"/>
  <c r="O19" i="98" s="1"/>
  <c r="O111" i="98" a="1"/>
  <c r="O111" i="98" s="1"/>
  <c r="H110" i="98" a="1"/>
  <c r="H110" i="98" s="1"/>
  <c r="H111" i="98" a="1"/>
  <c r="H111" i="98" s="1"/>
  <c r="H139" i="98" a="1"/>
  <c r="H139" i="98" s="1"/>
  <c r="O79" i="98" a="1"/>
  <c r="O79" i="98" s="1"/>
  <c r="O119" i="98" a="1"/>
  <c r="O119" i="98" s="1"/>
  <c r="O29" i="98" a="1"/>
  <c r="O29" i="98" s="1"/>
  <c r="P199" i="66" a="1"/>
  <c r="P199" i="66" s="1"/>
  <c r="P116" i="68" a="1"/>
  <c r="P116" i="68" s="1"/>
  <c r="Q116" i="68" s="1"/>
  <c r="I116" i="68" a="1"/>
  <c r="I116" i="68" s="1"/>
  <c r="J116" i="68" s="1"/>
  <c r="I165" i="68" a="1"/>
  <c r="I165" i="68" s="1"/>
  <c r="P61" i="68" a="1"/>
  <c r="P61" i="68" s="1"/>
  <c r="P12" i="68" a="1"/>
  <c r="P12" i="68" s="1"/>
  <c r="I50" i="68" a="1"/>
  <c r="I50" i="68" s="1"/>
  <c r="I61" i="68" a="1"/>
  <c r="I61" i="68" s="1"/>
  <c r="P50" i="68" a="1"/>
  <c r="P50" i="68" s="1"/>
  <c r="P175" i="68" a="1"/>
  <c r="P175" i="68" s="1"/>
  <c r="I40" i="68" a="1"/>
  <c r="I40" i="68" s="1"/>
  <c r="J40" i="68" s="1"/>
  <c r="I99" i="68" a="1"/>
  <c r="I99" i="68" s="1"/>
  <c r="I23" i="68" a="1"/>
  <c r="I23" i="68" s="1"/>
  <c r="I78" i="68" a="1"/>
  <c r="I78" i="68" s="1"/>
  <c r="J78" i="68" s="1"/>
  <c r="P40" i="68" a="1"/>
  <c r="P40" i="68" s="1"/>
  <c r="P99" i="68" a="1"/>
  <c r="P99" i="68" s="1"/>
  <c r="I88" i="68" a="1"/>
  <c r="I88" i="68" s="1"/>
  <c r="P23" i="68" a="1"/>
  <c r="P23" i="68" s="1"/>
  <c r="P78" i="68" a="1"/>
  <c r="P78" i="68" s="1"/>
  <c r="Q78" i="68" s="1"/>
  <c r="P88" i="68" a="1"/>
  <c r="P88" i="68" s="1"/>
  <c r="I12" i="68" a="1"/>
  <c r="I12" i="68" s="1"/>
  <c r="I175" i="68" a="1"/>
  <c r="I175" i="68" s="1"/>
  <c r="J175" i="68" s="1"/>
  <c r="I155" i="68" a="1"/>
  <c r="I155" i="68" s="1"/>
  <c r="P155" i="68" a="1"/>
  <c r="P155" i="68" s="1"/>
  <c r="P29" i="68" a="1"/>
  <c r="P29" i="68" s="1"/>
  <c r="I67" i="68" a="1"/>
  <c r="I67" i="68" s="1"/>
  <c r="I29" i="68" a="1"/>
  <c r="I29" i="68" s="1"/>
  <c r="P67" i="68" a="1"/>
  <c r="P67" i="68" s="1"/>
  <c r="I105" i="68" a="1"/>
  <c r="I105" i="68" s="1"/>
  <c r="P105" i="68" a="1"/>
  <c r="P105" i="68" s="1"/>
  <c r="P227" i="66" a="1"/>
  <c r="P227" i="66" s="1"/>
  <c r="Q227" i="66" s="1"/>
  <c r="P213" i="66" a="1"/>
  <c r="P213" i="66" s="1"/>
  <c r="I227" i="66" a="1"/>
  <c r="I227" i="66" s="1"/>
  <c r="J227" i="66" s="1"/>
  <c r="I213" i="66" a="1"/>
  <c r="I213" i="66" s="1"/>
  <c r="I199" i="66" a="1"/>
  <c r="I199" i="66" s="1"/>
  <c r="Q86" i="52"/>
  <c r="P160" i="66" a="1"/>
  <c r="P160" i="66" s="1"/>
  <c r="P43" i="66" a="1"/>
  <c r="P43" i="66" s="1"/>
  <c r="P168" i="66" a="1"/>
  <c r="P168" i="66" s="1"/>
  <c r="P147" i="66" a="1"/>
  <c r="P147" i="66" s="1"/>
  <c r="P193" i="66" a="1"/>
  <c r="P193" i="66" s="1"/>
  <c r="P181" i="66" a="1"/>
  <c r="P181" i="66" s="1"/>
  <c r="P105" i="52"/>
  <c r="P59" i="52"/>
  <c r="I105" i="52"/>
  <c r="I59" i="52"/>
  <c r="J59" i="52" s="1"/>
  <c r="I17" i="52"/>
  <c r="P102" i="52"/>
  <c r="P103" i="52" s="1"/>
  <c r="P51" i="52"/>
  <c r="I102" i="52"/>
  <c r="I51" i="52"/>
  <c r="P141" i="52"/>
  <c r="Q141" i="52" s="1"/>
  <c r="P95" i="52"/>
  <c r="P96" i="52" s="1"/>
  <c r="P48" i="52"/>
  <c r="I141" i="52"/>
  <c r="J141" i="52" s="1"/>
  <c r="I95" i="52"/>
  <c r="I48" i="52"/>
  <c r="I130" i="52"/>
  <c r="I79" i="52"/>
  <c r="P123" i="52"/>
  <c r="P124" i="52" s="1"/>
  <c r="I123" i="52"/>
  <c r="I10" i="52"/>
  <c r="P134" i="52"/>
  <c r="P87" i="52"/>
  <c r="Q87" i="52" s="1"/>
  <c r="P45" i="52"/>
  <c r="I87" i="52"/>
  <c r="J87" i="52" s="1"/>
  <c r="I45" i="52"/>
  <c r="P38" i="52"/>
  <c r="I38" i="52"/>
  <c r="J38" i="52" s="1"/>
  <c r="P31" i="52"/>
  <c r="I20" i="52"/>
  <c r="P131" i="52"/>
  <c r="P79" i="52"/>
  <c r="P76" i="52"/>
  <c r="I76" i="52"/>
  <c r="P116" i="52"/>
  <c r="Q116" i="52" s="1"/>
  <c r="P73" i="52"/>
  <c r="P23" i="52"/>
  <c r="I116" i="52"/>
  <c r="J116" i="52" s="1"/>
  <c r="I73" i="52"/>
  <c r="I23" i="52"/>
  <c r="P108" i="52"/>
  <c r="P66" i="52"/>
  <c r="P20" i="52"/>
  <c r="I108" i="52"/>
  <c r="I66" i="52"/>
  <c r="J66" i="52" s="1"/>
  <c r="I168" i="66" a="1"/>
  <c r="I168" i="66" s="1"/>
  <c r="Q115" i="52"/>
  <c r="J94" i="52"/>
  <c r="P20" i="68" a="1"/>
  <c r="P20" i="68" s="1"/>
  <c r="I163" i="68" a="1"/>
  <c r="I163" i="68" s="1"/>
  <c r="I132" i="68" a="1"/>
  <c r="I132" i="68" s="1"/>
  <c r="I113" i="68" a="1"/>
  <c r="I113" i="68" s="1"/>
  <c r="I153" i="68" a="1"/>
  <c r="I153" i="68" s="1"/>
  <c r="P47" i="68" a="1"/>
  <c r="P47" i="68" s="1"/>
  <c r="P96" i="68" a="1"/>
  <c r="P96" i="68" s="1"/>
  <c r="P9" i="68" a="1"/>
  <c r="P9" i="68" s="1"/>
  <c r="P58" i="68" a="1"/>
  <c r="P58" i="68" s="1"/>
  <c r="P145" i="68" a="1"/>
  <c r="P145" i="68" s="1"/>
  <c r="P123" i="68" a="1"/>
  <c r="P123" i="68" s="1"/>
  <c r="P163" i="68" a="1"/>
  <c r="P163" i="68" s="1"/>
  <c r="I58" i="68" a="1"/>
  <c r="I58" i="68" s="1"/>
  <c r="P113" i="68" a="1"/>
  <c r="P113" i="68" s="1"/>
  <c r="P85" i="68" a="1"/>
  <c r="P85" i="68" s="1"/>
  <c r="I47" i="68" a="1"/>
  <c r="I47" i="68" s="1"/>
  <c r="P173" i="68" a="1"/>
  <c r="P173" i="68" s="1"/>
  <c r="I37" i="68" a="1"/>
  <c r="I37" i="68" s="1"/>
  <c r="I85" i="68" a="1"/>
  <c r="I85" i="68" s="1"/>
  <c r="I75" i="68" a="1"/>
  <c r="I75" i="68" s="1"/>
  <c r="I123" i="68" a="1"/>
  <c r="I123" i="68" s="1"/>
  <c r="I20" i="68" a="1"/>
  <c r="I20" i="68" s="1"/>
  <c r="P75" i="68" a="1"/>
  <c r="P75" i="68" s="1"/>
  <c r="P132" i="68" a="1"/>
  <c r="P132" i="68" s="1"/>
  <c r="I173" i="68" a="1"/>
  <c r="I173" i="68" s="1"/>
  <c r="P153" i="68" a="1"/>
  <c r="P153" i="68" s="1"/>
  <c r="P37" i="68" a="1"/>
  <c r="P37" i="68" s="1"/>
  <c r="I96" i="68" a="1"/>
  <c r="I96" i="68" s="1"/>
  <c r="I145" i="68" a="1"/>
  <c r="I145" i="68" s="1"/>
  <c r="I86" i="68" a="1"/>
  <c r="I86" i="68" s="1"/>
  <c r="I59" i="68" a="1"/>
  <c r="I59" i="68" s="1"/>
  <c r="I48" i="68" a="1"/>
  <c r="I48" i="68" s="1"/>
  <c r="P146" i="68" a="1"/>
  <c r="P146" i="68" s="1"/>
  <c r="P115" i="68" a="1"/>
  <c r="P115" i="68" s="1"/>
  <c r="P97" i="68" a="1"/>
  <c r="P97" i="68" s="1"/>
  <c r="P154" i="68" a="1"/>
  <c r="P154" i="68" s="1"/>
  <c r="I115" i="68" a="1"/>
  <c r="I115" i="68" s="1"/>
  <c r="J115" i="68" s="1"/>
  <c r="P21" i="68" a="1"/>
  <c r="P21" i="68" s="1"/>
  <c r="I154" i="68" a="1"/>
  <c r="I154" i="68" s="1"/>
  <c r="I174" i="68" a="1"/>
  <c r="I174" i="68" s="1"/>
  <c r="J174" i="68" s="1"/>
  <c r="P86" i="68" a="1"/>
  <c r="P86" i="68" s="1"/>
  <c r="P38" i="68" a="1"/>
  <c r="P38" i="68" s="1"/>
  <c r="P48" i="68" a="1"/>
  <c r="P48" i="68" s="1"/>
  <c r="P164" i="68" a="1"/>
  <c r="P164" i="68" s="1"/>
  <c r="I97" i="68" a="1"/>
  <c r="I97" i="68" s="1"/>
  <c r="I10" i="68" a="1"/>
  <c r="I10" i="68" s="1"/>
  <c r="P174" i="68" a="1"/>
  <c r="P174" i="68" s="1"/>
  <c r="I124" i="68" a="1"/>
  <c r="I124" i="68" s="1"/>
  <c r="I38" i="68" a="1"/>
  <c r="I38" i="68" s="1"/>
  <c r="J38" i="68" s="1"/>
  <c r="P114" i="68" a="1"/>
  <c r="P114" i="68" s="1"/>
  <c r="I164" i="68" a="1"/>
  <c r="I164" i="68" s="1"/>
  <c r="P76" i="68" a="1"/>
  <c r="P76" i="68" s="1"/>
  <c r="I133" i="68" a="1"/>
  <c r="I133" i="68" s="1"/>
  <c r="I21" i="68" a="1"/>
  <c r="I21" i="68" s="1"/>
  <c r="P10" i="68" a="1"/>
  <c r="P10" i="68" s="1"/>
  <c r="I76" i="68" a="1"/>
  <c r="I76" i="68" s="1"/>
  <c r="J76" i="68" s="1"/>
  <c r="P59" i="68" a="1"/>
  <c r="P59" i="68" s="1"/>
  <c r="P124" i="68" a="1"/>
  <c r="P124" i="68" s="1"/>
  <c r="I114" i="68" a="1"/>
  <c r="I114" i="68" s="1"/>
  <c r="J114" i="68" s="1"/>
  <c r="I146" i="68" a="1"/>
  <c r="I146" i="68" s="1"/>
  <c r="J146" i="68" s="1"/>
  <c r="P133" i="68" a="1"/>
  <c r="P133" i="68" s="1"/>
  <c r="I77" i="68" a="1"/>
  <c r="I77" i="68" s="1"/>
  <c r="J77" i="68" s="1"/>
  <c r="P98" i="68" a="1"/>
  <c r="P98" i="68" s="1"/>
  <c r="P60" i="68" a="1"/>
  <c r="P60" i="68" s="1"/>
  <c r="P22" i="68" a="1"/>
  <c r="P22" i="68" s="1"/>
  <c r="I98" i="68" a="1"/>
  <c r="I98" i="68" s="1"/>
  <c r="I60" i="68" a="1"/>
  <c r="I60" i="68" s="1"/>
  <c r="P49" i="68" a="1"/>
  <c r="P49" i="68" s="1"/>
  <c r="P87" i="68" a="1"/>
  <c r="P87" i="68" s="1"/>
  <c r="I22" i="68" a="1"/>
  <c r="I22" i="68" s="1"/>
  <c r="P39" i="68" a="1"/>
  <c r="P39" i="68" s="1"/>
  <c r="I11" i="68" a="1"/>
  <c r="I11" i="68" s="1"/>
  <c r="I49" i="68" a="1"/>
  <c r="I49" i="68" s="1"/>
  <c r="P77" i="68" a="1"/>
  <c r="P77" i="68" s="1"/>
  <c r="I87" i="68" a="1"/>
  <c r="I87" i="68" s="1"/>
  <c r="I39" i="68" a="1"/>
  <c r="I39" i="68" s="1"/>
  <c r="J39" i="68" s="1"/>
  <c r="P136" i="68" a="1"/>
  <c r="P136" i="68" s="1"/>
  <c r="I136" i="68" a="1"/>
  <c r="I136" i="68" s="1"/>
  <c r="P64" i="68" a="1"/>
  <c r="P64" i="68" s="1"/>
  <c r="P137" i="68" a="1"/>
  <c r="P137" i="68" s="1"/>
  <c r="I64" i="68" a="1"/>
  <c r="I64" i="68" s="1"/>
  <c r="I137" i="68" a="1"/>
  <c r="I137" i="68" s="1"/>
  <c r="P102" i="68" a="1"/>
  <c r="P102" i="68" s="1"/>
  <c r="P26" i="68" a="1"/>
  <c r="P26" i="68" s="1"/>
  <c r="I102" i="68" a="1"/>
  <c r="I102" i="68" s="1"/>
  <c r="I26" i="68" a="1"/>
  <c r="I26" i="68" s="1"/>
  <c r="I65" i="68" a="1"/>
  <c r="I65" i="68" s="1"/>
  <c r="P103" i="68" a="1"/>
  <c r="P103" i="68" s="1"/>
  <c r="I27" i="68" a="1"/>
  <c r="I27" i="68" s="1"/>
  <c r="P65" i="68" a="1"/>
  <c r="P65" i="68" s="1"/>
  <c r="P27" i="68" a="1"/>
  <c r="P27" i="68" s="1"/>
  <c r="I103" i="68" a="1"/>
  <c r="I103" i="68" s="1"/>
  <c r="P28" i="68" a="1"/>
  <c r="P28" i="68" s="1"/>
  <c r="I66" i="68" a="1"/>
  <c r="I66" i="68" s="1"/>
  <c r="P66" i="68" a="1"/>
  <c r="P66" i="68" s="1"/>
  <c r="I28" i="68" a="1"/>
  <c r="I28" i="68" s="1"/>
  <c r="P104" i="68" a="1"/>
  <c r="P104" i="68" s="1"/>
  <c r="I104" i="68" a="1"/>
  <c r="I104" i="68" s="1"/>
  <c r="P207" i="66" a="1"/>
  <c r="P207" i="66" s="1"/>
  <c r="P114" i="66" a="1"/>
  <c r="P114" i="66" s="1"/>
  <c r="P148" i="66" a="1"/>
  <c r="P148" i="66" s="1"/>
  <c r="P90" i="66" a="1"/>
  <c r="P90" i="66" s="1"/>
  <c r="P69" i="66" a="1"/>
  <c r="P69" i="66" s="1"/>
  <c r="P162" i="66" a="1"/>
  <c r="P162" i="66" s="1"/>
  <c r="P116" i="66" a="1"/>
  <c r="P116" i="66" s="1"/>
  <c r="P195" i="66" a="1"/>
  <c r="P195" i="66" s="1"/>
  <c r="P91" i="66" a="1"/>
  <c r="P91" i="66" s="1"/>
  <c r="P117" i="66" a="1"/>
  <c r="P117" i="66" s="1"/>
  <c r="P184" i="66" a="1"/>
  <c r="P184" i="66" s="1"/>
  <c r="P210" i="66" a="1"/>
  <c r="P210" i="66" s="1"/>
  <c r="P94" i="66" a="1"/>
  <c r="P94" i="66" s="1"/>
  <c r="P27" i="66" a="1"/>
  <c r="P27" i="66" s="1"/>
  <c r="P140" i="66" a="1"/>
  <c r="P140" i="66" s="1"/>
  <c r="P122" i="66" a="1"/>
  <c r="P122" i="66" s="1"/>
  <c r="P31" i="66" a="1"/>
  <c r="P31" i="66" s="1"/>
  <c r="P77" i="66" a="1"/>
  <c r="P77" i="66" s="1"/>
  <c r="P170" i="66" a="1"/>
  <c r="P170" i="66" s="1"/>
  <c r="P125" i="66" a="1"/>
  <c r="P125" i="66" s="1"/>
  <c r="P165" i="66" a="1"/>
  <c r="P165" i="66" s="1"/>
  <c r="P78" i="66" a="1"/>
  <c r="P78" i="66" s="1"/>
  <c r="P135" i="66" a="1"/>
  <c r="P135" i="66" s="1"/>
  <c r="P161" i="66" a="1"/>
  <c r="P161" i="66" s="1"/>
  <c r="P102" i="66" a="1"/>
  <c r="P102" i="66" s="1"/>
  <c r="P23" i="66" a="1"/>
  <c r="P23" i="66" s="1"/>
  <c r="P222" i="66" a="1"/>
  <c r="P222" i="66" s="1"/>
  <c r="P149" i="66" a="1"/>
  <c r="P149" i="66" s="1"/>
  <c r="P57" i="66" a="1"/>
  <c r="P57" i="66" s="1"/>
  <c r="P137" i="66" a="1"/>
  <c r="P137" i="66" s="1"/>
  <c r="P183" i="66" a="1"/>
  <c r="P183" i="66" s="1"/>
  <c r="P25" i="66" a="1"/>
  <c r="P25" i="66" s="1"/>
  <c r="P104" i="66" a="1"/>
  <c r="P104" i="66" s="1"/>
  <c r="P71" i="66" a="1"/>
  <c r="P71" i="66" s="1"/>
  <c r="P196" i="66" a="1"/>
  <c r="P196" i="66" s="1"/>
  <c r="P186" i="66" a="1"/>
  <c r="P186" i="66" s="1"/>
  <c r="P198" i="66" a="1"/>
  <c r="P198" i="66" s="1"/>
  <c r="P119" i="66" a="1"/>
  <c r="P119" i="66" s="1"/>
  <c r="P169" i="66" a="1"/>
  <c r="P169" i="66" s="1"/>
  <c r="P32" i="66" a="1"/>
  <c r="P32" i="66" s="1"/>
  <c r="P171" i="66" a="1"/>
  <c r="P171" i="66" s="1"/>
  <c r="P173" i="66" a="1"/>
  <c r="P173" i="66" s="1"/>
  <c r="P212" i="66" a="1"/>
  <c r="P212" i="66" s="1"/>
  <c r="P79" i="66" a="1"/>
  <c r="P79" i="66" s="1"/>
  <c r="P55" i="66" a="1"/>
  <c r="P55" i="66" s="1"/>
  <c r="P68" i="66" a="1"/>
  <c r="P68" i="66" s="1"/>
  <c r="P101" i="66" a="1"/>
  <c r="P101" i="66" s="1"/>
  <c r="P115" i="66" a="1"/>
  <c r="P115" i="66" s="1"/>
  <c r="P208" i="66" a="1"/>
  <c r="P208" i="66" s="1"/>
  <c r="P10" i="66" a="1"/>
  <c r="P10" i="66" s="1"/>
  <c r="P56" i="66" a="1"/>
  <c r="P56" i="66" s="1"/>
  <c r="P11" i="66" a="1"/>
  <c r="P11" i="66" s="1"/>
  <c r="P70" i="66" a="1"/>
  <c r="P70" i="66" s="1"/>
  <c r="P45" i="66" a="1"/>
  <c r="P45" i="66" s="1"/>
  <c r="P103" i="66" a="1"/>
  <c r="P103" i="66" s="1"/>
  <c r="P92" i="66" a="1"/>
  <c r="P92" i="66" s="1"/>
  <c r="P138" i="66" a="1"/>
  <c r="P138" i="66" s="1"/>
  <c r="P150" i="66" a="1"/>
  <c r="P150" i="66" s="1"/>
  <c r="P106" i="66" a="1"/>
  <c r="P106" i="66" s="1"/>
  <c r="P76" i="66" a="1"/>
  <c r="P76" i="66" s="1"/>
  <c r="P22" i="66" a="1"/>
  <c r="P22" i="66" s="1"/>
  <c r="P89" i="66" a="1"/>
  <c r="P89" i="66" s="1"/>
  <c r="P44" i="66" a="1"/>
  <c r="P44" i="66" s="1"/>
  <c r="P136" i="66" a="1"/>
  <c r="P136" i="66" s="1"/>
  <c r="P194" i="66" a="1"/>
  <c r="P194" i="66" s="1"/>
  <c r="P182" i="66" a="1"/>
  <c r="P182" i="66" s="1"/>
  <c r="P223" i="66" a="1"/>
  <c r="P223" i="66" s="1"/>
  <c r="P24" i="66" a="1"/>
  <c r="P24" i="66" s="1"/>
  <c r="P209" i="66" a="1"/>
  <c r="P209" i="66" s="1"/>
  <c r="P224" i="66" a="1"/>
  <c r="P224" i="66" s="1"/>
  <c r="P58" i="66" a="1"/>
  <c r="P58" i="66" s="1"/>
  <c r="P46" i="66" a="1"/>
  <c r="P46" i="66" s="1"/>
  <c r="P163" i="66" a="1"/>
  <c r="P163" i="66" s="1"/>
  <c r="P226" i="66" a="1"/>
  <c r="P226" i="66" s="1"/>
  <c r="P73" i="66" a="1"/>
  <c r="P73" i="66" s="1"/>
  <c r="P152" i="66" a="1"/>
  <c r="P152" i="66" s="1"/>
  <c r="P60" i="66" a="1"/>
  <c r="P60" i="66" s="1"/>
  <c r="P30" i="66" a="1"/>
  <c r="P30" i="66" s="1"/>
  <c r="P48" i="66" a="1"/>
  <c r="P48" i="66" s="1"/>
  <c r="P124" i="66" a="1"/>
  <c r="P124" i="66" s="1"/>
  <c r="P33" i="66" a="1"/>
  <c r="P33" i="66" s="1"/>
  <c r="P127" i="66" a="1"/>
  <c r="P127" i="66" s="1"/>
  <c r="P35" i="66" a="1"/>
  <c r="P35" i="66" s="1"/>
  <c r="P14" i="66" a="1"/>
  <c r="P14" i="66" s="1"/>
  <c r="P123" i="66" a="1"/>
  <c r="P123" i="66" s="1"/>
  <c r="P81" i="66" a="1"/>
  <c r="P81" i="66" s="1"/>
  <c r="I181" i="66" a="1"/>
  <c r="I181" i="66" s="1"/>
  <c r="I147" i="66" a="1"/>
  <c r="I147" i="66" s="1"/>
  <c r="I101" i="66" a="1"/>
  <c r="I101" i="66" s="1"/>
  <c r="I23" i="66" a="1"/>
  <c r="I23" i="66" s="1"/>
  <c r="I44" i="66" a="1"/>
  <c r="I44" i="66" s="1"/>
  <c r="J44" i="66" s="1"/>
  <c r="I56" i="66" a="1"/>
  <c r="I56" i="66" s="1"/>
  <c r="I70" i="66" a="1"/>
  <c r="I70" i="66" s="1"/>
  <c r="I137" i="66" a="1"/>
  <c r="I137" i="66" s="1"/>
  <c r="I149" i="66" a="1"/>
  <c r="I149" i="66" s="1"/>
  <c r="I209" i="66" a="1"/>
  <c r="I209" i="66" s="1"/>
  <c r="I210" i="66" a="1"/>
  <c r="I210" i="66" s="1"/>
  <c r="I117" i="66" a="1"/>
  <c r="I117" i="66" s="1"/>
  <c r="I138" i="66" a="1"/>
  <c r="I138" i="66" s="1"/>
  <c r="J138" i="66" s="1"/>
  <c r="I224" i="66" a="1"/>
  <c r="I224" i="66" s="1"/>
  <c r="J224" i="66" s="1"/>
  <c r="I14" i="66" a="1"/>
  <c r="I14" i="66" s="1"/>
  <c r="I226" i="66" a="1"/>
  <c r="I226" i="66" s="1"/>
  <c r="J226" i="66" s="1"/>
  <c r="I198" i="66" a="1"/>
  <c r="I198" i="66" s="1"/>
  <c r="I76" i="66" a="1"/>
  <c r="I76" i="66" s="1"/>
  <c r="I123" i="66" a="1"/>
  <c r="I123" i="66" s="1"/>
  <c r="I31" i="66" a="1"/>
  <c r="I31" i="66" s="1"/>
  <c r="I170" i="66" a="1"/>
  <c r="I170" i="66" s="1"/>
  <c r="I171" i="66" a="1"/>
  <c r="I171" i="66" s="1"/>
  <c r="I81" i="66" a="1"/>
  <c r="I81" i="66" s="1"/>
  <c r="I57" i="66" a="1"/>
  <c r="I57" i="66" s="1"/>
  <c r="I92" i="66" a="1"/>
  <c r="I92" i="66" s="1"/>
  <c r="J92" i="66" s="1"/>
  <c r="I60" i="66" a="1"/>
  <c r="I60" i="66" s="1"/>
  <c r="I73" i="66" a="1"/>
  <c r="I73" i="66" s="1"/>
  <c r="I30" i="66" a="1"/>
  <c r="I30" i="66" s="1"/>
  <c r="I35" i="66" a="1"/>
  <c r="I35" i="66" s="1"/>
  <c r="I194" i="66" a="1"/>
  <c r="I194" i="66" s="1"/>
  <c r="I104" i="66" a="1"/>
  <c r="I104" i="66" s="1"/>
  <c r="I165" i="66" a="1"/>
  <c r="I165" i="66" s="1"/>
  <c r="I27" i="66" a="1"/>
  <c r="I27" i="66" s="1"/>
  <c r="I48" i="66" a="1"/>
  <c r="I48" i="66" s="1"/>
  <c r="J48" i="66" s="1"/>
  <c r="I173" i="66" a="1"/>
  <c r="I173" i="66" s="1"/>
  <c r="I89" i="66" a="1"/>
  <c r="I89" i="66" s="1"/>
  <c r="I221" i="66" a="1"/>
  <c r="I221" i="66" s="1"/>
  <c r="I68" i="66" a="1"/>
  <c r="I68" i="66" s="1"/>
  <c r="I208" i="66" a="1"/>
  <c r="I208" i="66" s="1"/>
  <c r="I148" i="66" a="1"/>
  <c r="I148" i="66" s="1"/>
  <c r="J148" i="66" s="1"/>
  <c r="I222" i="66" a="1"/>
  <c r="I222" i="66" s="1"/>
  <c r="J222" i="66" s="1"/>
  <c r="I136" i="66" a="1"/>
  <c r="I136" i="66" s="1"/>
  <c r="J136" i="66" s="1"/>
  <c r="I24" i="66" a="1"/>
  <c r="I24" i="66" s="1"/>
  <c r="I162" i="66" a="1"/>
  <c r="I162" i="66" s="1"/>
  <c r="I116" i="66" a="1"/>
  <c r="I116" i="66" s="1"/>
  <c r="I71" i="66" a="1"/>
  <c r="I71" i="66" s="1"/>
  <c r="I25" i="66" a="1"/>
  <c r="I25" i="66" s="1"/>
  <c r="I46" i="66" a="1"/>
  <c r="I46" i="66" s="1"/>
  <c r="J46" i="66" s="1"/>
  <c r="I163" i="66" a="1"/>
  <c r="I163" i="66" s="1"/>
  <c r="I119" i="66" a="1"/>
  <c r="I119" i="66" s="1"/>
  <c r="I94" i="66" a="1"/>
  <c r="I94" i="66" s="1"/>
  <c r="J94" i="66" s="1"/>
  <c r="I140" i="66" a="1"/>
  <c r="I140" i="66" s="1"/>
  <c r="J140" i="66" s="1"/>
  <c r="I122" i="66" a="1"/>
  <c r="I122" i="66" s="1"/>
  <c r="I77" i="66" a="1"/>
  <c r="I77" i="66" s="1"/>
  <c r="I78" i="66" a="1"/>
  <c r="I78" i="66" s="1"/>
  <c r="I79" i="66" a="1"/>
  <c r="I79" i="66" s="1"/>
  <c r="I127" i="66" a="1"/>
  <c r="I127" i="66" s="1"/>
  <c r="I90" i="66" a="1"/>
  <c r="I90" i="66" s="1"/>
  <c r="J90" i="66" s="1"/>
  <c r="I223" i="66" a="1"/>
  <c r="I223" i="66" s="1"/>
  <c r="I91" i="66" a="1"/>
  <c r="I91" i="66" s="1"/>
  <c r="I196" i="66" a="1"/>
  <c r="I196" i="66" s="1"/>
  <c r="I106" i="66" a="1"/>
  <c r="I106" i="66" s="1"/>
  <c r="I169" i="66" a="1"/>
  <c r="I169" i="66" s="1"/>
  <c r="I125" i="66" a="1"/>
  <c r="I125" i="66" s="1"/>
  <c r="I115" i="66" a="1"/>
  <c r="I115" i="66" s="1"/>
  <c r="I10" i="66" a="1"/>
  <c r="I10" i="66" s="1"/>
  <c r="I45" i="66" a="1"/>
  <c r="I45" i="66" s="1"/>
  <c r="I184" i="66" a="1"/>
  <c r="I184" i="66" s="1"/>
  <c r="J184" i="66" s="1"/>
  <c r="I186" i="66" a="1"/>
  <c r="I186" i="66" s="1"/>
  <c r="J186" i="66" s="1"/>
  <c r="I124" i="66" a="1"/>
  <c r="I124" i="66" s="1"/>
  <c r="I207" i="66" a="1"/>
  <c r="I207" i="66" s="1"/>
  <c r="I43" i="66" a="1"/>
  <c r="I43" i="66" s="1"/>
  <c r="I55" i="66" a="1"/>
  <c r="I55" i="66" s="1"/>
  <c r="I114" i="66" a="1"/>
  <c r="I114" i="66" s="1"/>
  <c r="I69" i="66" a="1"/>
  <c r="I69" i="66" s="1"/>
  <c r="I161" i="66" a="1"/>
  <c r="I161" i="66" s="1"/>
  <c r="I102" i="66" a="1"/>
  <c r="I102" i="66" s="1"/>
  <c r="I195" i="66" a="1"/>
  <c r="I195" i="66" s="1"/>
  <c r="I152" i="66" a="1"/>
  <c r="I152" i="66" s="1"/>
  <c r="I32" i="66" a="1"/>
  <c r="I32" i="66" s="1"/>
  <c r="I183" i="66" a="1"/>
  <c r="I183" i="66" s="1"/>
  <c r="I58" i="66" a="1"/>
  <c r="I58" i="66" s="1"/>
  <c r="I212" i="66" a="1"/>
  <c r="I212" i="66" s="1"/>
  <c r="I33" i="66" a="1"/>
  <c r="I33" i="66" s="1"/>
  <c r="I135" i="66" a="1"/>
  <c r="I135" i="66" s="1"/>
  <c r="I160" i="66" a="1"/>
  <c r="I160" i="66" s="1"/>
  <c r="I193" i="66" a="1"/>
  <c r="I193" i="66" s="1"/>
  <c r="I22" i="66" a="1"/>
  <c r="I22" i="66" s="1"/>
  <c r="I182" i="66" a="1"/>
  <c r="I182" i="66" s="1"/>
  <c r="J182" i="66" s="1"/>
  <c r="I103" i="66" a="1"/>
  <c r="I103" i="66" s="1"/>
  <c r="I150" i="66" a="1"/>
  <c r="I150" i="66" s="1"/>
  <c r="P134" i="68" l="1" a="1"/>
  <c r="P134" i="68" s="1"/>
  <c r="P135" i="68" s="1"/>
  <c r="P128" i="66" a="1"/>
  <c r="P128" i="66" s="1"/>
  <c r="P129" i="66" s="1"/>
  <c r="P156" i="68" a="1"/>
  <c r="P156" i="68" s="1"/>
  <c r="P157" i="68" s="1"/>
  <c r="P147" i="68" a="1"/>
  <c r="P147" i="68" s="1"/>
  <c r="P148" i="68" s="1"/>
  <c r="P107" i="66" a="1"/>
  <c r="P107" i="66" s="1"/>
  <c r="P108" i="66" s="1"/>
  <c r="P176" i="68" a="1"/>
  <c r="P176" i="68" s="1"/>
  <c r="P177" i="68" s="1"/>
  <c r="P82" i="66" a="1"/>
  <c r="P82" i="66" s="1"/>
  <c r="P83" i="66" s="1"/>
  <c r="P51" i="68" a="1"/>
  <c r="P51" i="68" s="1"/>
  <c r="P52" i="68" s="1"/>
  <c r="P30" i="68" a="1"/>
  <c r="P30" i="68" s="1"/>
  <c r="P31" i="68" s="1"/>
  <c r="P141" i="66" a="1"/>
  <c r="P141" i="66" s="1"/>
  <c r="P142" i="66" s="1"/>
  <c r="Q142" i="66" s="1"/>
  <c r="P62" i="68" a="1"/>
  <c r="P62" i="68" s="1"/>
  <c r="P63" i="68" s="1"/>
  <c r="P24" i="68" a="1"/>
  <c r="P24" i="68" s="1"/>
  <c r="P25" i="68" s="1"/>
  <c r="P187" i="66" a="1"/>
  <c r="P187" i="66" s="1"/>
  <c r="P188" i="66" s="1"/>
  <c r="Q188" i="66" s="1"/>
  <c r="P36" i="66" a="1"/>
  <c r="P36" i="66" s="1"/>
  <c r="P37" i="66" s="1"/>
  <c r="P95" i="66" a="1"/>
  <c r="P95" i="66" s="1"/>
  <c r="P96" i="66" s="1"/>
  <c r="Q96" i="66" s="1"/>
  <c r="P74" i="66" a="1"/>
  <c r="P74" i="66" s="1"/>
  <c r="P75" i="66" s="1"/>
  <c r="P13" i="68" a="1"/>
  <c r="P13" i="68" s="1"/>
  <c r="P14" i="68" s="1"/>
  <c r="P200" i="66" a="1"/>
  <c r="P200" i="66" s="1"/>
  <c r="P201" i="66" s="1"/>
  <c r="P15" i="66" a="1"/>
  <c r="P15" i="66" s="1"/>
  <c r="P16" i="66" s="1"/>
  <c r="P21" i="66" s="1"/>
  <c r="I61" i="66" a="1"/>
  <c r="I61" i="66" s="1"/>
  <c r="P61" i="66" a="1"/>
  <c r="P61" i="66" s="1"/>
  <c r="P62" i="66" s="1"/>
  <c r="P68" i="68" a="1"/>
  <c r="P68" i="68" s="1"/>
  <c r="P69" i="68" s="1"/>
  <c r="P79" i="68" a="1"/>
  <c r="P79" i="68" s="1"/>
  <c r="P80" i="68" s="1"/>
  <c r="P89" i="68" a="1"/>
  <c r="P89" i="68" s="1"/>
  <c r="P90" i="68" s="1"/>
  <c r="P100" i="68" a="1"/>
  <c r="P100" i="68" s="1"/>
  <c r="P101" i="68" s="1"/>
  <c r="P153" i="66" a="1"/>
  <c r="P153" i="66" s="1"/>
  <c r="P154" i="66" s="1"/>
  <c r="I214" i="66" a="1"/>
  <c r="I214" i="66" s="1"/>
  <c r="J214" i="66" s="1"/>
  <c r="P117" i="68" a="1"/>
  <c r="P117" i="68" s="1"/>
  <c r="P118" i="68" s="1"/>
  <c r="P174" i="66" a="1"/>
  <c r="P174" i="66" s="1"/>
  <c r="P175" i="66" s="1"/>
  <c r="P28" i="66" a="1"/>
  <c r="P28" i="66" s="1"/>
  <c r="P29" i="66" s="1"/>
  <c r="I141" i="66" a="1"/>
  <c r="I141" i="66" s="1"/>
  <c r="J141" i="66" s="1"/>
  <c r="I228" i="66" a="1"/>
  <c r="I228" i="66" s="1"/>
  <c r="J228" i="66" s="1"/>
  <c r="I156" i="68" a="1"/>
  <c r="I156" i="68" s="1"/>
  <c r="J156" i="68" s="1"/>
  <c r="P49" i="66" a="1"/>
  <c r="P49" i="66" s="1"/>
  <c r="P50" i="66" s="1"/>
  <c r="I95" i="66" a="1"/>
  <c r="I95" i="66" s="1"/>
  <c r="J95" i="66" s="1"/>
  <c r="I36" i="66" a="1"/>
  <c r="I36" i="66" s="1"/>
  <c r="P120" i="66" a="1"/>
  <c r="P120" i="66" s="1"/>
  <c r="P121" i="66" s="1"/>
  <c r="P166" i="68" a="1"/>
  <c r="P166" i="68" s="1"/>
  <c r="P167" i="68" s="1"/>
  <c r="P166" i="66" a="1"/>
  <c r="P166" i="66" s="1"/>
  <c r="P167" i="66" s="1"/>
  <c r="P228" i="66" a="1"/>
  <c r="P228" i="66" s="1"/>
  <c r="P229" i="66" s="1"/>
  <c r="Q229" i="66" s="1"/>
  <c r="I200" i="66" a="1"/>
  <c r="I200" i="66" s="1"/>
  <c r="I107" i="66" a="1"/>
  <c r="I107" i="66" s="1"/>
  <c r="J107" i="66" s="1"/>
  <c r="P214" i="66" a="1"/>
  <c r="P214" i="66" s="1"/>
  <c r="P215" i="66" s="1"/>
  <c r="P106" i="68" a="1"/>
  <c r="P106" i="68" s="1"/>
  <c r="P107" i="68" s="1"/>
  <c r="P41" i="68" a="1"/>
  <c r="P41" i="68" s="1"/>
  <c r="P42" i="68" s="1"/>
  <c r="P125" i="68" a="1"/>
  <c r="P125" i="68" s="1"/>
  <c r="P126" i="68" s="1"/>
  <c r="O206" i="66"/>
  <c r="O113" i="66"/>
  <c r="P24" i="52"/>
  <c r="O67" i="66"/>
  <c r="O159" i="66"/>
  <c r="I52" i="52"/>
  <c r="P77" i="52"/>
  <c r="J91" i="66"/>
  <c r="J137" i="66"/>
  <c r="J223" i="66"/>
  <c r="J57" i="66"/>
  <c r="J45" i="66"/>
  <c r="H63" i="98"/>
  <c r="J63" i="98" s="1"/>
  <c r="H143" i="98"/>
  <c r="J143" i="98" s="1"/>
  <c r="H21" i="66"/>
  <c r="J16" i="66"/>
  <c r="J183" i="66"/>
  <c r="H23" i="98"/>
  <c r="J23" i="98" s="1"/>
  <c r="H43" i="98"/>
  <c r="J43" i="98" s="1"/>
  <c r="H103" i="98"/>
  <c r="H104" i="98" s="1"/>
  <c r="H53" i="98"/>
  <c r="J53" i="98" s="1"/>
  <c r="P32" i="52"/>
  <c r="Q32" i="52" s="1"/>
  <c r="I11" i="52"/>
  <c r="J11" i="52" s="1"/>
  <c r="J10" i="52"/>
  <c r="P49" i="52"/>
  <c r="I21" i="52"/>
  <c r="I18" i="52"/>
  <c r="J18" i="52" s="1"/>
  <c r="J17" i="52"/>
  <c r="P74" i="52"/>
  <c r="I124" i="52"/>
  <c r="J124" i="52" s="1"/>
  <c r="J123" i="52"/>
  <c r="I106" i="52"/>
  <c r="P21" i="52"/>
  <c r="I77" i="52"/>
  <c r="I46" i="52"/>
  <c r="J45" i="52"/>
  <c r="I80" i="52"/>
  <c r="P106" i="52"/>
  <c r="P18" i="52"/>
  <c r="P109" i="52"/>
  <c r="I103" i="52"/>
  <c r="J102" i="52"/>
  <c r="I24" i="52"/>
  <c r="P80" i="52"/>
  <c r="P46" i="52"/>
  <c r="I49" i="52"/>
  <c r="P52" i="52"/>
  <c r="H153" i="98"/>
  <c r="J153" i="98" s="1"/>
  <c r="I74" i="52"/>
  <c r="J73" i="52"/>
  <c r="I96" i="52"/>
  <c r="J96" i="52" s="1"/>
  <c r="J95" i="52"/>
  <c r="H73" i="98"/>
  <c r="J73" i="98" s="1"/>
  <c r="O21" i="66"/>
  <c r="H83" i="98"/>
  <c r="J83" i="98" s="1"/>
  <c r="H33" i="98"/>
  <c r="J33" i="98" s="1"/>
  <c r="J119" i="98"/>
  <c r="H123" i="98"/>
  <c r="H124" i="98" s="1"/>
  <c r="H133" i="98"/>
  <c r="J133" i="98" s="1"/>
  <c r="H93" i="98"/>
  <c r="J93" i="98" s="1"/>
  <c r="H13" i="98"/>
  <c r="H113" i="98"/>
  <c r="J113" i="98" s="1"/>
  <c r="M52" i="98"/>
  <c r="M92" i="98"/>
  <c r="M42" i="98"/>
  <c r="O13" i="98"/>
  <c r="M142" i="98"/>
  <c r="M132" i="98"/>
  <c r="M122" i="98"/>
  <c r="M112" i="98"/>
  <c r="M102" i="98"/>
  <c r="M62" i="98"/>
  <c r="M152" i="98"/>
  <c r="M82" i="98"/>
  <c r="M32" i="98"/>
  <c r="M72" i="98"/>
  <c r="O93" i="98"/>
  <c r="Q93" i="98" s="1"/>
  <c r="O33" i="98"/>
  <c r="Q33" i="98" s="1"/>
  <c r="O83" i="98"/>
  <c r="Q83" i="98" s="1"/>
  <c r="O123" i="98"/>
  <c r="Q123" i="98" s="1"/>
  <c r="R122" i="98" s="1"/>
  <c r="O23" i="98"/>
  <c r="Q23" i="98" s="1"/>
  <c r="O63" i="98"/>
  <c r="O153" i="98"/>
  <c r="Q153" i="98" s="1"/>
  <c r="O53" i="98"/>
  <c r="Q53" i="98" s="1"/>
  <c r="O143" i="98"/>
  <c r="Q143" i="98" s="1"/>
  <c r="O73" i="98"/>
  <c r="O74" i="98" s="1"/>
  <c r="O133" i="98"/>
  <c r="Q133" i="98" s="1"/>
  <c r="O43" i="98"/>
  <c r="Q43" i="98" s="1"/>
  <c r="M88" i="52"/>
  <c r="Q175" i="68"/>
  <c r="I109" i="52"/>
  <c r="Q40" i="68"/>
  <c r="P89" i="52"/>
  <c r="Q89" i="52" s="1"/>
  <c r="J102" i="66"/>
  <c r="J86" i="68"/>
  <c r="J87" i="68"/>
  <c r="J104" i="66"/>
  <c r="J14" i="66"/>
  <c r="J48" i="68"/>
  <c r="J106" i="66"/>
  <c r="J56" i="66"/>
  <c r="J103" i="66"/>
  <c r="J58" i="66"/>
  <c r="J10" i="66"/>
  <c r="J60" i="66"/>
  <c r="J49" i="68"/>
  <c r="J55" i="66"/>
  <c r="J43" i="66"/>
  <c r="J11" i="68"/>
  <c r="J173" i="68"/>
  <c r="J9" i="66"/>
  <c r="J9" i="68"/>
  <c r="J47" i="68"/>
  <c r="J12" i="68"/>
  <c r="J221" i="66"/>
  <c r="J10" i="68"/>
  <c r="J13" i="66"/>
  <c r="J135" i="66"/>
  <c r="J145" i="68"/>
  <c r="J89" i="66"/>
  <c r="J101" i="66"/>
  <c r="J75" i="68"/>
  <c r="J85" i="68"/>
  <c r="J113" i="68"/>
  <c r="J12" i="66"/>
  <c r="J11" i="66"/>
  <c r="J181" i="66"/>
  <c r="J37" i="68"/>
  <c r="J152" i="66"/>
  <c r="J124" i="68"/>
  <c r="J123" i="68"/>
  <c r="J150" i="66"/>
  <c r="J147" i="66"/>
  <c r="J149" i="66"/>
  <c r="J50" i="68"/>
  <c r="J105" i="66"/>
  <c r="J151" i="66"/>
  <c r="J14" i="68"/>
  <c r="J65" i="52"/>
  <c r="J126" i="68"/>
  <c r="J154" i="66"/>
  <c r="J37" i="52"/>
  <c r="J62" i="66"/>
  <c r="J52" i="68"/>
  <c r="J72" i="52"/>
  <c r="J90" i="68"/>
  <c r="J108" i="66"/>
  <c r="J113" i="66"/>
  <c r="J16" i="52"/>
  <c r="J159" i="66"/>
  <c r="I131" i="52"/>
  <c r="J130" i="52"/>
  <c r="J129" i="52"/>
  <c r="J206" i="66"/>
  <c r="J88" i="68"/>
  <c r="J59" i="66"/>
  <c r="I166" i="68" a="1"/>
  <c r="I166" i="68" s="1"/>
  <c r="P138" i="68" a="1"/>
  <c r="P138" i="68" s="1"/>
  <c r="P139" i="68" s="1"/>
  <c r="K175" i="68"/>
  <c r="F13" i="66" a="1"/>
  <c r="F13" i="66" s="1"/>
  <c r="Q13" i="66" s="1"/>
  <c r="K116" i="68"/>
  <c r="K78" i="68"/>
  <c r="K40" i="68"/>
  <c r="K227" i="66"/>
  <c r="J207" i="66"/>
  <c r="J164" i="66"/>
  <c r="J72" i="66"/>
  <c r="J97" i="68"/>
  <c r="F44" i="52" a="1"/>
  <c r="F44" i="52" s="1"/>
  <c r="Q44" i="52" s="1"/>
  <c r="F197" i="66" a="1"/>
  <c r="F197" i="66" s="1"/>
  <c r="Q197" i="66" s="1"/>
  <c r="J194" i="66"/>
  <c r="M139" i="66"/>
  <c r="M116" i="52"/>
  <c r="I117" i="52"/>
  <c r="J117" i="52" s="1"/>
  <c r="I142" i="52"/>
  <c r="J142" i="52" s="1"/>
  <c r="P117" i="52"/>
  <c r="Q117" i="52" s="1"/>
  <c r="M47" i="66"/>
  <c r="M185" i="66"/>
  <c r="M225" i="66"/>
  <c r="M93" i="66"/>
  <c r="I138" i="68" a="1"/>
  <c r="I138" i="68" s="1"/>
  <c r="I89" i="68" a="1"/>
  <c r="I89" i="68" s="1"/>
  <c r="J89" i="68" s="1"/>
  <c r="I68" i="68" a="1"/>
  <c r="I68" i="68" s="1"/>
  <c r="I41" i="68" a="1"/>
  <c r="I41" i="68" s="1"/>
  <c r="J41" i="68" s="1"/>
  <c r="I134" i="68" a="1"/>
  <c r="I134" i="68" s="1"/>
  <c r="I106" i="68" a="1"/>
  <c r="I106" i="68" s="1"/>
  <c r="I117" i="68" a="1"/>
  <c r="I117" i="68" s="1"/>
  <c r="J117" i="68" s="1"/>
  <c r="I120" i="66" a="1"/>
  <c r="I120" i="66" s="1"/>
  <c r="J120" i="66" s="1"/>
  <c r="I82" i="66" a="1"/>
  <c r="I82" i="66" s="1"/>
  <c r="I153" i="66" a="1"/>
  <c r="I153" i="66" s="1"/>
  <c r="J153" i="66" s="1"/>
  <c r="I176" i="68" a="1"/>
  <c r="I176" i="68" s="1"/>
  <c r="J176" i="68" s="1"/>
  <c r="I187" i="66" a="1"/>
  <c r="I187" i="66" s="1"/>
  <c r="J187" i="66" s="1"/>
  <c r="I13" i="68" a="1"/>
  <c r="I13" i="68" s="1"/>
  <c r="J13" i="68" s="1"/>
  <c r="I174" i="66" a="1"/>
  <c r="I174" i="66" s="1"/>
  <c r="I51" i="68" a="1"/>
  <c r="I51" i="68" s="1"/>
  <c r="J51" i="68" s="1"/>
  <c r="I49" i="66" a="1"/>
  <c r="I49" i="66" s="1"/>
  <c r="J49" i="66" s="1"/>
  <c r="I24" i="68" a="1"/>
  <c r="I24" i="68" s="1"/>
  <c r="I28" i="66" a="1"/>
  <c r="I28" i="66" s="1"/>
  <c r="I166" i="66" a="1"/>
  <c r="I166" i="66" s="1"/>
  <c r="I74" i="66" a="1"/>
  <c r="I74" i="66" s="1"/>
  <c r="I147" i="68" a="1"/>
  <c r="I147" i="68" s="1"/>
  <c r="J147" i="68" s="1"/>
  <c r="I125" i="68" a="1"/>
  <c r="I125" i="68" s="1"/>
  <c r="J125" i="68" s="1"/>
  <c r="I128" i="66" a="1"/>
  <c r="I128" i="66" s="1"/>
  <c r="I30" i="68" a="1"/>
  <c r="I30" i="68" s="1"/>
  <c r="I100" i="68" a="1"/>
  <c r="I100" i="68" s="1"/>
  <c r="J100" i="68" s="1"/>
  <c r="I79" i="68" a="1"/>
  <c r="I79" i="68" s="1"/>
  <c r="J79" i="68" s="1"/>
  <c r="I62" i="68" a="1"/>
  <c r="I62" i="68" s="1"/>
  <c r="I15" i="66" a="1"/>
  <c r="I15" i="66" s="1"/>
  <c r="J15" i="66" s="1"/>
  <c r="F151" i="66" a="1"/>
  <c r="F151" i="66" s="1"/>
  <c r="F152" i="66" a="1"/>
  <c r="F152" i="66" s="1"/>
  <c r="F153" i="66" a="1"/>
  <c r="F153" i="66" s="1"/>
  <c r="F154" i="66" a="1"/>
  <c r="F154" i="66" s="1"/>
  <c r="F59" i="66" a="1"/>
  <c r="F59" i="66" s="1"/>
  <c r="F60" i="66" a="1"/>
  <c r="F60" i="66" s="1"/>
  <c r="F61" i="66" a="1"/>
  <c r="F61" i="66" s="1"/>
  <c r="F62" i="66" a="1"/>
  <c r="F62" i="66" s="1"/>
  <c r="F105" i="66" a="1"/>
  <c r="F105" i="66" s="1"/>
  <c r="F106" i="66" a="1"/>
  <c r="F106" i="66" s="1"/>
  <c r="F107" i="66" a="1"/>
  <c r="F107" i="66" s="1"/>
  <c r="F108" i="66" a="1"/>
  <c r="F108" i="66" s="1"/>
  <c r="C12" i="115" a="1"/>
  <c r="C12" i="115" s="1"/>
  <c r="C11" i="115" s="1"/>
  <c r="C11" i="116"/>
  <c r="D13" i="115" a="1"/>
  <c r="D13" i="115" s="1"/>
  <c r="D13" i="116" a="1"/>
  <c r="D13" i="116" s="1"/>
  <c r="D12" i="115" a="1"/>
  <c r="D12" i="115" s="1"/>
  <c r="D12" i="116" a="1"/>
  <c r="D12" i="116" s="1"/>
  <c r="C12" i="113" a="1"/>
  <c r="C12" i="113" s="1"/>
  <c r="C11" i="113" s="1"/>
  <c r="C12" i="114" a="1"/>
  <c r="C12" i="114" s="1"/>
  <c r="C11" i="114" s="1"/>
  <c r="D13" i="113" a="1"/>
  <c r="D13" i="113" s="1"/>
  <c r="D13" i="114" a="1"/>
  <c r="D13" i="114" s="1"/>
  <c r="D12" i="113" a="1"/>
  <c r="D12" i="113" s="1"/>
  <c r="D12" i="114" a="1"/>
  <c r="D12" i="114" s="1"/>
  <c r="D13" i="108" a="1"/>
  <c r="D13" i="108" s="1"/>
  <c r="C12" i="108" a="1"/>
  <c r="C12" i="108" s="1"/>
  <c r="C11" i="108" s="1"/>
  <c r="D12" i="108" a="1"/>
  <c r="D12" i="108" s="1"/>
  <c r="J60" i="98"/>
  <c r="J61" i="98"/>
  <c r="Q151" i="98"/>
  <c r="J120" i="98"/>
  <c r="Q120" i="98"/>
  <c r="F20" i="98" a="1"/>
  <c r="F20" i="98" s="1"/>
  <c r="Q20" i="98" s="1"/>
  <c r="F21" i="98" a="1"/>
  <c r="F21" i="98" s="1"/>
  <c r="F22" i="98" s="1"/>
  <c r="F24" i="98" a="1"/>
  <c r="F24" i="98" s="1"/>
  <c r="F110" i="98" a="1"/>
  <c r="F110" i="98" s="1"/>
  <c r="F111" i="98" a="1"/>
  <c r="F111" i="98" s="1"/>
  <c r="F114" i="98" a="1"/>
  <c r="F114" i="98" s="1"/>
  <c r="F140" i="98" a="1"/>
  <c r="F140" i="98" s="1"/>
  <c r="F141" i="98" a="1"/>
  <c r="F141" i="98" s="1"/>
  <c r="F144" i="98" a="1"/>
  <c r="F144" i="98" s="1"/>
  <c r="Q121" i="98"/>
  <c r="F50" i="98" a="1"/>
  <c r="F50" i="98" s="1"/>
  <c r="F51" i="98" a="1"/>
  <c r="F51" i="98" s="1"/>
  <c r="F54" i="98" a="1"/>
  <c r="F54" i="98" s="1"/>
  <c r="F100" i="98" a="1"/>
  <c r="F100" i="98" s="1"/>
  <c r="F101" i="98" a="1"/>
  <c r="F101" i="98" s="1"/>
  <c r="F104" i="98" a="1"/>
  <c r="F104" i="98" s="1"/>
  <c r="F130" i="98" a="1"/>
  <c r="F130" i="98" s="1"/>
  <c r="F131" i="98" a="1"/>
  <c r="F131" i="98" s="1"/>
  <c r="F134" i="98" a="1"/>
  <c r="F134" i="98" s="1"/>
  <c r="F10" i="98" a="1"/>
  <c r="F10" i="98" s="1"/>
  <c r="J10" i="98" s="1"/>
  <c r="F11" i="98" a="1"/>
  <c r="F11" i="98" s="1"/>
  <c r="F12" i="98" s="1"/>
  <c r="Q12" i="98" s="1"/>
  <c r="F13" i="98" a="1"/>
  <c r="F13" i="98" s="1"/>
  <c r="F14" i="98" a="1"/>
  <c r="F14" i="98" s="1"/>
  <c r="F80" i="98" a="1"/>
  <c r="F80" i="98" s="1"/>
  <c r="F81" i="98" a="1"/>
  <c r="F81" i="98" s="1"/>
  <c r="F84" i="98" a="1"/>
  <c r="F84" i="98" s="1"/>
  <c r="F40" i="98" a="1"/>
  <c r="F40" i="98" s="1"/>
  <c r="F41" i="98" a="1"/>
  <c r="F41" i="98" s="1"/>
  <c r="F44" i="98" a="1"/>
  <c r="F44" i="98" s="1"/>
  <c r="F70" i="98" a="1"/>
  <c r="F70" i="98" s="1"/>
  <c r="F71" i="98" a="1"/>
  <c r="F71" i="98" s="1"/>
  <c r="F74" i="98" a="1"/>
  <c r="F74" i="98" s="1"/>
  <c r="Q30" i="98"/>
  <c r="J150" i="98"/>
  <c r="Q90" i="98"/>
  <c r="J31" i="98"/>
  <c r="J121" i="98"/>
  <c r="J29" i="98"/>
  <c r="J89" i="98"/>
  <c r="J149" i="98"/>
  <c r="Q91" i="98"/>
  <c r="J151" i="98"/>
  <c r="Q29" i="98"/>
  <c r="J30" i="98"/>
  <c r="Q59" i="98"/>
  <c r="J59" i="98"/>
  <c r="Q119" i="98"/>
  <c r="J90" i="98"/>
  <c r="Q89" i="98"/>
  <c r="Q149" i="98"/>
  <c r="Q150" i="98"/>
  <c r="F49" i="98" a="1"/>
  <c r="F49" i="98" s="1"/>
  <c r="F99" i="98" a="1"/>
  <c r="F99" i="98" s="1"/>
  <c r="F129" i="98" a="1"/>
  <c r="F129" i="98" s="1"/>
  <c r="F79" i="98" a="1"/>
  <c r="F79" i="98" s="1"/>
  <c r="F39" i="98" a="1"/>
  <c r="F39" i="98" s="1"/>
  <c r="F69" i="98" a="1"/>
  <c r="F69" i="98" s="1"/>
  <c r="F109" i="98" a="1"/>
  <c r="F109" i="98" s="1"/>
  <c r="F139" i="98" a="1"/>
  <c r="F139" i="98" s="1"/>
  <c r="F19" i="98" a="1"/>
  <c r="F19" i="98" s="1"/>
  <c r="J19" i="98" s="1"/>
  <c r="F12" i="68" a="1"/>
  <c r="F12" i="68" s="1"/>
  <c r="F9" i="98" a="1"/>
  <c r="F9" i="98" s="1"/>
  <c r="J9" i="98" s="1"/>
  <c r="F88" i="68" a="1"/>
  <c r="F88" i="68" s="1"/>
  <c r="F155" i="68" a="1"/>
  <c r="F155" i="68" s="1"/>
  <c r="Q155" i="68" s="1"/>
  <c r="F199" i="66" a="1"/>
  <c r="F199" i="66" s="1"/>
  <c r="Q199" i="66" s="1"/>
  <c r="F50" i="68" a="1"/>
  <c r="F50" i="68" s="1"/>
  <c r="M86" i="52"/>
  <c r="M115" i="52"/>
  <c r="F123" i="52" a="1"/>
  <c r="F123" i="52" s="1"/>
  <c r="F122" i="52" a="1"/>
  <c r="F122" i="52" s="1"/>
  <c r="F124" i="52" a="1"/>
  <c r="F124" i="52" s="1"/>
  <c r="Q124" i="52" s="1"/>
  <c r="F38" i="52" a="1"/>
  <c r="F38" i="52" s="1"/>
  <c r="Q38" i="52" s="1"/>
  <c r="F37" i="52" a="1"/>
  <c r="F37" i="52" s="1"/>
  <c r="Q37" i="52" s="1"/>
  <c r="F39" i="52" a="1"/>
  <c r="F39" i="52" s="1"/>
  <c r="Q39" i="52" s="1"/>
  <c r="F130" i="52" a="1"/>
  <c r="F130" i="52" s="1"/>
  <c r="Q130" i="52" s="1"/>
  <c r="F129" i="52" a="1"/>
  <c r="F129" i="52" s="1"/>
  <c r="Q129" i="52" s="1"/>
  <c r="F131" i="52" a="1"/>
  <c r="F131" i="52" s="1"/>
  <c r="Q131" i="52" s="1"/>
  <c r="F123" i="68" a="1"/>
  <c r="F123" i="68" s="1"/>
  <c r="Q75" i="68"/>
  <c r="F131" i="68" a="1"/>
  <c r="F131" i="68" s="1"/>
  <c r="F126" i="68" a="1"/>
  <c r="F126" i="68" s="1"/>
  <c r="F90" i="68" a="1"/>
  <c r="F90" i="68" s="1"/>
  <c r="F201" i="66" a="1"/>
  <c r="F201" i="66" s="1"/>
  <c r="F157" i="68" a="1"/>
  <c r="F157" i="68" s="1"/>
  <c r="F52" i="68" a="1"/>
  <c r="F52" i="68" s="1"/>
  <c r="Q145" i="68"/>
  <c r="Q37" i="68"/>
  <c r="Q173" i="68"/>
  <c r="Q113" i="68"/>
  <c r="Q223" i="66"/>
  <c r="Q91" i="66"/>
  <c r="K174" i="68"/>
  <c r="Q183" i="66"/>
  <c r="Q77" i="68"/>
  <c r="Q38" i="68"/>
  <c r="Q39" i="68"/>
  <c r="K146" i="68"/>
  <c r="Q115" i="68"/>
  <c r="Q76" i="68"/>
  <c r="Q114" i="68"/>
  <c r="Q146" i="68"/>
  <c r="J162" i="68"/>
  <c r="Q174" i="68"/>
  <c r="F13" i="68" a="1"/>
  <c r="F13" i="68" s="1"/>
  <c r="F9" i="68" a="1"/>
  <c r="F9" i="68" s="1"/>
  <c r="F21" i="66" a="1"/>
  <c r="F21" i="66" s="1"/>
  <c r="F206" i="66" a="1"/>
  <c r="F206" i="66" s="1"/>
  <c r="F162" i="68" a="1"/>
  <c r="F162" i="68" s="1"/>
  <c r="Q137" i="66"/>
  <c r="J131" i="68"/>
  <c r="F149" i="66" a="1"/>
  <c r="F149" i="66" s="1"/>
  <c r="Q149" i="66" s="1"/>
  <c r="F125" i="68" a="1"/>
  <c r="F125" i="68" s="1"/>
  <c r="F124" i="68" a="1"/>
  <c r="F124" i="68" s="1"/>
  <c r="F57" i="66" a="1"/>
  <c r="F57" i="66" s="1"/>
  <c r="F51" i="68" a="1"/>
  <c r="F51" i="68" s="1"/>
  <c r="F47" i="68" a="1"/>
  <c r="F47" i="68" s="1"/>
  <c r="F48" i="68" a="1"/>
  <c r="F48" i="68" s="1"/>
  <c r="F49" i="68" a="1"/>
  <c r="F49" i="68" s="1"/>
  <c r="Q49" i="68" s="1"/>
  <c r="J19" i="68"/>
  <c r="F67" i="66" a="1"/>
  <c r="F67" i="66" s="1"/>
  <c r="F57" i="68" a="1"/>
  <c r="F57" i="68" s="1"/>
  <c r="F113" i="66" a="1"/>
  <c r="F113" i="66" s="1"/>
  <c r="F95" i="68" a="1"/>
  <c r="F95" i="68" s="1"/>
  <c r="F103" i="66" a="1"/>
  <c r="F103" i="66" s="1"/>
  <c r="Q103" i="66" s="1"/>
  <c r="F89" i="68" a="1"/>
  <c r="F89" i="68" s="1"/>
  <c r="F86" i="68" a="1"/>
  <c r="F86" i="68" s="1"/>
  <c r="Q86" i="68" s="1"/>
  <c r="F87" i="68" a="1"/>
  <c r="F87" i="68" s="1"/>
  <c r="F85" i="68" a="1"/>
  <c r="F85" i="68" s="1"/>
  <c r="F195" i="66" a="1"/>
  <c r="F195" i="66" s="1"/>
  <c r="F156" i="68" a="1"/>
  <c r="F156" i="68" s="1"/>
  <c r="F154" i="68" a="1"/>
  <c r="F154" i="68" s="1"/>
  <c r="Q154" i="68" s="1"/>
  <c r="F153" i="68" a="1"/>
  <c r="F153" i="68" s="1"/>
  <c r="Q45" i="66"/>
  <c r="F104" i="66" a="1"/>
  <c r="F104" i="66" s="1"/>
  <c r="F101" i="66" a="1"/>
  <c r="F101" i="66" s="1"/>
  <c r="F102" i="66" a="1"/>
  <c r="F102" i="66" s="1"/>
  <c r="F198" i="66" a="1"/>
  <c r="F198" i="66" s="1"/>
  <c r="F194" i="66" a="1"/>
  <c r="F194" i="66" s="1"/>
  <c r="F200" i="66" a="1"/>
  <c r="F200" i="66" s="1"/>
  <c r="F196" i="66" a="1"/>
  <c r="F196" i="66" s="1"/>
  <c r="F193" i="66" a="1"/>
  <c r="F193" i="66" s="1"/>
  <c r="F14" i="66" a="1"/>
  <c r="F14" i="66" s="1"/>
  <c r="F15" i="66" a="1"/>
  <c r="F15" i="66" s="1"/>
  <c r="F10" i="66" a="1"/>
  <c r="F10" i="66" s="1"/>
  <c r="F12" i="66" a="1"/>
  <c r="F12" i="66" s="1"/>
  <c r="Q12" i="66" s="1"/>
  <c r="F159" i="66" a="1"/>
  <c r="F159" i="66" s="1"/>
  <c r="F150" i="66" a="1"/>
  <c r="F150" i="66" s="1"/>
  <c r="F148" i="66" a="1"/>
  <c r="F148" i="66" s="1"/>
  <c r="F147" i="66" a="1"/>
  <c r="F147" i="66" s="1"/>
  <c r="F58" i="66" a="1"/>
  <c r="F58" i="66" s="1"/>
  <c r="F56" i="66" a="1"/>
  <c r="F56" i="66" s="1"/>
  <c r="F55" i="66" a="1"/>
  <c r="F55" i="66" s="1"/>
  <c r="F58" i="52" a="1"/>
  <c r="F58" i="52" s="1"/>
  <c r="F59" i="52" a="1"/>
  <c r="F59" i="52" s="1"/>
  <c r="Q59" i="52" s="1"/>
  <c r="F30" i="52" a="1"/>
  <c r="F30" i="52" s="1"/>
  <c r="Q30" i="52" s="1"/>
  <c r="F31" i="52" a="1"/>
  <c r="F31" i="52" s="1"/>
  <c r="Q31" i="52" s="1"/>
  <c r="F228" i="66" a="1"/>
  <c r="F228" i="66" s="1"/>
  <c r="F221" i="66" a="1"/>
  <c r="F221" i="66" s="1"/>
  <c r="F222" i="66" a="1"/>
  <c r="F222" i="66" s="1"/>
  <c r="F224" i="66" a="1"/>
  <c r="F224" i="66" s="1"/>
  <c r="F226" i="66" a="1"/>
  <c r="F226" i="66" s="1"/>
  <c r="F135" i="66" a="1"/>
  <c r="F135" i="66" s="1"/>
  <c r="F136" i="66" a="1"/>
  <c r="F136" i="66" s="1"/>
  <c r="F138" i="66" a="1"/>
  <c r="F138" i="66" s="1"/>
  <c r="F89" i="66" a="1"/>
  <c r="F89" i="66" s="1"/>
  <c r="F92" i="66" a="1"/>
  <c r="F92" i="66" s="1"/>
  <c r="F90" i="66" a="1"/>
  <c r="F90" i="66" s="1"/>
  <c r="F187" i="66" a="1"/>
  <c r="F187" i="66" s="1"/>
  <c r="F181" i="66" a="1"/>
  <c r="F181" i="66" s="1"/>
  <c r="F184" i="66" a="1"/>
  <c r="F184" i="66" s="1"/>
  <c r="F186" i="66" a="1"/>
  <c r="F186" i="66" s="1"/>
  <c r="F182" i="66" a="1"/>
  <c r="F182" i="66" s="1"/>
  <c r="F44" i="66" a="1"/>
  <c r="F44" i="66" s="1"/>
  <c r="F43" i="66" a="1"/>
  <c r="F43" i="66" s="1"/>
  <c r="F46" i="66" a="1"/>
  <c r="F46" i="66" s="1"/>
  <c r="F27" i="57" a="1"/>
  <c r="F28" i="57" a="1"/>
  <c r="F21" i="57" a="1"/>
  <c r="F9" i="57" a="1"/>
  <c r="F22" i="57" a="1"/>
  <c r="D15" i="57" a="1"/>
  <c r="D27" i="57" a="1"/>
  <c r="D33" i="57" a="1"/>
  <c r="F10" i="57" a="1"/>
  <c r="D21" i="57" a="1"/>
  <c r="F16" i="57" a="1"/>
  <c r="F33" i="57" a="1"/>
  <c r="F34" i="57" a="1"/>
  <c r="P162" i="68" l="1"/>
  <c r="Q162" i="68" s="1"/>
  <c r="P95" i="68"/>
  <c r="Q95" i="68" s="1"/>
  <c r="P67" i="66"/>
  <c r="Q62" i="66"/>
  <c r="P206" i="66"/>
  <c r="Q201" i="66"/>
  <c r="P113" i="66"/>
  <c r="Q108" i="66"/>
  <c r="P159" i="66"/>
  <c r="Q154" i="66"/>
  <c r="J61" i="66"/>
  <c r="J103" i="98"/>
  <c r="K102" i="98" s="1"/>
  <c r="J21" i="66"/>
  <c r="J103" i="52"/>
  <c r="J74" i="52"/>
  <c r="J46" i="52"/>
  <c r="F9" i="57"/>
  <c r="F27" i="57"/>
  <c r="D27" i="57"/>
  <c r="Q24" i="98"/>
  <c r="Q25" i="98" s="1"/>
  <c r="Q26" i="98" s="1"/>
  <c r="K152" i="98"/>
  <c r="K142" i="98"/>
  <c r="K112" i="98"/>
  <c r="Q84" i="98"/>
  <c r="Q85" i="98" s="1"/>
  <c r="K72" i="98"/>
  <c r="K92" i="98"/>
  <c r="Q144" i="98"/>
  <c r="K42" i="98"/>
  <c r="K52" i="98"/>
  <c r="K132" i="98"/>
  <c r="Q63" i="98"/>
  <c r="O64" i="98"/>
  <c r="Q54" i="98"/>
  <c r="Q55" i="98" s="1"/>
  <c r="R92" i="98"/>
  <c r="R152" i="98"/>
  <c r="R32" i="98"/>
  <c r="Q13" i="98"/>
  <c r="H144" i="98"/>
  <c r="Q94" i="98"/>
  <c r="Q95" i="98" s="1"/>
  <c r="H74" i="98"/>
  <c r="H114" i="98"/>
  <c r="H44" i="98"/>
  <c r="H134" i="98"/>
  <c r="M133" i="98"/>
  <c r="R142" i="98"/>
  <c r="M91" i="98"/>
  <c r="K82" i="98"/>
  <c r="Q73" i="98"/>
  <c r="Q134" i="98"/>
  <c r="Q135" i="98" s="1"/>
  <c r="K32" i="98"/>
  <c r="H34" i="98"/>
  <c r="H94" i="98"/>
  <c r="H54" i="98"/>
  <c r="R132" i="98"/>
  <c r="H84" i="98"/>
  <c r="J22" i="98"/>
  <c r="Q22" i="98"/>
  <c r="J12" i="98"/>
  <c r="M12" i="98" s="1"/>
  <c r="M53" i="98"/>
  <c r="M143" i="98"/>
  <c r="M93" i="98"/>
  <c r="H154" i="98"/>
  <c r="R52" i="98"/>
  <c r="M33" i="98"/>
  <c r="M83" i="98"/>
  <c r="R82" i="98"/>
  <c r="M153" i="98"/>
  <c r="M43" i="98"/>
  <c r="R42" i="98"/>
  <c r="J13" i="98"/>
  <c r="M23" i="98"/>
  <c r="Q154" i="98"/>
  <c r="Q155" i="98" s="1"/>
  <c r="Q156" i="98" s="1"/>
  <c r="J15" i="68"/>
  <c r="J16" i="68" s="1"/>
  <c r="R151" i="98"/>
  <c r="Q11" i="98"/>
  <c r="R88" i="52"/>
  <c r="Q153" i="66"/>
  <c r="Q200" i="66"/>
  <c r="K145" i="68"/>
  <c r="M183" i="66"/>
  <c r="M60" i="98"/>
  <c r="K173" i="68"/>
  <c r="M137" i="66"/>
  <c r="P131" i="68"/>
  <c r="P57" i="68"/>
  <c r="H64" i="98"/>
  <c r="J62" i="68"/>
  <c r="J200" i="66"/>
  <c r="J74" i="66"/>
  <c r="J215" i="66"/>
  <c r="J211" i="66"/>
  <c r="J213" i="66"/>
  <c r="J209" i="66"/>
  <c r="J210" i="66"/>
  <c r="J212" i="66"/>
  <c r="J208" i="66"/>
  <c r="J131" i="52"/>
  <c r="J166" i="66"/>
  <c r="J134" i="68"/>
  <c r="J61" i="68"/>
  <c r="J58" i="68"/>
  <c r="J161" i="66"/>
  <c r="J106" i="68"/>
  <c r="J101" i="68"/>
  <c r="J121" i="66"/>
  <c r="J115" i="66"/>
  <c r="J96" i="68"/>
  <c r="J133" i="68"/>
  <c r="J155" i="68"/>
  <c r="J68" i="68"/>
  <c r="J75" i="66"/>
  <c r="J63" i="68"/>
  <c r="J166" i="68"/>
  <c r="J132" i="68"/>
  <c r="J119" i="66"/>
  <c r="J60" i="68"/>
  <c r="J116" i="66"/>
  <c r="J59" i="68"/>
  <c r="J68" i="66"/>
  <c r="J157" i="68"/>
  <c r="J201" i="66"/>
  <c r="J138" i="68"/>
  <c r="J167" i="66"/>
  <c r="J135" i="68"/>
  <c r="J114" i="66"/>
  <c r="J154" i="68"/>
  <c r="J71" i="66"/>
  <c r="J167" i="68"/>
  <c r="J168" i="68" s="1"/>
  <c r="J70" i="66"/>
  <c r="J163" i="68"/>
  <c r="J199" i="66"/>
  <c r="J73" i="66"/>
  <c r="J117" i="66"/>
  <c r="J196" i="66"/>
  <c r="J198" i="66"/>
  <c r="J164" i="68"/>
  <c r="J193" i="66"/>
  <c r="J44" i="52"/>
  <c r="J57" i="68"/>
  <c r="J67" i="66"/>
  <c r="J165" i="66"/>
  <c r="J98" i="68"/>
  <c r="J165" i="68"/>
  <c r="J197" i="66"/>
  <c r="J195" i="66"/>
  <c r="J163" i="66"/>
  <c r="J99" i="68"/>
  <c r="J153" i="68"/>
  <c r="J69" i="66"/>
  <c r="J162" i="66"/>
  <c r="J118" i="66"/>
  <c r="J160" i="66"/>
  <c r="M175" i="68"/>
  <c r="M116" i="68"/>
  <c r="M227" i="66"/>
  <c r="M78" i="68"/>
  <c r="M40" i="68"/>
  <c r="K176" i="68"/>
  <c r="K147" i="68"/>
  <c r="J24" i="68"/>
  <c r="F110" i="52" a="1"/>
  <c r="F110" i="52" s="1"/>
  <c r="F135" i="52" a="1"/>
  <c r="F135" i="52" s="1"/>
  <c r="Q9" i="98"/>
  <c r="F164" i="66" a="1"/>
  <c r="F164" i="66" s="1"/>
  <c r="Q164" i="66" s="1"/>
  <c r="F72" i="66" a="1"/>
  <c r="F72" i="66" s="1"/>
  <c r="Q72" i="66" s="1"/>
  <c r="F26" i="66" a="1"/>
  <c r="F26" i="66" s="1"/>
  <c r="Q26" i="66" s="1"/>
  <c r="F211" i="66" a="1"/>
  <c r="F211" i="66" s="1"/>
  <c r="Q118" i="68"/>
  <c r="Q80" i="68"/>
  <c r="Q42" i="68"/>
  <c r="M87" i="52"/>
  <c r="P118" i="52"/>
  <c r="P119" i="52" s="1"/>
  <c r="M141" i="52"/>
  <c r="Q151" i="66"/>
  <c r="F118" i="66" a="1"/>
  <c r="F118" i="66" s="1"/>
  <c r="F119" i="66" a="1"/>
  <c r="F119" i="66" s="1"/>
  <c r="F120" i="66" a="1"/>
  <c r="F120" i="66" s="1"/>
  <c r="F121" i="66" a="1"/>
  <c r="F121" i="66" s="1"/>
  <c r="Q59" i="66"/>
  <c r="Q105" i="66"/>
  <c r="M13" i="66"/>
  <c r="M89" i="52"/>
  <c r="F81" i="52" a="1"/>
  <c r="F81" i="52" s="1"/>
  <c r="Q118" i="52"/>
  <c r="Q119" i="52" s="1"/>
  <c r="D11" i="116"/>
  <c r="D11" i="115"/>
  <c r="D11" i="114"/>
  <c r="D11" i="113"/>
  <c r="M61" i="98"/>
  <c r="D11" i="108"/>
  <c r="F28" i="57"/>
  <c r="F34" i="57"/>
  <c r="M151" i="98"/>
  <c r="Q12" i="68"/>
  <c r="M120" i="98"/>
  <c r="J24" i="98"/>
  <c r="J94" i="98"/>
  <c r="J123" i="98"/>
  <c r="R90" i="98"/>
  <c r="J54" i="98"/>
  <c r="R119" i="98"/>
  <c r="J74" i="98"/>
  <c r="M31" i="98"/>
  <c r="J34" i="98"/>
  <c r="J84" i="98"/>
  <c r="J44" i="98"/>
  <c r="Q88" i="68"/>
  <c r="F16" i="57"/>
  <c r="F22" i="57"/>
  <c r="M59" i="98"/>
  <c r="M149" i="98"/>
  <c r="M121" i="98"/>
  <c r="M90" i="98"/>
  <c r="M30" i="98"/>
  <c r="M89" i="98"/>
  <c r="M29" i="98"/>
  <c r="M150" i="98"/>
  <c r="M119" i="98"/>
  <c r="J141" i="98"/>
  <c r="Q141" i="98"/>
  <c r="J71" i="98"/>
  <c r="Q71" i="98"/>
  <c r="J81" i="98"/>
  <c r="Q81" i="98"/>
  <c r="J101" i="98"/>
  <c r="Q101" i="98"/>
  <c r="J140" i="98"/>
  <c r="Q140" i="98"/>
  <c r="Q70" i="98"/>
  <c r="J70" i="98"/>
  <c r="Q80" i="98"/>
  <c r="J80" i="98"/>
  <c r="J100" i="98"/>
  <c r="Q139" i="98"/>
  <c r="J139" i="98"/>
  <c r="J69" i="98"/>
  <c r="Q69" i="98"/>
  <c r="Q79" i="98"/>
  <c r="J79" i="98"/>
  <c r="Q99" i="98"/>
  <c r="J99" i="98"/>
  <c r="Q111" i="98"/>
  <c r="J111" i="98"/>
  <c r="J41" i="98"/>
  <c r="Q41" i="98"/>
  <c r="Q131" i="98"/>
  <c r="J131" i="98"/>
  <c r="Q51" i="98"/>
  <c r="J51" i="98"/>
  <c r="J110" i="98"/>
  <c r="Q40" i="98"/>
  <c r="J40" i="98"/>
  <c r="Q130" i="98"/>
  <c r="J130" i="98"/>
  <c r="J50" i="98"/>
  <c r="Q50" i="98"/>
  <c r="Q109" i="98"/>
  <c r="J109" i="98"/>
  <c r="J39" i="98"/>
  <c r="Q39" i="98"/>
  <c r="J129" i="98"/>
  <c r="Q129" i="98"/>
  <c r="J49" i="98"/>
  <c r="Q49" i="98"/>
  <c r="Q21" i="98"/>
  <c r="J21" i="98"/>
  <c r="J20" i="98"/>
  <c r="Q19" i="98"/>
  <c r="F33" i="57"/>
  <c r="J11" i="98"/>
  <c r="F61" i="68" a="1"/>
  <c r="F61" i="68" s="1"/>
  <c r="F23" i="68" a="1"/>
  <c r="F23" i="68" s="1"/>
  <c r="Q23" i="68" s="1"/>
  <c r="F53" i="52" a="1"/>
  <c r="F53" i="52" s="1"/>
  <c r="Q10" i="98"/>
  <c r="F25" i="52" a="1"/>
  <c r="F25" i="52" s="1"/>
  <c r="F99" i="68" a="1"/>
  <c r="F99" i="68" s="1"/>
  <c r="Q99" i="68" s="1"/>
  <c r="Q50" i="68"/>
  <c r="D15" i="57"/>
  <c r="F165" i="68" a="1"/>
  <c r="F165" i="68" s="1"/>
  <c r="F213" i="66" a="1"/>
  <c r="F213" i="66" s="1"/>
  <c r="K140" i="52"/>
  <c r="J143" i="52"/>
  <c r="K141" i="52"/>
  <c r="Q123" i="52"/>
  <c r="Q122" i="52"/>
  <c r="Q58" i="52"/>
  <c r="F21" i="57"/>
  <c r="F19" i="68" a="1"/>
  <c r="F19" i="68" s="1"/>
  <c r="F11" i="68" a="1"/>
  <c r="F11" i="68" s="1"/>
  <c r="F11" i="66" a="1"/>
  <c r="F11" i="66" s="1"/>
  <c r="Q11" i="66" s="1"/>
  <c r="F14" i="68" a="1"/>
  <c r="F14" i="68" s="1"/>
  <c r="Q14" i="68" s="1"/>
  <c r="F9" i="66" a="1"/>
  <c r="F9" i="66" s="1"/>
  <c r="F10" i="68" a="1"/>
  <c r="F10" i="68" s="1"/>
  <c r="F16" i="66" a="1"/>
  <c r="F16" i="66" s="1"/>
  <c r="F46" i="52" a="1"/>
  <c r="F46" i="52" s="1"/>
  <c r="F45" i="52" a="1"/>
  <c r="F45" i="52" s="1"/>
  <c r="Q45" i="52" s="1"/>
  <c r="F11" i="52" a="1"/>
  <c r="F11" i="52" s="1"/>
  <c r="Q11" i="52" s="1"/>
  <c r="F9" i="52" a="1"/>
  <c r="F9" i="52" s="1"/>
  <c r="Q9" i="52" s="1"/>
  <c r="F10" i="52" a="1"/>
  <c r="F10" i="52" s="1"/>
  <c r="F134" i="52" a="1"/>
  <c r="F134" i="52" s="1"/>
  <c r="F132" i="52" a="1"/>
  <c r="F132" i="52" s="1"/>
  <c r="F21" i="52" a="1"/>
  <c r="F21" i="52" s="1"/>
  <c r="Q21" i="52" s="1"/>
  <c r="F20" i="52" a="1"/>
  <c r="F20" i="52" s="1"/>
  <c r="F16" i="52" a="1"/>
  <c r="F16" i="52" s="1"/>
  <c r="F18" i="52" a="1"/>
  <c r="F18" i="52" s="1"/>
  <c r="F17" i="52" a="1"/>
  <c r="F17" i="52" s="1"/>
  <c r="Q17" i="52" s="1"/>
  <c r="Q10" i="66"/>
  <c r="Q14" i="66"/>
  <c r="F66" i="52" a="1"/>
  <c r="F66" i="52" s="1"/>
  <c r="F67" i="52" a="1"/>
  <c r="F67" i="52" s="1"/>
  <c r="Q67" i="52" s="1"/>
  <c r="F65" i="52" a="1"/>
  <c r="F65" i="52" s="1"/>
  <c r="Q65" i="52" s="1"/>
  <c r="F76" i="52" a="1"/>
  <c r="F76" i="52" s="1"/>
  <c r="F75" i="52" a="1"/>
  <c r="F75" i="52" s="1"/>
  <c r="F77" i="52" a="1"/>
  <c r="F77" i="52" s="1"/>
  <c r="J77" i="52" s="1"/>
  <c r="F105" i="52" a="1"/>
  <c r="F105" i="52" s="1"/>
  <c r="F106" i="52" a="1"/>
  <c r="F106" i="52" s="1"/>
  <c r="J106" i="52" s="1"/>
  <c r="F104" i="52" a="1"/>
  <c r="F104" i="52" s="1"/>
  <c r="F48" i="52" a="1"/>
  <c r="F48" i="52" s="1"/>
  <c r="F47" i="52" a="1"/>
  <c r="F47" i="52" s="1"/>
  <c r="F49" i="52" a="1"/>
  <c r="F49" i="52" s="1"/>
  <c r="J49" i="52" s="1"/>
  <c r="F102" i="52" a="1"/>
  <c r="F102" i="52" s="1"/>
  <c r="F103" i="52" a="1"/>
  <c r="F103" i="52" s="1"/>
  <c r="Q103" i="52" s="1"/>
  <c r="F101" i="52" a="1"/>
  <c r="F101" i="52" s="1"/>
  <c r="F95" i="52" a="1"/>
  <c r="F95" i="52" s="1"/>
  <c r="F94" i="52" a="1"/>
  <c r="F94" i="52" s="1"/>
  <c r="Q94" i="52" s="1"/>
  <c r="F96" i="52" a="1"/>
  <c r="F96" i="52" s="1"/>
  <c r="Q96" i="52" s="1"/>
  <c r="F72" i="52" a="1"/>
  <c r="F72" i="52" s="1"/>
  <c r="F74" i="52" a="1"/>
  <c r="F74" i="52" s="1"/>
  <c r="Q74" i="52" s="1"/>
  <c r="F73" i="52" a="1"/>
  <c r="F73" i="52" s="1"/>
  <c r="Q73" i="52" s="1"/>
  <c r="Q15" i="66"/>
  <c r="F10" i="57"/>
  <c r="D33" i="57"/>
  <c r="D21" i="57"/>
  <c r="M75" i="68"/>
  <c r="F176" i="66" a="1"/>
  <c r="F176" i="66" s="1"/>
  <c r="F140" i="68" a="1"/>
  <c r="F140" i="68" s="1"/>
  <c r="F108" i="68" a="1"/>
  <c r="F108" i="68" s="1"/>
  <c r="F130" i="66" a="1"/>
  <c r="F130" i="66" s="1"/>
  <c r="F38" i="66" a="1"/>
  <c r="F38" i="66" s="1"/>
  <c r="F32" i="68" a="1"/>
  <c r="F32" i="68" s="1"/>
  <c r="F70" i="68" a="1"/>
  <c r="F70" i="68" s="1"/>
  <c r="F84" i="66" a="1"/>
  <c r="F84" i="66" s="1"/>
  <c r="F168" i="68" a="1"/>
  <c r="F168" i="68" s="1"/>
  <c r="F216" i="66" a="1"/>
  <c r="F216" i="66" s="1"/>
  <c r="F167" i="68" a="1"/>
  <c r="F167" i="68" s="1"/>
  <c r="F215" i="66" a="1"/>
  <c r="F215" i="66" s="1"/>
  <c r="F25" i="68" a="1"/>
  <c r="F25" i="68" s="1"/>
  <c r="F29" i="66" a="1"/>
  <c r="F29" i="66" s="1"/>
  <c r="K88" i="68"/>
  <c r="Q90" i="68"/>
  <c r="F101" i="68" a="1"/>
  <c r="F101" i="68" s="1"/>
  <c r="Q157" i="68"/>
  <c r="F135" i="68" a="1"/>
  <c r="F135" i="68" s="1"/>
  <c r="F167" i="66" a="1"/>
  <c r="F167" i="66" s="1"/>
  <c r="F63" i="68" a="1"/>
  <c r="F63" i="68" s="1"/>
  <c r="F75" i="66" a="1"/>
  <c r="F75" i="66" s="1"/>
  <c r="K50" i="68"/>
  <c r="Q52" i="68"/>
  <c r="Q126" i="68"/>
  <c r="K124" i="68"/>
  <c r="M173" i="68"/>
  <c r="M91" i="66"/>
  <c r="Q195" i="66"/>
  <c r="M37" i="68"/>
  <c r="M145" i="68"/>
  <c r="M113" i="68"/>
  <c r="M174" i="68"/>
  <c r="Q153" i="68"/>
  <c r="Q85" i="68"/>
  <c r="Q47" i="68"/>
  <c r="Q123" i="68"/>
  <c r="Q9" i="68"/>
  <c r="M45" i="66"/>
  <c r="M223" i="66"/>
  <c r="M149" i="66"/>
  <c r="M77" i="68"/>
  <c r="M103" i="66"/>
  <c r="Q57" i="66"/>
  <c r="Q124" i="68"/>
  <c r="M146" i="68"/>
  <c r="M114" i="68"/>
  <c r="Q48" i="68"/>
  <c r="M49" i="68"/>
  <c r="Q176" i="68"/>
  <c r="Q156" i="68"/>
  <c r="Q147" i="68"/>
  <c r="Q125" i="68"/>
  <c r="Q117" i="68"/>
  <c r="Q89" i="68"/>
  <c r="Q79" i="68"/>
  <c r="Q41" i="68"/>
  <c r="Q87" i="68"/>
  <c r="M86" i="68"/>
  <c r="Q13" i="68"/>
  <c r="M38" i="68"/>
  <c r="M115" i="68"/>
  <c r="J95" i="68"/>
  <c r="Q51" i="68"/>
  <c r="F162" i="66" a="1"/>
  <c r="F162" i="66" s="1"/>
  <c r="F133" i="68" a="1"/>
  <c r="F133" i="68" s="1"/>
  <c r="F132" i="68" a="1"/>
  <c r="F132" i="68" s="1"/>
  <c r="F134" i="68" a="1"/>
  <c r="F134" i="68" s="1"/>
  <c r="F70" i="66" a="1"/>
  <c r="F70" i="66" s="1"/>
  <c r="F62" i="68" a="1"/>
  <c r="F62" i="68" s="1"/>
  <c r="Q62" i="68" s="1"/>
  <c r="F58" i="68" a="1"/>
  <c r="F58" i="68" s="1"/>
  <c r="F59" i="68" a="1"/>
  <c r="F59" i="68" s="1"/>
  <c r="F60" i="68" a="1"/>
  <c r="F60" i="68" s="1"/>
  <c r="M39" i="68"/>
  <c r="F116" i="66" a="1"/>
  <c r="F116" i="66" s="1"/>
  <c r="Q116" i="66" s="1"/>
  <c r="F100" i="68" a="1"/>
  <c r="F100" i="68" s="1"/>
  <c r="F97" i="68" a="1"/>
  <c r="F97" i="68" s="1"/>
  <c r="F98" i="68" a="1"/>
  <c r="F98" i="68" s="1"/>
  <c r="F96" i="68" a="1"/>
  <c r="F96" i="68" s="1"/>
  <c r="F209" i="66" a="1"/>
  <c r="F209" i="66" s="1"/>
  <c r="F166" i="68" a="1"/>
  <c r="F166" i="68" s="1"/>
  <c r="F164" i="68" a="1"/>
  <c r="F164" i="68" s="1"/>
  <c r="F163" i="68" a="1"/>
  <c r="F163" i="68" s="1"/>
  <c r="F20" i="68" a="1"/>
  <c r="F20" i="68" s="1"/>
  <c r="F24" i="68" a="1"/>
  <c r="F24" i="68" s="1"/>
  <c r="F21" i="68" a="1"/>
  <c r="F21" i="68" s="1"/>
  <c r="F22" i="68" a="1"/>
  <c r="F22" i="68" s="1"/>
  <c r="M76" i="68"/>
  <c r="Q61" i="66"/>
  <c r="Q49" i="66"/>
  <c r="Q141" i="66"/>
  <c r="Q187" i="66"/>
  <c r="Q95" i="66"/>
  <c r="Q228" i="66"/>
  <c r="Q107" i="66"/>
  <c r="F22" i="66" a="1"/>
  <c r="F22" i="66" s="1"/>
  <c r="F24" i="66" a="1"/>
  <c r="F24" i="66" s="1"/>
  <c r="Q48" i="66"/>
  <c r="Q94" i="66"/>
  <c r="Q140" i="66"/>
  <c r="Q135" i="66"/>
  <c r="Q226" i="66"/>
  <c r="Q222" i="66"/>
  <c r="Q58" i="66"/>
  <c r="Q152" i="66"/>
  <c r="Q148" i="66"/>
  <c r="Q196" i="66"/>
  <c r="Q198" i="66"/>
  <c r="Q102" i="66"/>
  <c r="Q182" i="66"/>
  <c r="Q43" i="66"/>
  <c r="Q184" i="66"/>
  <c r="Q90" i="66"/>
  <c r="Q136" i="66"/>
  <c r="Q224" i="66"/>
  <c r="Q221" i="66"/>
  <c r="Q150" i="66"/>
  <c r="Q106" i="66"/>
  <c r="Q46" i="66"/>
  <c r="Q186" i="66"/>
  <c r="Q181" i="66"/>
  <c r="Q92" i="66"/>
  <c r="Q138" i="66"/>
  <c r="Q55" i="66"/>
  <c r="Q101" i="66"/>
  <c r="Q44" i="66"/>
  <c r="Q89" i="66"/>
  <c r="Q60" i="66"/>
  <c r="Q56" i="66"/>
  <c r="Q147" i="66"/>
  <c r="Q193" i="66"/>
  <c r="Q194" i="66"/>
  <c r="Q104" i="66"/>
  <c r="F166" i="66" a="1"/>
  <c r="F166" i="66" s="1"/>
  <c r="F160" i="66" a="1"/>
  <c r="F160" i="66" s="1"/>
  <c r="F161" i="66" a="1"/>
  <c r="F161" i="66" s="1"/>
  <c r="F163" i="66" a="1"/>
  <c r="F163" i="66" s="1"/>
  <c r="F165" i="66" a="1"/>
  <c r="F165" i="66" s="1"/>
  <c r="F74" i="66" a="1"/>
  <c r="F74" i="66" s="1"/>
  <c r="F68" i="66" a="1"/>
  <c r="F68" i="66" s="1"/>
  <c r="F73" i="66" a="1"/>
  <c r="F73" i="66" s="1"/>
  <c r="F69" i="66" a="1"/>
  <c r="F69" i="66" s="1"/>
  <c r="F71" i="66" a="1"/>
  <c r="F71" i="66" s="1"/>
  <c r="F214" i="66" a="1"/>
  <c r="F214" i="66" s="1"/>
  <c r="Q214" i="66" s="1"/>
  <c r="F207" i="66" a="1"/>
  <c r="F207" i="66" s="1"/>
  <c r="F208" i="66" a="1"/>
  <c r="F208" i="66" s="1"/>
  <c r="F212" i="66" a="1"/>
  <c r="F212" i="66" s="1"/>
  <c r="Q212" i="66" s="1"/>
  <c r="F210" i="66" a="1"/>
  <c r="F210" i="66" s="1"/>
  <c r="F114" i="66" a="1"/>
  <c r="F114" i="66" s="1"/>
  <c r="F117" i="66" a="1"/>
  <c r="F117" i="66" s="1"/>
  <c r="F115" i="66" a="1"/>
  <c r="F115" i="66" s="1"/>
  <c r="F25" i="66" a="1"/>
  <c r="F25" i="66" s="1"/>
  <c r="F28" i="66" a="1"/>
  <c r="F28" i="66" s="1"/>
  <c r="Q28" i="66" s="1"/>
  <c r="F27" i="66" a="1"/>
  <c r="F27" i="66" s="1"/>
  <c r="F23" i="66" a="1"/>
  <c r="F23" i="66" s="1"/>
  <c r="D9" i="57" a="1"/>
  <c r="F15" i="57" a="1"/>
  <c r="Q77" i="52" l="1"/>
  <c r="Q104" i="52"/>
  <c r="J104" i="52"/>
  <c r="Q132" i="52"/>
  <c r="J132" i="52"/>
  <c r="Q106" i="52"/>
  <c r="Q49" i="52"/>
  <c r="J105" i="52"/>
  <c r="Q105" i="52"/>
  <c r="J21" i="52"/>
  <c r="J48" i="52"/>
  <c r="Q48" i="52"/>
  <c r="Q134" i="52"/>
  <c r="Q135" i="52" s="1"/>
  <c r="J134" i="52"/>
  <c r="J75" i="52"/>
  <c r="Q75" i="52"/>
  <c r="J76" i="52"/>
  <c r="Q76" i="52"/>
  <c r="Q47" i="52"/>
  <c r="J47" i="52"/>
  <c r="Q20" i="52"/>
  <c r="J20" i="52"/>
  <c r="J104" i="98"/>
  <c r="Q18" i="52"/>
  <c r="F133" i="52"/>
  <c r="Q46" i="52"/>
  <c r="Q66" i="52"/>
  <c r="Q67" i="66"/>
  <c r="M67" i="66" s="1"/>
  <c r="Q14" i="98"/>
  <c r="Q15" i="98" s="1"/>
  <c r="M24" i="98"/>
  <c r="K122" i="98"/>
  <c r="K62" i="98"/>
  <c r="Q64" i="98"/>
  <c r="J118" i="52"/>
  <c r="K9" i="52"/>
  <c r="R59" i="98"/>
  <c r="M73" i="98"/>
  <c r="R12" i="98"/>
  <c r="M11" i="98"/>
  <c r="M101" i="98"/>
  <c r="R72" i="98"/>
  <c r="K22" i="98"/>
  <c r="M22" i="98"/>
  <c r="Q74" i="98"/>
  <c r="Q75" i="98" s="1"/>
  <c r="K12" i="98"/>
  <c r="R22" i="98"/>
  <c r="J154" i="98"/>
  <c r="M197" i="66"/>
  <c r="M57" i="66"/>
  <c r="Q131" i="68"/>
  <c r="M131" i="68" s="1"/>
  <c r="R155" i="68"/>
  <c r="R49" i="68"/>
  <c r="R86" i="68"/>
  <c r="R40" i="68"/>
  <c r="R78" i="68"/>
  <c r="R116" i="68"/>
  <c r="M195" i="66"/>
  <c r="J82" i="66"/>
  <c r="J174" i="66"/>
  <c r="J139" i="68"/>
  <c r="J175" i="66"/>
  <c r="J137" i="68"/>
  <c r="J136" i="68"/>
  <c r="J173" i="66"/>
  <c r="J172" i="66"/>
  <c r="J168" i="66"/>
  <c r="J171" i="66"/>
  <c r="J170" i="66"/>
  <c r="J169" i="66"/>
  <c r="J29" i="66"/>
  <c r="J25" i="68"/>
  <c r="J21" i="68"/>
  <c r="J24" i="66"/>
  <c r="J27" i="66"/>
  <c r="J25" i="66"/>
  <c r="J20" i="68"/>
  <c r="J22" i="68"/>
  <c r="J23" i="66"/>
  <c r="J23" i="68"/>
  <c r="J26" i="66"/>
  <c r="M26" i="66" s="1"/>
  <c r="J22" i="66"/>
  <c r="J28" i="66"/>
  <c r="J83" i="66"/>
  <c r="J84" i="66" s="1"/>
  <c r="J85" i="66" s="1"/>
  <c r="J69" i="68"/>
  <c r="J70" i="68" s="1"/>
  <c r="J66" i="68"/>
  <c r="J79" i="66"/>
  <c r="J78" i="66"/>
  <c r="J81" i="66"/>
  <c r="J77" i="66"/>
  <c r="J67" i="68"/>
  <c r="J64" i="68"/>
  <c r="J65" i="68"/>
  <c r="J80" i="66"/>
  <c r="J76" i="66"/>
  <c r="J129" i="66"/>
  <c r="J107" i="68"/>
  <c r="J102" i="68"/>
  <c r="J126" i="66"/>
  <c r="J124" i="66"/>
  <c r="J105" i="68"/>
  <c r="J122" i="66"/>
  <c r="J123" i="66"/>
  <c r="J103" i="68"/>
  <c r="J104" i="68"/>
  <c r="J127" i="66"/>
  <c r="J125" i="66"/>
  <c r="J128" i="66"/>
  <c r="M95" i="68"/>
  <c r="Q9" i="66"/>
  <c r="Q148" i="68"/>
  <c r="Q177" i="68"/>
  <c r="M164" i="66"/>
  <c r="M72" i="66"/>
  <c r="F126" i="66" a="1"/>
  <c r="F126" i="66" s="1"/>
  <c r="Q126" i="66" s="1"/>
  <c r="F172" i="66" a="1"/>
  <c r="F172" i="66" s="1"/>
  <c r="Q172" i="66" s="1"/>
  <c r="F80" i="66" a="1"/>
  <c r="F80" i="66" s="1"/>
  <c r="Q80" i="66" s="1"/>
  <c r="F34" i="66" a="1"/>
  <c r="F34" i="66" s="1"/>
  <c r="Q34" i="66" s="1"/>
  <c r="Q211" i="66"/>
  <c r="R117" i="68"/>
  <c r="R41" i="68"/>
  <c r="R114" i="68"/>
  <c r="R113" i="68"/>
  <c r="R115" i="68"/>
  <c r="R76" i="68"/>
  <c r="R77" i="68"/>
  <c r="R75" i="68"/>
  <c r="R37" i="68"/>
  <c r="R39" i="68"/>
  <c r="R38" i="68"/>
  <c r="Q56" i="98"/>
  <c r="M9" i="98"/>
  <c r="Q113" i="66"/>
  <c r="M113" i="66" s="1"/>
  <c r="K115" i="52"/>
  <c r="K116" i="52"/>
  <c r="Q75" i="66"/>
  <c r="M117" i="52"/>
  <c r="Q10" i="52"/>
  <c r="R11" i="98"/>
  <c r="J17" i="66"/>
  <c r="J114" i="98"/>
  <c r="J134" i="98"/>
  <c r="J14" i="98"/>
  <c r="J144" i="98"/>
  <c r="M151" i="66"/>
  <c r="M59" i="66"/>
  <c r="Q118" i="66"/>
  <c r="M105" i="66"/>
  <c r="K61" i="98"/>
  <c r="J64" i="98"/>
  <c r="K121" i="98"/>
  <c r="J124" i="98"/>
  <c r="R123" i="68"/>
  <c r="K154" i="68"/>
  <c r="R85" i="68"/>
  <c r="R10" i="98"/>
  <c r="K125" i="68"/>
  <c r="K156" i="68"/>
  <c r="R51" i="68"/>
  <c r="R89" i="68"/>
  <c r="K153" i="68"/>
  <c r="R154" i="68"/>
  <c r="R153" i="68"/>
  <c r="M12" i="68"/>
  <c r="M87" i="68"/>
  <c r="R87" i="68"/>
  <c r="M48" i="68"/>
  <c r="R48" i="68"/>
  <c r="M155" i="68"/>
  <c r="K155" i="68"/>
  <c r="R125" i="68"/>
  <c r="K123" i="68"/>
  <c r="R47" i="68"/>
  <c r="M50" i="68"/>
  <c r="R50" i="68"/>
  <c r="R9" i="98"/>
  <c r="R156" i="68"/>
  <c r="M124" i="68"/>
  <c r="R124" i="68"/>
  <c r="M88" i="68"/>
  <c r="R88" i="68"/>
  <c r="M228" i="66"/>
  <c r="K228" i="66"/>
  <c r="K199" i="66"/>
  <c r="R150" i="98"/>
  <c r="J25" i="98"/>
  <c r="M25" i="98" s="1"/>
  <c r="R149" i="98"/>
  <c r="R70" i="98"/>
  <c r="K90" i="98"/>
  <c r="K89" i="98"/>
  <c r="R139" i="98"/>
  <c r="K91" i="98"/>
  <c r="J95" i="98"/>
  <c r="Q124" i="98"/>
  <c r="M54" i="98"/>
  <c r="Q34" i="98"/>
  <c r="Q44" i="98"/>
  <c r="R81" i="98"/>
  <c r="J85" i="98"/>
  <c r="M85" i="98" s="1"/>
  <c r="J75" i="98"/>
  <c r="M63" i="98"/>
  <c r="J35" i="98"/>
  <c r="M123" i="98"/>
  <c r="K150" i="98"/>
  <c r="K9" i="98"/>
  <c r="K29" i="98"/>
  <c r="R30" i="98"/>
  <c r="R29" i="98"/>
  <c r="R89" i="98"/>
  <c r="R91" i="98"/>
  <c r="R31" i="98"/>
  <c r="K59" i="98"/>
  <c r="K60" i="98"/>
  <c r="K151" i="98"/>
  <c r="M50" i="98"/>
  <c r="K149" i="98"/>
  <c r="K31" i="98"/>
  <c r="K30" i="98"/>
  <c r="K119" i="98"/>
  <c r="R121" i="98"/>
  <c r="R120" i="98"/>
  <c r="K120" i="98"/>
  <c r="R60" i="98"/>
  <c r="R61" i="98"/>
  <c r="R20" i="98"/>
  <c r="R140" i="98"/>
  <c r="R141" i="98"/>
  <c r="M130" i="98"/>
  <c r="M79" i="98"/>
  <c r="R39" i="98"/>
  <c r="R41" i="98"/>
  <c r="R69" i="98"/>
  <c r="R71" i="98"/>
  <c r="R49" i="98"/>
  <c r="R50" i="98"/>
  <c r="M51" i="98"/>
  <c r="K51" i="98"/>
  <c r="K50" i="98"/>
  <c r="M99" i="98"/>
  <c r="K99" i="98"/>
  <c r="M49" i="98"/>
  <c r="K49" i="98"/>
  <c r="R51" i="98"/>
  <c r="K101" i="98"/>
  <c r="K100" i="98"/>
  <c r="M131" i="98"/>
  <c r="K131" i="98"/>
  <c r="R129" i="98"/>
  <c r="K80" i="98"/>
  <c r="M80" i="98"/>
  <c r="M129" i="98"/>
  <c r="K129" i="98"/>
  <c r="R130" i="98"/>
  <c r="R131" i="98"/>
  <c r="K130" i="98"/>
  <c r="R79" i="98"/>
  <c r="R80" i="98"/>
  <c r="M81" i="98"/>
  <c r="K81" i="98"/>
  <c r="K79" i="98"/>
  <c r="M40" i="98"/>
  <c r="K40" i="98"/>
  <c r="M70" i="98"/>
  <c r="K70" i="98"/>
  <c r="R21" i="98"/>
  <c r="M39" i="98"/>
  <c r="K39" i="98"/>
  <c r="M41" i="98"/>
  <c r="K41" i="98"/>
  <c r="R40" i="98"/>
  <c r="K69" i="98"/>
  <c r="M69" i="98"/>
  <c r="M71" i="98"/>
  <c r="K71" i="98"/>
  <c r="M109" i="98"/>
  <c r="K109" i="98"/>
  <c r="K110" i="98"/>
  <c r="M111" i="98"/>
  <c r="K111" i="98"/>
  <c r="M139" i="98"/>
  <c r="K139" i="98"/>
  <c r="M140" i="98"/>
  <c r="K140" i="98"/>
  <c r="M141" i="98"/>
  <c r="K141" i="98"/>
  <c r="M20" i="98"/>
  <c r="K20" i="98"/>
  <c r="K21" i="98"/>
  <c r="M21" i="98"/>
  <c r="Q61" i="68"/>
  <c r="R19" i="98"/>
  <c r="M19" i="98"/>
  <c r="K19" i="98"/>
  <c r="K10" i="98"/>
  <c r="M13" i="98"/>
  <c r="F29" i="68" a="1"/>
  <c r="F29" i="68" s="1"/>
  <c r="F105" i="68" a="1"/>
  <c r="F105" i="68" s="1"/>
  <c r="F67" i="68" a="1"/>
  <c r="F67" i="68" s="1"/>
  <c r="M10" i="98"/>
  <c r="K11" i="98"/>
  <c r="Q165" i="68"/>
  <c r="Q100" i="68"/>
  <c r="M199" i="66"/>
  <c r="Q213" i="66"/>
  <c r="K12" i="68"/>
  <c r="J144" i="52"/>
  <c r="Q72" i="52"/>
  <c r="M122" i="52"/>
  <c r="M123" i="52"/>
  <c r="M129" i="52"/>
  <c r="M130" i="52"/>
  <c r="M38" i="52"/>
  <c r="M37" i="52"/>
  <c r="M59" i="52"/>
  <c r="Q102" i="52"/>
  <c r="M58" i="52"/>
  <c r="Q101" i="52"/>
  <c r="Q95" i="52"/>
  <c r="M31" i="52"/>
  <c r="M30" i="52"/>
  <c r="Q11" i="68"/>
  <c r="Q10" i="68"/>
  <c r="F15" i="57"/>
  <c r="F51" i="52" a="1"/>
  <c r="F51" i="52" s="1"/>
  <c r="F52" i="52" a="1"/>
  <c r="F52" i="52" s="1"/>
  <c r="F50" i="52" a="1"/>
  <c r="F50" i="52" s="1"/>
  <c r="F22" i="52" a="1"/>
  <c r="F22" i="52" s="1"/>
  <c r="F24" i="52" a="1"/>
  <c r="F24" i="52" s="1"/>
  <c r="F23" i="52" a="1"/>
  <c r="F23" i="52" s="1"/>
  <c r="F80" i="52" a="1"/>
  <c r="F80" i="52" s="1"/>
  <c r="F79" i="52" a="1"/>
  <c r="F79" i="52" s="1"/>
  <c r="F78" i="52" a="1"/>
  <c r="F78" i="52" s="1"/>
  <c r="Q16" i="52"/>
  <c r="F108" i="52" a="1"/>
  <c r="F108" i="52" s="1"/>
  <c r="F109" i="52" a="1"/>
  <c r="F109" i="52" s="1"/>
  <c r="F107" i="52" a="1"/>
  <c r="F107" i="52" s="1"/>
  <c r="D9" i="57"/>
  <c r="Q121" i="66"/>
  <c r="Q29" i="66"/>
  <c r="R28" i="66" s="1"/>
  <c r="F69" i="68" a="1"/>
  <c r="F69" i="68" s="1"/>
  <c r="F83" i="66" a="1"/>
  <c r="F83" i="66" s="1"/>
  <c r="Q135" i="68"/>
  <c r="K134" i="68"/>
  <c r="Q101" i="68"/>
  <c r="Q25" i="68"/>
  <c r="F31" i="68" a="1"/>
  <c r="F31" i="68" s="1"/>
  <c r="Q31" i="68" s="1"/>
  <c r="F37" i="66" a="1"/>
  <c r="F37" i="66" s="1"/>
  <c r="F107" i="68" a="1"/>
  <c r="F107" i="68" s="1"/>
  <c r="F129" i="66" a="1"/>
  <c r="F129" i="66" s="1"/>
  <c r="F139" i="68" a="1"/>
  <c r="F139" i="68" s="1"/>
  <c r="F175" i="66" a="1"/>
  <c r="F175" i="66" s="1"/>
  <c r="K61" i="68"/>
  <c r="Q63" i="68"/>
  <c r="Q167" i="68"/>
  <c r="Q133" i="68"/>
  <c r="Q81" i="68"/>
  <c r="Q82" i="68" s="1"/>
  <c r="K37" i="68"/>
  <c r="J43" i="68"/>
  <c r="J178" i="68"/>
  <c r="Q43" i="68"/>
  <c r="Q44" i="68" s="1"/>
  <c r="Q119" i="68"/>
  <c r="Q120" i="68" s="1"/>
  <c r="K75" i="68"/>
  <c r="J81" i="68"/>
  <c r="M9" i="68"/>
  <c r="M85" i="68"/>
  <c r="M153" i="68"/>
  <c r="Q20" i="68"/>
  <c r="Q163" i="68"/>
  <c r="M123" i="68"/>
  <c r="Q96" i="68"/>
  <c r="Q58" i="68"/>
  <c r="Q132" i="68"/>
  <c r="M117" i="68"/>
  <c r="M47" i="68"/>
  <c r="Q165" i="66"/>
  <c r="Q161" i="66"/>
  <c r="Q163" i="66"/>
  <c r="Q160" i="66"/>
  <c r="M118" i="68"/>
  <c r="Q162" i="66"/>
  <c r="M79" i="68"/>
  <c r="Q134" i="68"/>
  <c r="M116" i="66"/>
  <c r="Q209" i="66"/>
  <c r="M209" i="66" s="1"/>
  <c r="Q70" i="66"/>
  <c r="M147" i="68"/>
  <c r="J149" i="68"/>
  <c r="J150" i="68" s="1"/>
  <c r="M41" i="68"/>
  <c r="M89" i="68"/>
  <c r="Q91" i="68"/>
  <c r="Q92" i="68" s="1"/>
  <c r="M176" i="68"/>
  <c r="R79" i="68"/>
  <c r="F78" i="66" a="1"/>
  <c r="F78" i="66" s="1"/>
  <c r="Q78" i="66" s="1"/>
  <c r="F64" i="68" a="1"/>
  <c r="F64" i="68" s="1"/>
  <c r="F68" i="68" a="1"/>
  <c r="F68" i="68" s="1"/>
  <c r="F66" i="68" a="1"/>
  <c r="F66" i="68" s="1"/>
  <c r="F65" i="68" a="1"/>
  <c r="F65" i="68" s="1"/>
  <c r="M42" i="68"/>
  <c r="Q22" i="68"/>
  <c r="Q164" i="68"/>
  <c r="Q97" i="68"/>
  <c r="K39" i="68"/>
  <c r="K79" i="68"/>
  <c r="M162" i="68"/>
  <c r="Q59" i="68"/>
  <c r="Q166" i="68"/>
  <c r="M13" i="68"/>
  <c r="K38" i="68"/>
  <c r="M51" i="68"/>
  <c r="Q24" i="68"/>
  <c r="F32" i="66" a="1"/>
  <c r="F32" i="66" s="1"/>
  <c r="Q32" i="66" s="1"/>
  <c r="F26" i="68" a="1"/>
  <c r="F26" i="68" s="1"/>
  <c r="F30" i="68" a="1"/>
  <c r="F30" i="68" s="1"/>
  <c r="F27" i="68" a="1"/>
  <c r="F27" i="68" s="1"/>
  <c r="F28" i="68" a="1"/>
  <c r="F28" i="68" s="1"/>
  <c r="F124" i="66" a="1"/>
  <c r="F124" i="66" s="1"/>
  <c r="Q124" i="66" s="1"/>
  <c r="F106" i="68" a="1"/>
  <c r="F106" i="68" s="1"/>
  <c r="F103" i="68" a="1"/>
  <c r="F103" i="68" s="1"/>
  <c r="F104" i="68" a="1"/>
  <c r="F104" i="68" s="1"/>
  <c r="F102" i="68" a="1"/>
  <c r="F102" i="68" s="1"/>
  <c r="F170" i="66" a="1"/>
  <c r="F170" i="66" s="1"/>
  <c r="Q170" i="66" s="1"/>
  <c r="F138" i="68" a="1"/>
  <c r="F138" i="68" s="1"/>
  <c r="F137" i="68" a="1"/>
  <c r="F137" i="68" s="1"/>
  <c r="F136" i="68" a="1"/>
  <c r="F136" i="68" s="1"/>
  <c r="K41" i="68"/>
  <c r="K76" i="68"/>
  <c r="Q98" i="68"/>
  <c r="M154" i="68"/>
  <c r="M80" i="68"/>
  <c r="K77" i="68"/>
  <c r="M125" i="68"/>
  <c r="Q21" i="68"/>
  <c r="M156" i="68"/>
  <c r="Q60" i="68"/>
  <c r="Q57" i="68"/>
  <c r="M200" i="66"/>
  <c r="M95" i="66"/>
  <c r="M107" i="66"/>
  <c r="M141" i="66"/>
  <c r="M61" i="66"/>
  <c r="Q74" i="66"/>
  <c r="Q120" i="66"/>
  <c r="M187" i="66"/>
  <c r="M153" i="66"/>
  <c r="Q166" i="66"/>
  <c r="M49" i="66"/>
  <c r="Q22" i="66"/>
  <c r="Q24" i="66"/>
  <c r="M10" i="66"/>
  <c r="M15" i="66"/>
  <c r="M14" i="66"/>
  <c r="M60" i="66"/>
  <c r="M152" i="66"/>
  <c r="Q119" i="66"/>
  <c r="Q69" i="66"/>
  <c r="M194" i="66"/>
  <c r="M181" i="66"/>
  <c r="M106" i="66"/>
  <c r="M90" i="66"/>
  <c r="M196" i="66"/>
  <c r="M58" i="66"/>
  <c r="M56" i="66"/>
  <c r="M55" i="66"/>
  <c r="M150" i="66"/>
  <c r="M221" i="66"/>
  <c r="M102" i="66"/>
  <c r="M226" i="66"/>
  <c r="M140" i="66"/>
  <c r="M94" i="66"/>
  <c r="Q115" i="66"/>
  <c r="Q207" i="66"/>
  <c r="Q23" i="66"/>
  <c r="Q27" i="66"/>
  <c r="Q117" i="66"/>
  <c r="Q208" i="66"/>
  <c r="Q73" i="66"/>
  <c r="M104" i="66"/>
  <c r="M193" i="66"/>
  <c r="M89" i="66"/>
  <c r="M44" i="66"/>
  <c r="M101" i="66"/>
  <c r="M92" i="66"/>
  <c r="M186" i="66"/>
  <c r="M43" i="66"/>
  <c r="M182" i="66"/>
  <c r="M222" i="66"/>
  <c r="Q25" i="66"/>
  <c r="Q68" i="66"/>
  <c r="Q114" i="66"/>
  <c r="Q210" i="66"/>
  <c r="Q71" i="66"/>
  <c r="M147" i="66"/>
  <c r="M138" i="66"/>
  <c r="M46" i="66"/>
  <c r="M224" i="66"/>
  <c r="M136" i="66"/>
  <c r="M184" i="66"/>
  <c r="M198" i="66"/>
  <c r="M148" i="66"/>
  <c r="M135" i="66"/>
  <c r="M48" i="66"/>
  <c r="M12" i="66"/>
  <c r="F127" i="66" a="1"/>
  <c r="F127" i="66" s="1"/>
  <c r="F125" i="66" a="1"/>
  <c r="F125" i="66" s="1"/>
  <c r="F123" i="66" a="1"/>
  <c r="F123" i="66" s="1"/>
  <c r="F128" i="66" a="1"/>
  <c r="F128" i="66" s="1"/>
  <c r="F122" i="66" a="1"/>
  <c r="F122" i="66" s="1"/>
  <c r="Q122" i="66" s="1"/>
  <c r="F81" i="66" a="1"/>
  <c r="F81" i="66" s="1"/>
  <c r="F79" i="66" a="1"/>
  <c r="F79" i="66" s="1"/>
  <c r="F77" i="66" a="1"/>
  <c r="F77" i="66" s="1"/>
  <c r="F82" i="66" a="1"/>
  <c r="F82" i="66" s="1"/>
  <c r="F76" i="66" a="1"/>
  <c r="F76" i="66" s="1"/>
  <c r="F173" i="66" a="1"/>
  <c r="F173" i="66" s="1"/>
  <c r="F171" i="66" a="1"/>
  <c r="F171" i="66" s="1"/>
  <c r="F169" i="66" a="1"/>
  <c r="F169" i="66" s="1"/>
  <c r="F174" i="66" a="1"/>
  <c r="F174" i="66" s="1"/>
  <c r="F168" i="66" a="1"/>
  <c r="F168" i="66" s="1"/>
  <c r="F35" i="66" a="1"/>
  <c r="F35" i="66" s="1"/>
  <c r="F31" i="66" a="1"/>
  <c r="F31" i="66" s="1"/>
  <c r="F30" i="66" a="1"/>
  <c r="F30" i="66" s="1"/>
  <c r="F33" i="66" a="1"/>
  <c r="F33" i="66" s="1"/>
  <c r="F36" i="66" a="1"/>
  <c r="F36" i="66" s="1"/>
  <c r="W36" i="108" a="1"/>
  <c r="M76" i="52" l="1"/>
  <c r="Q109" i="52"/>
  <c r="Q110" i="52" s="1"/>
  <c r="J109" i="52"/>
  <c r="J22" i="52"/>
  <c r="Q22" i="52"/>
  <c r="J133" i="52"/>
  <c r="Q133" i="52"/>
  <c r="Q108" i="52"/>
  <c r="J108" i="52"/>
  <c r="J50" i="52"/>
  <c r="Q50" i="52"/>
  <c r="J24" i="52"/>
  <c r="Q24" i="52"/>
  <c r="Q25" i="52" s="1"/>
  <c r="Q52" i="52"/>
  <c r="J52" i="52"/>
  <c r="Q78" i="52"/>
  <c r="J78" i="52"/>
  <c r="Q51" i="52"/>
  <c r="J51" i="52"/>
  <c r="Q79" i="52"/>
  <c r="J79" i="52"/>
  <c r="Q80" i="52"/>
  <c r="Q81" i="52" s="1"/>
  <c r="J80" i="52"/>
  <c r="J107" i="52"/>
  <c r="Q107" i="52"/>
  <c r="J23" i="52"/>
  <c r="Q23" i="52"/>
  <c r="Q16" i="66"/>
  <c r="Q50" i="66"/>
  <c r="R44" i="66" s="1"/>
  <c r="M118" i="52"/>
  <c r="Q215" i="66"/>
  <c r="J119" i="52"/>
  <c r="M119" i="52" s="1"/>
  <c r="Q65" i="98"/>
  <c r="Q66" i="98" s="1"/>
  <c r="J155" i="98"/>
  <c r="M155" i="98" s="1"/>
  <c r="M75" i="98"/>
  <c r="J26" i="98"/>
  <c r="J36" i="98"/>
  <c r="J96" i="98"/>
  <c r="M95" i="98"/>
  <c r="J86" i="98"/>
  <c r="M154" i="98"/>
  <c r="P19" i="68"/>
  <c r="Q19" i="68" s="1"/>
  <c r="Q167" i="66"/>
  <c r="R166" i="66" s="1"/>
  <c r="M211" i="66"/>
  <c r="J115" i="98"/>
  <c r="M162" i="66"/>
  <c r="J145" i="98"/>
  <c r="M70" i="66"/>
  <c r="M16" i="52"/>
  <c r="Q159" i="66"/>
  <c r="M159" i="66" s="1"/>
  <c r="J125" i="98"/>
  <c r="J135" i="98"/>
  <c r="M10" i="52"/>
  <c r="J15" i="98"/>
  <c r="R99" i="68"/>
  <c r="R175" i="68"/>
  <c r="R146" i="68"/>
  <c r="R62" i="68"/>
  <c r="R23" i="68"/>
  <c r="K37" i="52"/>
  <c r="R91" i="66"/>
  <c r="M142" i="66"/>
  <c r="J31" i="68"/>
  <c r="J32" i="68" s="1"/>
  <c r="J37" i="66"/>
  <c r="J26" i="68"/>
  <c r="J30" i="66"/>
  <c r="K26" i="66" s="1"/>
  <c r="J31" i="66"/>
  <c r="J28" i="68"/>
  <c r="J33" i="66"/>
  <c r="J27" i="68"/>
  <c r="J29" i="68"/>
  <c r="J35" i="66"/>
  <c r="J34" i="66"/>
  <c r="M34" i="66" s="1"/>
  <c r="J32" i="66"/>
  <c r="M32" i="66" s="1"/>
  <c r="J36" i="66"/>
  <c r="J30" i="68"/>
  <c r="M9" i="66"/>
  <c r="R145" i="68"/>
  <c r="W36" i="108"/>
  <c r="M177" i="68"/>
  <c r="R176" i="68"/>
  <c r="Q178" i="68"/>
  <c r="R178" i="68" s="1"/>
  <c r="R147" i="68"/>
  <c r="R173" i="68"/>
  <c r="R174" i="68"/>
  <c r="M80" i="66"/>
  <c r="M126" i="66"/>
  <c r="M172" i="66"/>
  <c r="K166" i="68"/>
  <c r="Q136" i="98"/>
  <c r="Q96" i="98"/>
  <c r="Q76" i="98"/>
  <c r="Q45" i="98"/>
  <c r="Q46" i="98" s="1"/>
  <c r="Q35" i="98"/>
  <c r="Q36" i="98" s="1"/>
  <c r="Q206" i="66"/>
  <c r="Q230" i="66"/>
  <c r="R225" i="66" s="1"/>
  <c r="R200" i="66"/>
  <c r="Q21" i="66"/>
  <c r="Q40" i="52"/>
  <c r="Q125" i="52"/>
  <c r="Q126" i="52" s="1"/>
  <c r="M17" i="52"/>
  <c r="K9" i="66"/>
  <c r="M118" i="66"/>
  <c r="M9" i="52"/>
  <c r="R38" i="52"/>
  <c r="M39" i="52"/>
  <c r="M32" i="52"/>
  <c r="Q61" i="52"/>
  <c r="Q62" i="52" s="1"/>
  <c r="M60" i="52"/>
  <c r="M124" i="52"/>
  <c r="K59" i="52"/>
  <c r="K130" i="52"/>
  <c r="K31" i="52"/>
  <c r="M144" i="98"/>
  <c r="Q145" i="98"/>
  <c r="Q146" i="98" s="1"/>
  <c r="R23" i="66"/>
  <c r="M11" i="66"/>
  <c r="R132" i="68"/>
  <c r="R133" i="68"/>
  <c r="R25" i="66"/>
  <c r="R24" i="66"/>
  <c r="R27" i="66"/>
  <c r="R22" i="66"/>
  <c r="R98" i="68"/>
  <c r="K164" i="68"/>
  <c r="R97" i="68"/>
  <c r="R96" i="68"/>
  <c r="R60" i="68"/>
  <c r="K132" i="68"/>
  <c r="K133" i="68"/>
  <c r="R21" i="68"/>
  <c r="R22" i="68"/>
  <c r="R163" i="68"/>
  <c r="R59" i="68"/>
  <c r="R164" i="68"/>
  <c r="M11" i="68"/>
  <c r="R100" i="68"/>
  <c r="M99" i="68"/>
  <c r="K99" i="68"/>
  <c r="K21" i="68"/>
  <c r="R24" i="68"/>
  <c r="K22" i="68"/>
  <c r="K163" i="68"/>
  <c r="R165" i="68"/>
  <c r="M61" i="68"/>
  <c r="R61" i="68"/>
  <c r="K20" i="68"/>
  <c r="K165" i="68"/>
  <c r="M134" i="68"/>
  <c r="R134" i="68"/>
  <c r="R58" i="68"/>
  <c r="R20" i="68"/>
  <c r="K11" i="68"/>
  <c r="K10" i="68"/>
  <c r="M166" i="68"/>
  <c r="R166" i="68"/>
  <c r="M23" i="68"/>
  <c r="K23" i="68"/>
  <c r="M10" i="68"/>
  <c r="K9" i="68"/>
  <c r="K13" i="68"/>
  <c r="K214" i="66"/>
  <c r="K213" i="66"/>
  <c r="M124" i="98"/>
  <c r="M134" i="98"/>
  <c r="M94" i="98"/>
  <c r="Q125" i="98"/>
  <c r="Q126" i="98" s="1"/>
  <c r="J105" i="98"/>
  <c r="J45" i="98"/>
  <c r="M14" i="98"/>
  <c r="M44" i="98"/>
  <c r="M74" i="98"/>
  <c r="Q86" i="98"/>
  <c r="M84" i="98"/>
  <c r="M64" i="98"/>
  <c r="J76" i="98"/>
  <c r="M34" i="98"/>
  <c r="J65" i="98"/>
  <c r="J55" i="98"/>
  <c r="Q105" i="68"/>
  <c r="M100" i="68"/>
  <c r="Q29" i="68"/>
  <c r="Q67" i="68"/>
  <c r="M213" i="66"/>
  <c r="M165" i="68"/>
  <c r="J82" i="68"/>
  <c r="J179" i="68"/>
  <c r="J44" i="68"/>
  <c r="Q168" i="66"/>
  <c r="R164" i="66" s="1"/>
  <c r="K164" i="66"/>
  <c r="K123" i="52"/>
  <c r="M72" i="52"/>
  <c r="M66" i="52"/>
  <c r="M131" i="52"/>
  <c r="K30" i="52"/>
  <c r="J125" i="52"/>
  <c r="M75" i="52"/>
  <c r="K129" i="52"/>
  <c r="J135" i="52"/>
  <c r="M132" i="52"/>
  <c r="M65" i="52"/>
  <c r="K122" i="52"/>
  <c r="M73" i="52"/>
  <c r="K87" i="52"/>
  <c r="K86" i="52"/>
  <c r="R58" i="52"/>
  <c r="M95" i="52"/>
  <c r="R37" i="52"/>
  <c r="M105" i="52"/>
  <c r="M48" i="52"/>
  <c r="M104" i="52"/>
  <c r="R59" i="52"/>
  <c r="K38" i="52"/>
  <c r="J61" i="52"/>
  <c r="R30" i="52"/>
  <c r="M101" i="52"/>
  <c r="K58" i="52"/>
  <c r="M44" i="52"/>
  <c r="M102" i="52"/>
  <c r="M45" i="52"/>
  <c r="M47" i="52"/>
  <c r="J40" i="52"/>
  <c r="M94" i="52"/>
  <c r="R31" i="52"/>
  <c r="Q33" i="52"/>
  <c r="J33" i="52"/>
  <c r="J34" i="52" s="1"/>
  <c r="Q175" i="66"/>
  <c r="Q37" i="66"/>
  <c r="R32" i="66" s="1"/>
  <c r="Q139" i="68"/>
  <c r="Q69" i="68"/>
  <c r="K67" i="68"/>
  <c r="Q129" i="66"/>
  <c r="K105" i="68"/>
  <c r="Q107" i="68"/>
  <c r="J90" i="52"/>
  <c r="M132" i="68"/>
  <c r="M133" i="68"/>
  <c r="K117" i="68"/>
  <c r="K115" i="68"/>
  <c r="K114" i="68"/>
  <c r="R181" i="66"/>
  <c r="Q189" i="66"/>
  <c r="K11" i="66"/>
  <c r="K85" i="68"/>
  <c r="J91" i="68"/>
  <c r="K223" i="66"/>
  <c r="J230" i="66"/>
  <c r="K225" i="66" s="1"/>
  <c r="R57" i="66"/>
  <c r="Q63" i="66"/>
  <c r="K45" i="66"/>
  <c r="J51" i="66"/>
  <c r="K91" i="66"/>
  <c r="J97" i="66"/>
  <c r="K149" i="66"/>
  <c r="J155" i="66"/>
  <c r="J158" i="68"/>
  <c r="Q149" i="68"/>
  <c r="Q150" i="68" s="1"/>
  <c r="R153" i="66"/>
  <c r="Q155" i="66"/>
  <c r="K57" i="66"/>
  <c r="J63" i="66"/>
  <c r="R103" i="66"/>
  <c r="Q109" i="66"/>
  <c r="Q110" i="66" s="1"/>
  <c r="K183" i="66"/>
  <c r="J189" i="66"/>
  <c r="K47" i="68"/>
  <c r="J53" i="68"/>
  <c r="Q53" i="68"/>
  <c r="Q54" i="68" s="1"/>
  <c r="K103" i="66"/>
  <c r="J109" i="66"/>
  <c r="K137" i="66"/>
  <c r="J143" i="66"/>
  <c r="J202" i="66"/>
  <c r="K197" i="66" s="1"/>
  <c r="Q158" i="68"/>
  <c r="J127" i="68"/>
  <c r="Q127" i="68"/>
  <c r="K113" i="68"/>
  <c r="J119" i="68"/>
  <c r="Q64" i="68"/>
  <c r="M58" i="68"/>
  <c r="M96" i="68"/>
  <c r="M163" i="68"/>
  <c r="Q136" i="68"/>
  <c r="Q102" i="68"/>
  <c r="Q26" i="68"/>
  <c r="M20" i="68"/>
  <c r="M148" i="68"/>
  <c r="M163" i="66"/>
  <c r="M165" i="66"/>
  <c r="M161" i="66"/>
  <c r="Q169" i="66"/>
  <c r="M160" i="66"/>
  <c r="M78" i="66"/>
  <c r="M124" i="66"/>
  <c r="M170" i="66"/>
  <c r="M126" i="68"/>
  <c r="M90" i="68"/>
  <c r="K89" i="68"/>
  <c r="K86" i="68"/>
  <c r="K87" i="68"/>
  <c r="M60" i="68"/>
  <c r="M98" i="68"/>
  <c r="K224" i="66"/>
  <c r="Q138" i="68"/>
  <c r="K222" i="66"/>
  <c r="M97" i="68"/>
  <c r="M164" i="68"/>
  <c r="K221" i="66"/>
  <c r="K187" i="66"/>
  <c r="Q103" i="68"/>
  <c r="Q28" i="68"/>
  <c r="Q30" i="68"/>
  <c r="M24" i="68"/>
  <c r="M22" i="68"/>
  <c r="Q66" i="68"/>
  <c r="Q68" i="68"/>
  <c r="M62" i="68"/>
  <c r="M57" i="68"/>
  <c r="Q137" i="68"/>
  <c r="M21" i="68"/>
  <c r="M52" i="68"/>
  <c r="K49" i="68"/>
  <c r="K51" i="68"/>
  <c r="K48" i="68"/>
  <c r="Q104" i="68"/>
  <c r="Q106" i="68"/>
  <c r="Q27" i="68"/>
  <c r="M59" i="68"/>
  <c r="M157" i="68"/>
  <c r="K226" i="66"/>
  <c r="Q65" i="68"/>
  <c r="R61" i="66"/>
  <c r="K102" i="66"/>
  <c r="K153" i="66"/>
  <c r="R107" i="66"/>
  <c r="K94" i="66"/>
  <c r="R184" i="66"/>
  <c r="K186" i="66"/>
  <c r="K56" i="66"/>
  <c r="K107" i="66"/>
  <c r="K135" i="66"/>
  <c r="K10" i="66"/>
  <c r="K44" i="66"/>
  <c r="R56" i="66"/>
  <c r="K14" i="66"/>
  <c r="K90" i="66"/>
  <c r="K181" i="66"/>
  <c r="M188" i="66"/>
  <c r="R183" i="66"/>
  <c r="R58" i="66"/>
  <c r="R182" i="66"/>
  <c r="K138" i="66"/>
  <c r="K101" i="66"/>
  <c r="K104" i="66"/>
  <c r="K140" i="66"/>
  <c r="R102" i="66"/>
  <c r="K92" i="66"/>
  <c r="K136" i="66"/>
  <c r="R106" i="66"/>
  <c r="K15" i="66"/>
  <c r="K106" i="66"/>
  <c r="R101" i="66"/>
  <c r="R104" i="66"/>
  <c r="M22" i="66"/>
  <c r="M74" i="66"/>
  <c r="K48" i="66"/>
  <c r="K152" i="66"/>
  <c r="K46" i="66"/>
  <c r="K55" i="66"/>
  <c r="R60" i="66"/>
  <c r="K141" i="66"/>
  <c r="K58" i="66"/>
  <c r="K182" i="66"/>
  <c r="K89" i="66"/>
  <c r="K60" i="66"/>
  <c r="M154" i="66"/>
  <c r="R149" i="66"/>
  <c r="K166" i="66"/>
  <c r="K95" i="66"/>
  <c r="K184" i="66"/>
  <c r="K12" i="66"/>
  <c r="R186" i="66"/>
  <c r="R147" i="66"/>
  <c r="R187" i="66"/>
  <c r="R152" i="66"/>
  <c r="K43" i="66"/>
  <c r="R55" i="66"/>
  <c r="K61" i="66"/>
  <c r="K148" i="66"/>
  <c r="K150" i="66"/>
  <c r="K49" i="66"/>
  <c r="R148" i="66"/>
  <c r="R150" i="66"/>
  <c r="K147" i="66"/>
  <c r="K193" i="66"/>
  <c r="K198" i="66"/>
  <c r="K194" i="66"/>
  <c r="K196" i="66"/>
  <c r="K195" i="66"/>
  <c r="K200" i="66"/>
  <c r="K114" i="66"/>
  <c r="K22" i="66"/>
  <c r="Q36" i="66"/>
  <c r="K71" i="66"/>
  <c r="R116" i="66"/>
  <c r="M120" i="66"/>
  <c r="Q82" i="66"/>
  <c r="M62" i="66"/>
  <c r="M166" i="66"/>
  <c r="M28" i="66"/>
  <c r="Q174" i="66"/>
  <c r="Q128" i="66"/>
  <c r="K209" i="66"/>
  <c r="M108" i="66"/>
  <c r="R70" i="66"/>
  <c r="M214" i="66"/>
  <c r="M24" i="66"/>
  <c r="M27" i="66"/>
  <c r="M115" i="66"/>
  <c r="Q30" i="66"/>
  <c r="R26" i="66" s="1"/>
  <c r="Q171" i="66"/>
  <c r="Q76" i="66"/>
  <c r="R72" i="66" s="1"/>
  <c r="K72" i="66"/>
  <c r="Q79" i="66"/>
  <c r="M68" i="66"/>
  <c r="M25" i="66"/>
  <c r="M208" i="66"/>
  <c r="M117" i="66"/>
  <c r="Q123" i="66"/>
  <c r="Q127" i="66"/>
  <c r="M210" i="66"/>
  <c r="M212" i="66"/>
  <c r="M207" i="66"/>
  <c r="Q33" i="66"/>
  <c r="Q31" i="66"/>
  <c r="Q81" i="66"/>
  <c r="K118" i="66"/>
  <c r="R118" i="66"/>
  <c r="Q125" i="66"/>
  <c r="M73" i="66"/>
  <c r="M119" i="66"/>
  <c r="Q35" i="66"/>
  <c r="Q173" i="66"/>
  <c r="Q77" i="66"/>
  <c r="M71" i="66"/>
  <c r="M114" i="66"/>
  <c r="M23" i="66"/>
  <c r="M69" i="66"/>
  <c r="K16" i="52"/>
  <c r="K17" i="52"/>
  <c r="AA35" i="108" a="1"/>
  <c r="AA33" i="116" a="1"/>
  <c r="AF36" i="115" a="1"/>
  <c r="AA36" i="108" a="1"/>
  <c r="AF36" i="116" a="1"/>
  <c r="I36" i="114" a="1"/>
  <c r="W36" i="114" a="1"/>
  <c r="R36" i="114" a="1"/>
  <c r="AF36" i="114" a="1"/>
  <c r="N36" i="113" a="1"/>
  <c r="AA35" i="116" a="1"/>
  <c r="AF33" i="113" a="1"/>
  <c r="AF35" i="113" a="1"/>
  <c r="AA33" i="115" a="1"/>
  <c r="AF33" i="115" a="1"/>
  <c r="AF36" i="113" a="1"/>
  <c r="N36" i="114" a="1"/>
  <c r="N36" i="116" a="1"/>
  <c r="AF35" i="108" a="1"/>
  <c r="AA35" i="115" a="1"/>
  <c r="W36" i="116" a="1"/>
  <c r="W36" i="113" a="1"/>
  <c r="J49" i="119" a="1"/>
  <c r="AF36" i="108" a="1"/>
  <c r="R36" i="108" a="1"/>
  <c r="AA36" i="114" a="1"/>
  <c r="AA33" i="108" a="1"/>
  <c r="AA35" i="113" a="1"/>
  <c r="W10" i="121" l="1"/>
  <c r="AA10" i="121" s="1"/>
  <c r="AB10" i="121" s="1"/>
  <c r="K133" i="52"/>
  <c r="M133" i="52"/>
  <c r="R133" i="52"/>
  <c r="J91" i="52"/>
  <c r="R212" i="66"/>
  <c r="J49" i="119"/>
  <c r="J156" i="98"/>
  <c r="R47" i="52"/>
  <c r="Q34" i="52"/>
  <c r="Q41" i="52"/>
  <c r="AF36" i="108"/>
  <c r="AL10" i="121" s="1"/>
  <c r="AA36" i="108"/>
  <c r="AH10" i="121" s="1"/>
  <c r="AN10" i="121" s="1"/>
  <c r="AO10" i="121" s="1"/>
  <c r="R36" i="108"/>
  <c r="S10" i="121" s="1"/>
  <c r="Y10" i="121" s="1"/>
  <c r="Z10" i="121" s="1"/>
  <c r="J146" i="98"/>
  <c r="M146" i="98" s="1"/>
  <c r="M145" i="98"/>
  <c r="J136" i="98"/>
  <c r="M136" i="98" s="1"/>
  <c r="M135" i="98"/>
  <c r="J126" i="98"/>
  <c r="M126" i="98" s="1"/>
  <c r="M125" i="98"/>
  <c r="J106" i="98"/>
  <c r="J116" i="98"/>
  <c r="M86" i="98"/>
  <c r="J16" i="98"/>
  <c r="M15" i="98"/>
  <c r="J56" i="98"/>
  <c r="M56" i="98" s="1"/>
  <c r="M55" i="98"/>
  <c r="J46" i="98"/>
  <c r="M46" i="98" s="1"/>
  <c r="M45" i="98"/>
  <c r="M35" i="98"/>
  <c r="J66" i="98"/>
  <c r="M66" i="98" s="1"/>
  <c r="M65" i="98"/>
  <c r="M26" i="98"/>
  <c r="R213" i="66"/>
  <c r="Q159" i="68"/>
  <c r="Q128" i="68"/>
  <c r="J128" i="68"/>
  <c r="M206" i="66"/>
  <c r="J38" i="66"/>
  <c r="Q179" i="68"/>
  <c r="M179" i="68" s="1"/>
  <c r="R13" i="68"/>
  <c r="N36" i="116"/>
  <c r="AF33" i="113"/>
  <c r="M14" i="68"/>
  <c r="M19" i="68"/>
  <c r="R11" i="68"/>
  <c r="Q32" i="68"/>
  <c r="R9" i="68"/>
  <c r="Q15" i="68"/>
  <c r="Q16" i="68" s="1"/>
  <c r="R10" i="68"/>
  <c r="R12" i="68"/>
  <c r="Q12" i="52"/>
  <c r="R92" i="66"/>
  <c r="R89" i="66"/>
  <c r="R90" i="66"/>
  <c r="M96" i="66"/>
  <c r="R94" i="66"/>
  <c r="R95" i="66"/>
  <c r="W36" i="113"/>
  <c r="Q97" i="66"/>
  <c r="Q98" i="66" s="1"/>
  <c r="R135" i="66"/>
  <c r="R138" i="66"/>
  <c r="R140" i="66"/>
  <c r="R141" i="66"/>
  <c r="R137" i="66"/>
  <c r="R136" i="66"/>
  <c r="Q143" i="66"/>
  <c r="Q83" i="66"/>
  <c r="Q16" i="98"/>
  <c r="R195" i="66"/>
  <c r="N36" i="114"/>
  <c r="N36" i="113"/>
  <c r="R193" i="66"/>
  <c r="R198" i="66"/>
  <c r="R196" i="66"/>
  <c r="R194" i="66"/>
  <c r="M201" i="66"/>
  <c r="M229" i="66"/>
  <c r="R199" i="66"/>
  <c r="Q202" i="66"/>
  <c r="R227" i="66"/>
  <c r="R223" i="66"/>
  <c r="R222" i="66"/>
  <c r="R224" i="66"/>
  <c r="R228" i="66"/>
  <c r="R226" i="66"/>
  <c r="R221" i="66"/>
  <c r="R46" i="66"/>
  <c r="R48" i="66"/>
  <c r="Q51" i="66"/>
  <c r="R47" i="66" s="1"/>
  <c r="M125" i="52"/>
  <c r="R45" i="66"/>
  <c r="R43" i="66"/>
  <c r="R49" i="66"/>
  <c r="M50" i="66"/>
  <c r="J190" i="66"/>
  <c r="K185" i="66"/>
  <c r="Q190" i="66"/>
  <c r="R185" i="66"/>
  <c r="J156" i="66"/>
  <c r="K151" i="66"/>
  <c r="Q156" i="66"/>
  <c r="R151" i="66"/>
  <c r="J98" i="66"/>
  <c r="K93" i="66"/>
  <c r="Q64" i="66"/>
  <c r="R59" i="66"/>
  <c r="J64" i="66"/>
  <c r="K59" i="66"/>
  <c r="J144" i="66"/>
  <c r="K139" i="66"/>
  <c r="J110" i="66"/>
  <c r="M110" i="66" s="1"/>
  <c r="K105" i="66"/>
  <c r="R105" i="66"/>
  <c r="R68" i="68"/>
  <c r="J52" i="66"/>
  <c r="K47" i="66"/>
  <c r="J18" i="66"/>
  <c r="K13" i="66"/>
  <c r="Q68" i="52"/>
  <c r="M96" i="52"/>
  <c r="M61" i="52"/>
  <c r="Q97" i="52"/>
  <c r="Q98" i="52" s="1"/>
  <c r="M67" i="52"/>
  <c r="M135" i="52"/>
  <c r="K10" i="52"/>
  <c r="K102" i="52"/>
  <c r="R9" i="52"/>
  <c r="R36" i="114"/>
  <c r="S22" i="121" s="1"/>
  <c r="Y22" i="121" s="1"/>
  <c r="Z22" i="121" s="1"/>
  <c r="W36" i="114"/>
  <c r="W36" i="116"/>
  <c r="AA33" i="116"/>
  <c r="AH31" i="121" s="1"/>
  <c r="AN31" i="121" s="1"/>
  <c r="AO31" i="121" s="1"/>
  <c r="AA35" i="116"/>
  <c r="AH33" i="121" s="1"/>
  <c r="AN33" i="121" s="1"/>
  <c r="AO33" i="121" s="1"/>
  <c r="AF36" i="116"/>
  <c r="AA35" i="115"/>
  <c r="AH27" i="121" s="1"/>
  <c r="AN27" i="121" s="1"/>
  <c r="AO27" i="121" s="1"/>
  <c r="AF36" i="115"/>
  <c r="AA33" i="115"/>
  <c r="AH25" i="121" s="1"/>
  <c r="AN25" i="121" s="1"/>
  <c r="AO25" i="121" s="1"/>
  <c r="AF33" i="115"/>
  <c r="I36" i="114"/>
  <c r="D22" i="121" s="1"/>
  <c r="AF36" i="114"/>
  <c r="AA36" i="114"/>
  <c r="AH22" i="121" s="1"/>
  <c r="AN22" i="121" s="1"/>
  <c r="AO22" i="121" s="1"/>
  <c r="AF36" i="113"/>
  <c r="AF35" i="113"/>
  <c r="AA35" i="113"/>
  <c r="AH15" i="121" s="1"/>
  <c r="AN15" i="121" s="1"/>
  <c r="AO15" i="121" s="1"/>
  <c r="M76" i="98"/>
  <c r="R136" i="68"/>
  <c r="R33" i="66"/>
  <c r="R102" i="68"/>
  <c r="R36" i="66"/>
  <c r="R35" i="66"/>
  <c r="R30" i="66"/>
  <c r="AF35" i="108"/>
  <c r="AA33" i="108"/>
  <c r="AH7" i="121" s="1"/>
  <c r="AN7" i="121" s="1"/>
  <c r="AO7" i="121" s="1"/>
  <c r="R31" i="66"/>
  <c r="AA35" i="108"/>
  <c r="AH9" i="121" s="1"/>
  <c r="AN9" i="121" s="1"/>
  <c r="AO9" i="121" s="1"/>
  <c r="R137" i="68"/>
  <c r="R30" i="68"/>
  <c r="R65" i="68"/>
  <c r="R66" i="68"/>
  <c r="R26" i="68"/>
  <c r="R64" i="68"/>
  <c r="K27" i="68"/>
  <c r="R28" i="68"/>
  <c r="R27" i="68"/>
  <c r="K28" i="68"/>
  <c r="K26" i="68"/>
  <c r="K136" i="68"/>
  <c r="R104" i="68"/>
  <c r="K29" i="68"/>
  <c r="K138" i="68"/>
  <c r="M105" i="68"/>
  <c r="R105" i="68"/>
  <c r="R103" i="68"/>
  <c r="R138" i="68"/>
  <c r="K137" i="68"/>
  <c r="M67" i="68"/>
  <c r="R67" i="68"/>
  <c r="M29" i="68"/>
  <c r="R29" i="68"/>
  <c r="M96" i="98"/>
  <c r="M36" i="98"/>
  <c r="J203" i="66"/>
  <c r="M82" i="68"/>
  <c r="J231" i="66"/>
  <c r="M44" i="68"/>
  <c r="J159" i="68"/>
  <c r="J92" i="68"/>
  <c r="J54" i="68"/>
  <c r="J120" i="68"/>
  <c r="M79" i="52"/>
  <c r="M49" i="52"/>
  <c r="M134" i="52"/>
  <c r="K132" i="52"/>
  <c r="J136" i="52"/>
  <c r="J126" i="52"/>
  <c r="K47" i="52"/>
  <c r="M78" i="52"/>
  <c r="R48" i="52"/>
  <c r="K65" i="52"/>
  <c r="K66" i="52"/>
  <c r="M40" i="52"/>
  <c r="M106" i="52"/>
  <c r="M103" i="52"/>
  <c r="M46" i="52"/>
  <c r="J41" i="52"/>
  <c r="M50" i="52"/>
  <c r="K101" i="52"/>
  <c r="K104" i="52"/>
  <c r="K48" i="52"/>
  <c r="K45" i="52"/>
  <c r="M51" i="52"/>
  <c r="J62" i="52"/>
  <c r="R45" i="52"/>
  <c r="K94" i="52"/>
  <c r="J97" i="52"/>
  <c r="M108" i="52"/>
  <c r="R44" i="52"/>
  <c r="K44" i="52"/>
  <c r="K95" i="52"/>
  <c r="K105" i="52"/>
  <c r="M107" i="52"/>
  <c r="M33" i="52"/>
  <c r="M18" i="52"/>
  <c r="M11" i="52"/>
  <c r="R65" i="52"/>
  <c r="J68" i="52"/>
  <c r="M138" i="68"/>
  <c r="M136" i="68"/>
  <c r="M137" i="68"/>
  <c r="M135" i="68"/>
  <c r="Q231" i="66"/>
  <c r="R230" i="66"/>
  <c r="M26" i="68"/>
  <c r="M102" i="68"/>
  <c r="M64" i="68"/>
  <c r="M169" i="66"/>
  <c r="J12" i="52"/>
  <c r="Q168" i="68"/>
  <c r="K98" i="68"/>
  <c r="K96" i="68"/>
  <c r="K59" i="68"/>
  <c r="K58" i="68"/>
  <c r="M167" i="66"/>
  <c r="M65" i="68"/>
  <c r="M106" i="68"/>
  <c r="K62" i="68"/>
  <c r="M103" i="68"/>
  <c r="K97" i="68"/>
  <c r="M101" i="68"/>
  <c r="K100" i="68"/>
  <c r="K60" i="68"/>
  <c r="M27" i="68"/>
  <c r="M104" i="68"/>
  <c r="K102" i="68"/>
  <c r="M66" i="68"/>
  <c r="M28" i="68"/>
  <c r="M167" i="68"/>
  <c r="M63" i="68"/>
  <c r="M68" i="68"/>
  <c r="M30" i="68"/>
  <c r="M25" i="68"/>
  <c r="K24" i="68"/>
  <c r="R210" i="66"/>
  <c r="R114" i="66"/>
  <c r="R117" i="66"/>
  <c r="R71" i="66"/>
  <c r="R208" i="66"/>
  <c r="R74" i="66"/>
  <c r="K24" i="66"/>
  <c r="K28" i="66"/>
  <c r="K27" i="66"/>
  <c r="K117" i="66"/>
  <c r="K212" i="66"/>
  <c r="K210" i="66"/>
  <c r="R115" i="66"/>
  <c r="K73" i="66"/>
  <c r="R120" i="66"/>
  <c r="R214" i="66"/>
  <c r="R209" i="66"/>
  <c r="K163" i="66"/>
  <c r="K160" i="66"/>
  <c r="K165" i="66"/>
  <c r="K161" i="66"/>
  <c r="K162" i="66"/>
  <c r="R69" i="66"/>
  <c r="K208" i="66"/>
  <c r="R68" i="66"/>
  <c r="K23" i="66"/>
  <c r="K25" i="66"/>
  <c r="R119" i="66"/>
  <c r="R207" i="66"/>
  <c r="R73" i="66"/>
  <c r="K74" i="66"/>
  <c r="K70" i="66"/>
  <c r="K120" i="66"/>
  <c r="K116" i="66"/>
  <c r="K115" i="66"/>
  <c r="R163" i="66"/>
  <c r="R165" i="66"/>
  <c r="R161" i="66"/>
  <c r="R160" i="66"/>
  <c r="R162" i="66"/>
  <c r="K119" i="66"/>
  <c r="K207" i="66"/>
  <c r="K68" i="66"/>
  <c r="K69" i="66"/>
  <c r="Q216" i="66"/>
  <c r="M29" i="66"/>
  <c r="K170" i="66"/>
  <c r="M174" i="66"/>
  <c r="M75" i="66"/>
  <c r="K124" i="66"/>
  <c r="K32" i="66"/>
  <c r="M215" i="66"/>
  <c r="J216" i="66"/>
  <c r="R170" i="66"/>
  <c r="M121" i="66"/>
  <c r="R124" i="66"/>
  <c r="M82" i="66"/>
  <c r="M36" i="66"/>
  <c r="K78" i="66"/>
  <c r="M128" i="66"/>
  <c r="M123" i="66"/>
  <c r="M76" i="66"/>
  <c r="M171" i="66"/>
  <c r="M173" i="66"/>
  <c r="M35" i="66"/>
  <c r="M122" i="66"/>
  <c r="M31" i="66"/>
  <c r="M127" i="66"/>
  <c r="M77" i="66"/>
  <c r="M81" i="66"/>
  <c r="M79" i="66"/>
  <c r="M30" i="66"/>
  <c r="M125" i="66"/>
  <c r="M33" i="66"/>
  <c r="M168" i="66"/>
  <c r="AA34" i="108" a="1"/>
  <c r="N35" i="116" a="1"/>
  <c r="R36" i="115" a="1"/>
  <c r="AA33" i="114" a="1"/>
  <c r="AF35" i="116" a="1"/>
  <c r="I34" i="116" a="1"/>
  <c r="I35" i="113" a="1"/>
  <c r="I35" i="115" a="1"/>
  <c r="J63" i="119" a="1"/>
  <c r="I34" i="113" a="1"/>
  <c r="N35" i="113" a="1"/>
  <c r="R36" i="113" a="1"/>
  <c r="J70" i="120" a="1"/>
  <c r="N34" i="113" a="1"/>
  <c r="AA33" i="113" a="1"/>
  <c r="I35" i="116" a="1"/>
  <c r="J63" i="120" a="1"/>
  <c r="J56" i="83" a="1"/>
  <c r="AA34" i="113" a="1"/>
  <c r="AD35" i="113" a="1"/>
  <c r="AA36" i="116" a="1"/>
  <c r="AA34" i="116" a="1"/>
  <c r="I36" i="115" a="1"/>
  <c r="AA36" i="113" a="1"/>
  <c r="L34" i="114" a="1"/>
  <c r="J56" i="120" a="1"/>
  <c r="AA34" i="114" a="1"/>
  <c r="I35" i="114" a="1"/>
  <c r="AD33" i="115" a="1"/>
  <c r="I34" i="114" a="1"/>
  <c r="R36" i="116" a="1"/>
  <c r="I35" i="108" a="1"/>
  <c r="N35" i="115" a="1"/>
  <c r="I34" i="108" a="1"/>
  <c r="D49" i="119" a="1"/>
  <c r="D49" i="120" a="1"/>
  <c r="AF35" i="115" a="1"/>
  <c r="I36" i="108" a="1"/>
  <c r="I36" i="116" a="1"/>
  <c r="AA35" i="114" a="1"/>
  <c r="J77" i="119" a="1"/>
  <c r="N34" i="114" a="1"/>
  <c r="AF34" i="116" a="1"/>
  <c r="D63" i="119" a="1"/>
  <c r="N35" i="114" a="1"/>
  <c r="I36" i="113" a="1"/>
  <c r="AD35" i="116" a="1"/>
  <c r="N34" i="115" a="1"/>
  <c r="J56" i="119" a="1"/>
  <c r="AF34" i="115" a="1"/>
  <c r="AF35" i="114" a="1"/>
  <c r="D63" i="120" a="1"/>
  <c r="J77" i="120" a="1"/>
  <c r="AA34" i="115" a="1"/>
  <c r="I34" i="115" a="1"/>
  <c r="AA36" i="115" a="1"/>
  <c r="AF34" i="113" a="1"/>
  <c r="N36" i="108" a="1"/>
  <c r="J49" i="120" a="1"/>
  <c r="AF33" i="108" a="1"/>
  <c r="W34" i="121" l="1"/>
  <c r="AA34" i="121" s="1"/>
  <c r="AB34" i="121" s="1"/>
  <c r="H34" i="121"/>
  <c r="P8" i="122" s="1"/>
  <c r="H22" i="121"/>
  <c r="J8" i="122" s="1"/>
  <c r="W22" i="121"/>
  <c r="AC22" i="121" s="1"/>
  <c r="AD22" i="121" s="1"/>
  <c r="AE36" i="114"/>
  <c r="AL15" i="121"/>
  <c r="AP15" i="121" s="1"/>
  <c r="AQ15" i="121" s="1"/>
  <c r="AL16" i="121"/>
  <c r="AP16" i="121" s="1"/>
  <c r="AQ16" i="121" s="1"/>
  <c r="W16" i="121"/>
  <c r="AA16" i="121" s="1"/>
  <c r="AB16" i="121" s="1"/>
  <c r="H16" i="121"/>
  <c r="G8" i="122" s="1"/>
  <c r="AL9" i="121"/>
  <c r="AR9" i="121" s="1"/>
  <c r="AS9" i="121" s="1"/>
  <c r="AL13" i="121"/>
  <c r="AR10" i="121"/>
  <c r="AS10" i="121" s="1"/>
  <c r="AP10" i="121"/>
  <c r="AQ10" i="121" s="1"/>
  <c r="AC10" i="121"/>
  <c r="AD10" i="121" s="1"/>
  <c r="I8" i="122"/>
  <c r="AL34" i="121"/>
  <c r="AL28" i="121"/>
  <c r="AL25" i="121"/>
  <c r="AL22" i="121"/>
  <c r="AA33" i="114"/>
  <c r="AH19" i="121" s="1"/>
  <c r="AN19" i="121" s="1"/>
  <c r="AO19" i="121" s="1"/>
  <c r="J77" i="119"/>
  <c r="J63" i="119"/>
  <c r="J56" i="119"/>
  <c r="Q53" i="52"/>
  <c r="AA36" i="116"/>
  <c r="M156" i="98"/>
  <c r="J110" i="52"/>
  <c r="K76" i="52"/>
  <c r="Q111" i="52"/>
  <c r="Q112" i="52" s="1"/>
  <c r="J53" i="52"/>
  <c r="R51" i="52"/>
  <c r="M34" i="52"/>
  <c r="AF33" i="108"/>
  <c r="AD36" i="108"/>
  <c r="AD35" i="108"/>
  <c r="I36" i="115"/>
  <c r="D28" i="121" s="1"/>
  <c r="AA36" i="115"/>
  <c r="AH28" i="121" s="1"/>
  <c r="AN28" i="121" s="1"/>
  <c r="AO28" i="121" s="1"/>
  <c r="I36" i="116"/>
  <c r="D34" i="121" s="1"/>
  <c r="R36" i="115"/>
  <c r="S28" i="121" s="1"/>
  <c r="Y28" i="121" s="1"/>
  <c r="Z28" i="121" s="1"/>
  <c r="R36" i="116"/>
  <c r="S34" i="121" s="1"/>
  <c r="Y34" i="121" s="1"/>
  <c r="Z34" i="121" s="1"/>
  <c r="I36" i="113"/>
  <c r="D16" i="121" s="1"/>
  <c r="R36" i="113"/>
  <c r="S16" i="121" s="1"/>
  <c r="Y16" i="121" s="1"/>
  <c r="Z16" i="121" s="1"/>
  <c r="I36" i="108"/>
  <c r="D10" i="121" s="1"/>
  <c r="AA36" i="113"/>
  <c r="AH16" i="121" s="1"/>
  <c r="AN16" i="121" s="1"/>
  <c r="AO16" i="121" s="1"/>
  <c r="R211" i="66"/>
  <c r="M128" i="68"/>
  <c r="K211" i="66"/>
  <c r="R78" i="66"/>
  <c r="R139" i="66"/>
  <c r="M16" i="68"/>
  <c r="M150" i="68"/>
  <c r="AF35" i="115"/>
  <c r="Q144" i="66"/>
  <c r="R93" i="66"/>
  <c r="AF35" i="114"/>
  <c r="N36" i="108"/>
  <c r="M16" i="98"/>
  <c r="AF35" i="116"/>
  <c r="R179" i="68"/>
  <c r="J56" i="83"/>
  <c r="Q52" i="66"/>
  <c r="Q203" i="66"/>
  <c r="R197" i="66"/>
  <c r="AA34" i="115"/>
  <c r="AH26" i="121" s="1"/>
  <c r="AN26" i="121" s="1"/>
  <c r="AO26" i="121" s="1"/>
  <c r="AF34" i="115"/>
  <c r="M190" i="66"/>
  <c r="M98" i="66"/>
  <c r="I34" i="115"/>
  <c r="D26" i="121" s="1"/>
  <c r="N34" i="115"/>
  <c r="M156" i="66"/>
  <c r="AF34" i="113"/>
  <c r="AA34" i="113"/>
  <c r="AH14" i="121" s="1"/>
  <c r="AN14" i="121" s="1"/>
  <c r="AO14" i="121" s="1"/>
  <c r="N34" i="113"/>
  <c r="I34" i="113"/>
  <c r="D14" i="121" s="1"/>
  <c r="M64" i="66"/>
  <c r="AA34" i="114"/>
  <c r="AH20" i="121" s="1"/>
  <c r="AN20" i="121" s="1"/>
  <c r="AO20" i="121" s="1"/>
  <c r="I34" i="114"/>
  <c r="D20" i="121" s="1"/>
  <c r="N34" i="114"/>
  <c r="M97" i="52"/>
  <c r="D49" i="120"/>
  <c r="J56" i="120"/>
  <c r="D63" i="120"/>
  <c r="J77" i="120"/>
  <c r="J49" i="120"/>
  <c r="J70" i="120"/>
  <c r="J63" i="120"/>
  <c r="D63" i="119"/>
  <c r="D49" i="119"/>
  <c r="Q136" i="52"/>
  <c r="Q137" i="52" s="1"/>
  <c r="U36" i="114"/>
  <c r="AF34" i="116"/>
  <c r="I34" i="116"/>
  <c r="D32" i="121" s="1"/>
  <c r="AA33" i="113"/>
  <c r="AH13" i="121" s="1"/>
  <c r="AN13" i="121" s="1"/>
  <c r="AO13" i="121" s="1"/>
  <c r="AA34" i="116"/>
  <c r="AH32" i="121" s="1"/>
  <c r="AN32" i="121" s="1"/>
  <c r="AO32" i="121" s="1"/>
  <c r="AA35" i="114"/>
  <c r="AH21" i="121" s="1"/>
  <c r="AN21" i="121" s="1"/>
  <c r="AO21" i="121" s="1"/>
  <c r="I35" i="116"/>
  <c r="D33" i="121" s="1"/>
  <c r="AD35" i="116"/>
  <c r="N35" i="116"/>
  <c r="I35" i="115"/>
  <c r="D27" i="121" s="1"/>
  <c r="AD33" i="115"/>
  <c r="N35" i="115"/>
  <c r="L34" i="114"/>
  <c r="I35" i="114"/>
  <c r="D21" i="121" s="1"/>
  <c r="N35" i="114"/>
  <c r="L36" i="114"/>
  <c r="AD36" i="114"/>
  <c r="I35" i="113"/>
  <c r="D15" i="121" s="1"/>
  <c r="AD35" i="113"/>
  <c r="N35" i="113"/>
  <c r="I34" i="108"/>
  <c r="D8" i="121" s="1"/>
  <c r="I35" i="108"/>
  <c r="D9" i="121" s="1"/>
  <c r="AA34" i="108"/>
  <c r="AH8" i="121" s="1"/>
  <c r="AN8" i="121" s="1"/>
  <c r="AO8" i="121" s="1"/>
  <c r="U36" i="108"/>
  <c r="M126" i="52"/>
  <c r="M62" i="52"/>
  <c r="M41" i="52"/>
  <c r="M120" i="68"/>
  <c r="M92" i="68"/>
  <c r="M54" i="68"/>
  <c r="M159" i="68"/>
  <c r="J217" i="66"/>
  <c r="Q217" i="66"/>
  <c r="J169" i="68"/>
  <c r="J170" i="68" s="1"/>
  <c r="Q169" i="68"/>
  <c r="Q170" i="68" s="1"/>
  <c r="M109" i="52"/>
  <c r="J137" i="52"/>
  <c r="K75" i="52"/>
  <c r="K73" i="52"/>
  <c r="K72" i="52"/>
  <c r="K108" i="52"/>
  <c r="M52" i="52"/>
  <c r="K107" i="52"/>
  <c r="J98" i="52"/>
  <c r="K51" i="52"/>
  <c r="R50" i="52"/>
  <c r="K50" i="52"/>
  <c r="J13" i="52"/>
  <c r="M68" i="52"/>
  <c r="J69" i="52"/>
  <c r="R231" i="66"/>
  <c r="J140" i="68"/>
  <c r="J141" i="68" s="1"/>
  <c r="J142" i="68" s="1"/>
  <c r="M139" i="68"/>
  <c r="M231" i="66"/>
  <c r="M168" i="68"/>
  <c r="K68" i="68"/>
  <c r="K64" i="68"/>
  <c r="Q108" i="68"/>
  <c r="K30" i="68"/>
  <c r="K66" i="68"/>
  <c r="M107" i="68"/>
  <c r="Q70" i="68"/>
  <c r="M69" i="68"/>
  <c r="Q140" i="68"/>
  <c r="M31" i="68"/>
  <c r="J33" i="68"/>
  <c r="J34" i="68" s="1"/>
  <c r="K104" i="68"/>
  <c r="R106" i="68"/>
  <c r="J108" i="68"/>
  <c r="K65" i="68"/>
  <c r="K103" i="68"/>
  <c r="K106" i="68"/>
  <c r="K123" i="66"/>
  <c r="K168" i="66"/>
  <c r="K125" i="66"/>
  <c r="R127" i="66"/>
  <c r="K174" i="66"/>
  <c r="R128" i="66"/>
  <c r="R125" i="66"/>
  <c r="K127" i="66"/>
  <c r="R169" i="66"/>
  <c r="R173" i="66"/>
  <c r="R81" i="66"/>
  <c r="K31" i="66"/>
  <c r="Q84" i="66"/>
  <c r="R174" i="66"/>
  <c r="K82" i="66"/>
  <c r="K171" i="66"/>
  <c r="K77" i="66"/>
  <c r="K79" i="66"/>
  <c r="K173" i="66"/>
  <c r="K30" i="66"/>
  <c r="K169" i="66"/>
  <c r="R76" i="66"/>
  <c r="K33" i="66"/>
  <c r="R168" i="66"/>
  <c r="Q38" i="66"/>
  <c r="K122" i="66"/>
  <c r="R82" i="66"/>
  <c r="R171" i="66"/>
  <c r="K128" i="66"/>
  <c r="K76" i="66"/>
  <c r="R123" i="66"/>
  <c r="R122" i="66"/>
  <c r="K36" i="66"/>
  <c r="K81" i="66"/>
  <c r="R77" i="66"/>
  <c r="K35" i="66"/>
  <c r="R79" i="66"/>
  <c r="J176" i="66"/>
  <c r="K172" i="66" s="1"/>
  <c r="M216" i="66"/>
  <c r="Q130" i="66"/>
  <c r="Q176" i="66"/>
  <c r="M37" i="66"/>
  <c r="M175" i="66"/>
  <c r="M83" i="66"/>
  <c r="K80" i="66"/>
  <c r="M129" i="66"/>
  <c r="J130" i="66"/>
  <c r="J68" i="83" a="1"/>
  <c r="L35" i="113" a="1"/>
  <c r="AF34" i="108" a="1"/>
  <c r="P22" i="57" a="1"/>
  <c r="Q15" i="57" a="1"/>
  <c r="I33" i="116" a="1"/>
  <c r="L35" i="115" a="1"/>
  <c r="AD35" i="115" a="1"/>
  <c r="D56" i="120" a="1"/>
  <c r="I33" i="115" a="1"/>
  <c r="AD34" i="113" a="1"/>
  <c r="D69" i="83" a="1"/>
  <c r="J69" i="83" a="1"/>
  <c r="D77" i="119" a="1"/>
  <c r="L34" i="113" a="1"/>
  <c r="D70" i="119" a="1"/>
  <c r="P25" i="57" a="1"/>
  <c r="J61" i="83" a="1"/>
  <c r="D75" i="83" a="1"/>
  <c r="AD35" i="114" a="1"/>
  <c r="J55" i="83" a="1"/>
  <c r="D48" i="83" a="1"/>
  <c r="Q17" i="57" a="1"/>
  <c r="N34" i="116" a="1"/>
  <c r="L35" i="114" a="1"/>
  <c r="Q21" i="57" a="1"/>
  <c r="L34" i="115" a="1"/>
  <c r="O11" i="57" a="1"/>
  <c r="R35" i="115" a="1"/>
  <c r="P21" i="57" a="1"/>
  <c r="I33" i="114" a="1"/>
  <c r="AD34" i="116" a="1"/>
  <c r="Q11" i="57" a="1"/>
  <c r="N35" i="108" a="1"/>
  <c r="AD33" i="113" a="1"/>
  <c r="AD33" i="108" a="1"/>
  <c r="D68" i="83" a="1"/>
  <c r="AF34" i="114" a="1"/>
  <c r="D76" i="83" a="1"/>
  <c r="L35" i="116" a="1"/>
  <c r="D62" i="83" a="1"/>
  <c r="D47" i="83" a="1"/>
  <c r="L35" i="108" a="1"/>
  <c r="D77" i="120" a="1"/>
  <c r="Q23" i="57" a="1"/>
  <c r="J54" i="83" a="1"/>
  <c r="D61" i="83" a="1"/>
  <c r="D56" i="119" a="1"/>
  <c r="R35" i="108" a="1"/>
  <c r="D70" i="120" a="1"/>
  <c r="R35" i="116" a="1"/>
  <c r="N24" i="57" a="1"/>
  <c r="J76" i="83" a="1"/>
  <c r="I33" i="108" a="1"/>
  <c r="J62" i="83" a="1"/>
  <c r="D54" i="83" a="1"/>
  <c r="D56" i="83" a="1"/>
  <c r="D55" i="83" a="1"/>
  <c r="AD34" i="115" a="1"/>
  <c r="I33" i="113" a="1"/>
  <c r="J14" i="122" l="1"/>
  <c r="N22" i="121"/>
  <c r="O22" i="121" s="1"/>
  <c r="AR15" i="121"/>
  <c r="AS15" i="121" s="1"/>
  <c r="AA22" i="121"/>
  <c r="AB22" i="121" s="1"/>
  <c r="H33" i="121"/>
  <c r="P7" i="122" s="1"/>
  <c r="H27" i="121"/>
  <c r="M7" i="122" s="1"/>
  <c r="H26" i="121"/>
  <c r="M5" i="122" s="1"/>
  <c r="H20" i="121"/>
  <c r="J5" i="122" s="1"/>
  <c r="H21" i="121"/>
  <c r="J7" i="122" s="1"/>
  <c r="AE35" i="114"/>
  <c r="AL14" i="121"/>
  <c r="AP14" i="121" s="1"/>
  <c r="AQ14" i="121" s="1"/>
  <c r="H15" i="121"/>
  <c r="G7" i="122" s="1"/>
  <c r="H14" i="121"/>
  <c r="G5" i="122" s="1"/>
  <c r="H10" i="121"/>
  <c r="D8" i="122" s="1"/>
  <c r="AP9" i="121"/>
  <c r="AQ9" i="121" s="1"/>
  <c r="AP13" i="121"/>
  <c r="AQ13" i="121" s="1"/>
  <c r="AL7" i="121"/>
  <c r="AR13" i="121"/>
  <c r="AS13" i="121" s="1"/>
  <c r="AR16" i="121"/>
  <c r="AS16" i="121" s="1"/>
  <c r="AR22" i="121"/>
  <c r="AS22" i="121" s="1"/>
  <c r="AP22" i="121"/>
  <c r="AQ22" i="121" s="1"/>
  <c r="AR25" i="121"/>
  <c r="AS25" i="121" s="1"/>
  <c r="AP25" i="121"/>
  <c r="AQ25" i="121" s="1"/>
  <c r="AP28" i="121"/>
  <c r="AQ28" i="121" s="1"/>
  <c r="AR28" i="121"/>
  <c r="AS28" i="121" s="1"/>
  <c r="AP34" i="121"/>
  <c r="AQ34" i="121" s="1"/>
  <c r="AC16" i="121"/>
  <c r="AD16" i="121" s="1"/>
  <c r="AC34" i="121"/>
  <c r="AD34" i="121" s="1"/>
  <c r="O5" i="122"/>
  <c r="O7" i="122"/>
  <c r="O8" i="122"/>
  <c r="P14" i="122" s="1"/>
  <c r="N34" i="121"/>
  <c r="O34" i="121" s="1"/>
  <c r="L7" i="122"/>
  <c r="L5" i="122"/>
  <c r="L8" i="122"/>
  <c r="I7" i="122"/>
  <c r="I5" i="122"/>
  <c r="F7" i="122"/>
  <c r="F5" i="122"/>
  <c r="F8" i="122"/>
  <c r="G14" i="122" s="1"/>
  <c r="N16" i="121"/>
  <c r="O16" i="121" s="1"/>
  <c r="C7" i="122"/>
  <c r="C5" i="122"/>
  <c r="C8" i="122"/>
  <c r="L16" i="121"/>
  <c r="M16" i="121" s="1"/>
  <c r="L22" i="121"/>
  <c r="M22" i="121" s="1"/>
  <c r="L34" i="121"/>
  <c r="M34" i="121" s="1"/>
  <c r="AL32" i="121"/>
  <c r="AL33" i="121"/>
  <c r="AL26" i="121"/>
  <c r="AL27" i="121"/>
  <c r="AL21" i="121"/>
  <c r="M203" i="66"/>
  <c r="M52" i="66"/>
  <c r="M144" i="66"/>
  <c r="AD36" i="116"/>
  <c r="AH34" i="121"/>
  <c r="AN34" i="121" s="1"/>
  <c r="AO34" i="121" s="1"/>
  <c r="K63" i="120"/>
  <c r="K49" i="120"/>
  <c r="K63" i="119"/>
  <c r="K49" i="119"/>
  <c r="AF37" i="115"/>
  <c r="AF37" i="113"/>
  <c r="D77" i="120"/>
  <c r="H77" i="120" s="1"/>
  <c r="J54" i="52"/>
  <c r="J55" i="52" s="1"/>
  <c r="M110" i="52"/>
  <c r="K79" i="52"/>
  <c r="AA37" i="108"/>
  <c r="AH11" i="121" s="1"/>
  <c r="AN11" i="121" s="1"/>
  <c r="AO11" i="121" s="1"/>
  <c r="L36" i="116"/>
  <c r="L36" i="113"/>
  <c r="AD33" i="108"/>
  <c r="U36" i="116"/>
  <c r="D77" i="119"/>
  <c r="H77" i="119" s="1"/>
  <c r="D70" i="119"/>
  <c r="D70" i="120"/>
  <c r="H70" i="120" s="1"/>
  <c r="AD36" i="115"/>
  <c r="U36" i="113"/>
  <c r="D56" i="120"/>
  <c r="H56" i="120" s="1"/>
  <c r="D56" i="119"/>
  <c r="D56" i="83"/>
  <c r="H56" i="83" s="1"/>
  <c r="AD36" i="113"/>
  <c r="J218" i="66"/>
  <c r="Q218" i="66"/>
  <c r="I33" i="108"/>
  <c r="D7" i="121" s="1"/>
  <c r="N35" i="108"/>
  <c r="AA37" i="114"/>
  <c r="AH23" i="121" s="1"/>
  <c r="AN23" i="121" s="1"/>
  <c r="AO23" i="121" s="1"/>
  <c r="AD35" i="115"/>
  <c r="Q141" i="68"/>
  <c r="Q142" i="68" s="1"/>
  <c r="AF34" i="114"/>
  <c r="AE34" i="114" s="1"/>
  <c r="L36" i="108"/>
  <c r="AF34" i="108"/>
  <c r="N34" i="116"/>
  <c r="M53" i="52"/>
  <c r="J81" i="52"/>
  <c r="N24" i="57"/>
  <c r="P22" i="57"/>
  <c r="O11" i="57"/>
  <c r="P25" i="57"/>
  <c r="Q23" i="57"/>
  <c r="Q17" i="57"/>
  <c r="P21" i="57"/>
  <c r="Q15" i="57"/>
  <c r="Q11" i="57"/>
  <c r="Q21" i="57"/>
  <c r="AA37" i="115"/>
  <c r="AH29" i="121" s="1"/>
  <c r="AN29" i="121" s="1"/>
  <c r="AO29" i="121" s="1"/>
  <c r="AD34" i="115"/>
  <c r="AD34" i="113"/>
  <c r="L34" i="115"/>
  <c r="Q177" i="66"/>
  <c r="Q178" i="66" s="1"/>
  <c r="R172" i="66"/>
  <c r="L34" i="113"/>
  <c r="D54" i="83"/>
  <c r="J54" i="83"/>
  <c r="Q85" i="66"/>
  <c r="Q86" i="66" s="1"/>
  <c r="R80" i="66"/>
  <c r="Q131" i="66"/>
  <c r="Q132" i="66" s="1"/>
  <c r="R126" i="66"/>
  <c r="J131" i="66"/>
  <c r="J132" i="66" s="1"/>
  <c r="K126" i="66"/>
  <c r="J61" i="83"/>
  <c r="Q39" i="66"/>
  <c r="Q40" i="66" s="1"/>
  <c r="R34" i="66"/>
  <c r="J39" i="66"/>
  <c r="J40" i="66" s="1"/>
  <c r="K34" i="66"/>
  <c r="AA37" i="113"/>
  <c r="AH17" i="121" s="1"/>
  <c r="AN17" i="121" s="1"/>
  <c r="AO17" i="121" s="1"/>
  <c r="AA37" i="116"/>
  <c r="AH35" i="121" s="1"/>
  <c r="AN35" i="121" s="1"/>
  <c r="AO35" i="121" s="1"/>
  <c r="H63" i="120"/>
  <c r="H49" i="120"/>
  <c r="H63" i="119"/>
  <c r="H49" i="119"/>
  <c r="M136" i="52"/>
  <c r="AD34" i="116"/>
  <c r="AD33" i="113"/>
  <c r="AD35" i="114"/>
  <c r="J55" i="83"/>
  <c r="D55" i="83"/>
  <c r="R35" i="116"/>
  <c r="S33" i="121" s="1"/>
  <c r="Y33" i="121" s="1"/>
  <c r="Z33" i="121" s="1"/>
  <c r="I33" i="116"/>
  <c r="D31" i="121" s="1"/>
  <c r="L35" i="116"/>
  <c r="I33" i="115"/>
  <c r="D25" i="121" s="1"/>
  <c r="R35" i="115"/>
  <c r="S27" i="121" s="1"/>
  <c r="Y27" i="121" s="1"/>
  <c r="Z27" i="121" s="1"/>
  <c r="L35" i="115"/>
  <c r="I33" i="114"/>
  <c r="D19" i="121" s="1"/>
  <c r="L35" i="114"/>
  <c r="I33" i="113"/>
  <c r="D13" i="121" s="1"/>
  <c r="L35" i="113"/>
  <c r="J68" i="83"/>
  <c r="D69" i="83"/>
  <c r="J69" i="83"/>
  <c r="D68" i="83"/>
  <c r="J62" i="83"/>
  <c r="D61" i="83"/>
  <c r="D47" i="83"/>
  <c r="L35" i="108"/>
  <c r="R35" i="108"/>
  <c r="S9" i="121" s="1"/>
  <c r="Y9" i="121" s="1"/>
  <c r="Z9" i="121" s="1"/>
  <c r="M137" i="52"/>
  <c r="M98" i="52"/>
  <c r="M170" i="68"/>
  <c r="D75" i="83"/>
  <c r="J76" i="83"/>
  <c r="D62" i="83"/>
  <c r="D76" i="83"/>
  <c r="J109" i="68"/>
  <c r="J110" i="68" s="1"/>
  <c r="Q71" i="68"/>
  <c r="Q72" i="68" s="1"/>
  <c r="Q109" i="68"/>
  <c r="Q110" i="68" s="1"/>
  <c r="D48" i="83"/>
  <c r="K78" i="52"/>
  <c r="J111" i="52"/>
  <c r="Q54" i="52"/>
  <c r="M140" i="68"/>
  <c r="Q33" i="68"/>
  <c r="Q34" i="68" s="1"/>
  <c r="J86" i="66"/>
  <c r="J177" i="66"/>
  <c r="J178" i="66" s="1"/>
  <c r="J71" i="68"/>
  <c r="J72" i="68" s="1"/>
  <c r="M70" i="68"/>
  <c r="M32" i="68"/>
  <c r="M108" i="68"/>
  <c r="M84" i="66"/>
  <c r="M38" i="66"/>
  <c r="M130" i="66"/>
  <c r="M176" i="66"/>
  <c r="J47" i="120" a="1"/>
  <c r="J54" i="120" a="1"/>
  <c r="Q19" i="57" a="1"/>
  <c r="P11" i="57" a="1"/>
  <c r="AD34" i="114" a="1"/>
  <c r="D61" i="120" a="1"/>
  <c r="W34" i="116" a="1"/>
  <c r="D48" i="119" a="1"/>
  <c r="D46" i="83" a="1"/>
  <c r="D76" i="120" a="1"/>
  <c r="Q9" i="57" a="1"/>
  <c r="J75" i="83" a="1"/>
  <c r="Q13" i="57" a="1"/>
  <c r="J48" i="83" a="1"/>
  <c r="P23" i="57" a="1"/>
  <c r="W34" i="114" a="1"/>
  <c r="W34" i="113" a="1"/>
  <c r="P9" i="57" a="1"/>
  <c r="J68" i="120" a="1"/>
  <c r="R35" i="113" a="1"/>
  <c r="Q16" i="57" a="1"/>
  <c r="P10" i="57" a="1"/>
  <c r="O22" i="57" a="1"/>
  <c r="Q25" i="57" a="1"/>
  <c r="Q10" i="57" a="1"/>
  <c r="D60" i="83" a="1"/>
  <c r="J61" i="120" a="1"/>
  <c r="P12" i="57" a="1"/>
  <c r="P24" i="57" a="1"/>
  <c r="O10" i="57" a="1"/>
  <c r="N21" i="57" a="1"/>
  <c r="L34" i="116" a="1"/>
  <c r="D48" i="120" a="1"/>
  <c r="D47" i="120" a="1"/>
  <c r="R34" i="113" a="1"/>
  <c r="AD34" i="108" a="1"/>
  <c r="R34" i="114" a="1"/>
  <c r="Q22" i="57" a="1"/>
  <c r="R34" i="116" a="1"/>
  <c r="P13" i="57" a="1"/>
  <c r="D75" i="120" a="1"/>
  <c r="N22" i="57" a="1"/>
  <c r="R34" i="108" a="1"/>
  <c r="W34" i="108" a="1"/>
  <c r="D53" i="83" a="1"/>
  <c r="O12" i="57" a="1"/>
  <c r="W35" i="108" a="1"/>
  <c r="W34" i="115" a="1"/>
  <c r="D76" i="119" a="1"/>
  <c r="O24" i="57" a="1"/>
  <c r="W35" i="113" a="1"/>
  <c r="R34" i="115" a="1"/>
  <c r="Q24" i="57" a="1"/>
  <c r="D69" i="120" a="1"/>
  <c r="D69" i="119" a="1"/>
  <c r="W35" i="116" a="1"/>
  <c r="W35" i="114" a="1"/>
  <c r="J75" i="120" a="1"/>
  <c r="O25" i="57" a="1"/>
  <c r="R35" i="114" a="1"/>
  <c r="J11" i="122" l="1"/>
  <c r="P13" i="122"/>
  <c r="J13" i="122"/>
  <c r="M11" i="122"/>
  <c r="M13" i="122"/>
  <c r="D14" i="122"/>
  <c r="G11" i="122"/>
  <c r="G13" i="122"/>
  <c r="AR14" i="121"/>
  <c r="AS14" i="121" s="1"/>
  <c r="N33" i="121"/>
  <c r="O33" i="121" s="1"/>
  <c r="N21" i="121"/>
  <c r="O21" i="121" s="1"/>
  <c r="H32" i="121"/>
  <c r="P5" i="122" s="1"/>
  <c r="P11" i="122" s="1"/>
  <c r="N26" i="121"/>
  <c r="O26" i="121" s="1"/>
  <c r="Z38" i="115"/>
  <c r="N27" i="121"/>
  <c r="O27" i="121" s="1"/>
  <c r="N20" i="121"/>
  <c r="O20" i="121" s="1"/>
  <c r="AL17" i="121"/>
  <c r="AL18" i="121" s="1"/>
  <c r="AM17" i="121" s="1"/>
  <c r="N14" i="121"/>
  <c r="O14" i="121" s="1"/>
  <c r="N15" i="121"/>
  <c r="O15" i="121" s="1"/>
  <c r="N10" i="121"/>
  <c r="O10" i="121" s="1"/>
  <c r="H9" i="121"/>
  <c r="D7" i="122" s="1"/>
  <c r="D13" i="122" s="1"/>
  <c r="AL8" i="121"/>
  <c r="AP8" i="121" s="1"/>
  <c r="AQ8" i="121" s="1"/>
  <c r="AP7" i="121"/>
  <c r="AQ7" i="121" s="1"/>
  <c r="AR7" i="121"/>
  <c r="AS7" i="121" s="1"/>
  <c r="Z38" i="113"/>
  <c r="AR33" i="121"/>
  <c r="AS33" i="121" s="1"/>
  <c r="AP33" i="121"/>
  <c r="AQ33" i="121" s="1"/>
  <c r="AP32" i="121"/>
  <c r="AQ32" i="121" s="1"/>
  <c r="AR32" i="121"/>
  <c r="AS32" i="121" s="1"/>
  <c r="AR21" i="121"/>
  <c r="AS21" i="121" s="1"/>
  <c r="AP21" i="121"/>
  <c r="AQ21" i="121" s="1"/>
  <c r="AR34" i="121"/>
  <c r="AS34" i="121" s="1"/>
  <c r="AR27" i="121"/>
  <c r="AS27" i="121" s="1"/>
  <c r="AP27" i="121"/>
  <c r="AQ27" i="121" s="1"/>
  <c r="AR26" i="121"/>
  <c r="AS26" i="121" s="1"/>
  <c r="AP26" i="121"/>
  <c r="AQ26" i="121" s="1"/>
  <c r="L27" i="121"/>
  <c r="M27" i="121" s="1"/>
  <c r="L33" i="121"/>
  <c r="M33" i="121" s="1"/>
  <c r="L10" i="121"/>
  <c r="M10" i="121" s="1"/>
  <c r="L14" i="121"/>
  <c r="M14" i="121" s="1"/>
  <c r="L15" i="121"/>
  <c r="M15" i="121" s="1"/>
  <c r="L20" i="121"/>
  <c r="M20" i="121" s="1"/>
  <c r="L21" i="121"/>
  <c r="M21" i="121" s="1"/>
  <c r="L26" i="121"/>
  <c r="M26" i="121" s="1"/>
  <c r="AL29" i="121"/>
  <c r="AL30" i="121" s="1"/>
  <c r="AL20" i="121"/>
  <c r="O6" i="122"/>
  <c r="L6" i="122"/>
  <c r="I6" i="122"/>
  <c r="F6" i="122"/>
  <c r="C6" i="122"/>
  <c r="M111" i="52"/>
  <c r="L34" i="116"/>
  <c r="AD34" i="114"/>
  <c r="AD34" i="108"/>
  <c r="Q25" i="57"/>
  <c r="K56" i="83"/>
  <c r="I37" i="108"/>
  <c r="D11" i="121" s="1"/>
  <c r="K76" i="83"/>
  <c r="K62" i="83"/>
  <c r="L49" i="120"/>
  <c r="L63" i="120"/>
  <c r="L49" i="119"/>
  <c r="L63" i="119"/>
  <c r="K61" i="83"/>
  <c r="K55" i="83"/>
  <c r="K56" i="120"/>
  <c r="K77" i="120"/>
  <c r="K70" i="120"/>
  <c r="K77" i="119"/>
  <c r="K56" i="119"/>
  <c r="K54" i="83"/>
  <c r="K68" i="83"/>
  <c r="K69" i="83"/>
  <c r="AF37" i="108"/>
  <c r="M54" i="52"/>
  <c r="Q13" i="57"/>
  <c r="Q10" i="57"/>
  <c r="N21" i="57"/>
  <c r="H56" i="119"/>
  <c r="Q19" i="57"/>
  <c r="Q24" i="57"/>
  <c r="Q16" i="57"/>
  <c r="Q22" i="57"/>
  <c r="M218" i="66"/>
  <c r="W34" i="116"/>
  <c r="R34" i="116"/>
  <c r="S32" i="121" s="1"/>
  <c r="Y32" i="121" s="1"/>
  <c r="Z32" i="121" s="1"/>
  <c r="M142" i="68"/>
  <c r="J48" i="83"/>
  <c r="I37" i="116"/>
  <c r="D35" i="121" s="1"/>
  <c r="I37" i="115"/>
  <c r="D29" i="121" s="1"/>
  <c r="I37" i="114"/>
  <c r="D23" i="121" s="1"/>
  <c r="I37" i="113"/>
  <c r="D17" i="121" s="1"/>
  <c r="P24" i="57"/>
  <c r="J82" i="52"/>
  <c r="J83" i="52" s="1"/>
  <c r="D48" i="119"/>
  <c r="Q9" i="57"/>
  <c r="J75" i="83"/>
  <c r="O22" i="57"/>
  <c r="O24" i="57"/>
  <c r="P9" i="57"/>
  <c r="P12" i="57"/>
  <c r="O10" i="57"/>
  <c r="P23" i="57"/>
  <c r="P10" i="57"/>
  <c r="P11" i="57"/>
  <c r="N22" i="57"/>
  <c r="P13" i="57"/>
  <c r="O25" i="57"/>
  <c r="O12" i="57"/>
  <c r="AD37" i="115"/>
  <c r="M40" i="66"/>
  <c r="W34" i="115"/>
  <c r="F54" i="83"/>
  <c r="W34" i="113"/>
  <c r="M132" i="66"/>
  <c r="R34" i="114"/>
  <c r="S20" i="121" s="1"/>
  <c r="Y20" i="121" s="1"/>
  <c r="Z20" i="121" s="1"/>
  <c r="W34" i="114"/>
  <c r="R34" i="108"/>
  <c r="S8" i="121" s="1"/>
  <c r="Y8" i="121" s="1"/>
  <c r="Z8" i="121" s="1"/>
  <c r="W34" i="108"/>
  <c r="AD37" i="113"/>
  <c r="D61" i="120"/>
  <c r="D75" i="120"/>
  <c r="J68" i="120"/>
  <c r="D76" i="120"/>
  <c r="D69" i="120"/>
  <c r="J54" i="120"/>
  <c r="J61" i="120"/>
  <c r="J47" i="120"/>
  <c r="D48" i="120"/>
  <c r="J75" i="120"/>
  <c r="D47" i="120"/>
  <c r="D69" i="119"/>
  <c r="D76" i="119"/>
  <c r="R35" i="113"/>
  <c r="S15" i="121" s="1"/>
  <c r="Y15" i="121" s="1"/>
  <c r="Z15" i="121" s="1"/>
  <c r="R34" i="115"/>
  <c r="S26" i="121" s="1"/>
  <c r="Y26" i="121" s="1"/>
  <c r="Z26" i="121" s="1"/>
  <c r="R34" i="113"/>
  <c r="S14" i="121" s="1"/>
  <c r="Y14" i="121" s="1"/>
  <c r="Z14" i="121" s="1"/>
  <c r="R35" i="114"/>
  <c r="S21" i="121" s="1"/>
  <c r="Y21" i="121" s="1"/>
  <c r="Z21" i="121" s="1"/>
  <c r="D53" i="83"/>
  <c r="G55" i="83"/>
  <c r="W35" i="116"/>
  <c r="W35" i="114"/>
  <c r="W35" i="113"/>
  <c r="F61" i="83"/>
  <c r="F68" i="83"/>
  <c r="G69" i="83"/>
  <c r="W35" i="108"/>
  <c r="D46" i="83"/>
  <c r="G62" i="83"/>
  <c r="M110" i="68"/>
  <c r="G76" i="83"/>
  <c r="J112" i="52"/>
  <c r="Q55" i="52"/>
  <c r="D60" i="83"/>
  <c r="M34" i="68"/>
  <c r="M178" i="66"/>
  <c r="M72" i="68"/>
  <c r="M86" i="66"/>
  <c r="O13" i="57" a="1"/>
  <c r="D54" i="120" a="1"/>
  <c r="D78" i="83" a="1"/>
  <c r="D64" i="83" a="1"/>
  <c r="U35" i="114" a="1"/>
  <c r="J47" i="119" a="1"/>
  <c r="D63" i="83" a="1"/>
  <c r="U34" i="115" a="1"/>
  <c r="U34" i="108" a="1"/>
  <c r="J55" i="119" a="1"/>
  <c r="D68" i="120" a="1"/>
  <c r="J62" i="119" a="1"/>
  <c r="U35" i="113" a="1"/>
  <c r="D47" i="119" a="1"/>
  <c r="U35" i="116" a="1"/>
  <c r="U34" i="116" a="1"/>
  <c r="D68" i="119" a="1"/>
  <c r="O23" i="57" a="1"/>
  <c r="D74" i="83" a="1"/>
  <c r="D67" i="83" a="1"/>
  <c r="D55" i="119" a="1"/>
  <c r="J48" i="119" a="1"/>
  <c r="J48" i="120" a="1"/>
  <c r="J76" i="120" a="1"/>
  <c r="J76" i="119" a="1"/>
  <c r="D62" i="119" a="1"/>
  <c r="J55" i="120" a="1"/>
  <c r="R24" i="57" a="1"/>
  <c r="J68" i="119" a="1"/>
  <c r="U35" i="108" a="1"/>
  <c r="O21" i="57" a="1"/>
  <c r="U34" i="114" a="1"/>
  <c r="U34" i="113" a="1"/>
  <c r="D55" i="120" a="1"/>
  <c r="D57" i="83" a="1"/>
  <c r="R22" i="57" a="1"/>
  <c r="J54" i="119" a="1"/>
  <c r="D71" i="83" a="1"/>
  <c r="D54" i="119" a="1"/>
  <c r="D61" i="119" a="1"/>
  <c r="J75" i="119" a="1"/>
  <c r="U35" i="115" a="1"/>
  <c r="J62" i="120" a="1"/>
  <c r="D62" i="120" a="1"/>
  <c r="J61" i="119" a="1"/>
  <c r="D75" i="119" a="1"/>
  <c r="W35" i="115" a="1"/>
  <c r="D49" i="83" a="1"/>
  <c r="D50" i="83" a="1"/>
  <c r="J69" i="120" a="1"/>
  <c r="N32" i="121" l="1"/>
  <c r="O32" i="121" s="1"/>
  <c r="W32" i="121"/>
  <c r="AA32" i="121" s="1"/>
  <c r="AB32" i="121" s="1"/>
  <c r="W33" i="121"/>
  <c r="AA33" i="121" s="1"/>
  <c r="AB33" i="121" s="1"/>
  <c r="AP17" i="121"/>
  <c r="AQ17" i="121" s="1"/>
  <c r="AR17" i="121"/>
  <c r="AS17" i="121" s="1"/>
  <c r="W26" i="121"/>
  <c r="AC26" i="121" s="1"/>
  <c r="AD26" i="121" s="1"/>
  <c r="W21" i="121"/>
  <c r="AA21" i="121" s="1"/>
  <c r="AB21" i="121" s="1"/>
  <c r="W20" i="121"/>
  <c r="AC20" i="121" s="1"/>
  <c r="AD20" i="121" s="1"/>
  <c r="N9" i="121"/>
  <c r="O9" i="121" s="1"/>
  <c r="AR8" i="121"/>
  <c r="AS8" i="121" s="1"/>
  <c r="W14" i="121"/>
  <c r="AC14" i="121" s="1"/>
  <c r="AD14" i="121" s="1"/>
  <c r="W15" i="121"/>
  <c r="AA15" i="121" s="1"/>
  <c r="AB15" i="121" s="1"/>
  <c r="W8" i="121"/>
  <c r="AC8" i="121" s="1"/>
  <c r="AD8" i="121" s="1"/>
  <c r="W9" i="121"/>
  <c r="AC9" i="121" s="1"/>
  <c r="AD9" i="121" s="1"/>
  <c r="AL11" i="121"/>
  <c r="AL12" i="121" s="1"/>
  <c r="Z38" i="108"/>
  <c r="AP20" i="121"/>
  <c r="AQ20" i="121" s="1"/>
  <c r="AR20" i="121"/>
  <c r="AS20" i="121" s="1"/>
  <c r="AR29" i="121"/>
  <c r="AS29" i="121" s="1"/>
  <c r="AP29" i="121"/>
  <c r="AQ29" i="121" s="1"/>
  <c r="AI23" i="121"/>
  <c r="AN24" i="121"/>
  <c r="AO24" i="121" s="1"/>
  <c r="AP18" i="121"/>
  <c r="AQ18" i="121" s="1"/>
  <c r="L32" i="121"/>
  <c r="M32" i="121" s="1"/>
  <c r="L9" i="121"/>
  <c r="M9" i="121" s="1"/>
  <c r="L9" i="122"/>
  <c r="O9" i="122"/>
  <c r="F9" i="122"/>
  <c r="I9" i="122"/>
  <c r="C9" i="122"/>
  <c r="O21" i="57"/>
  <c r="O23" i="57"/>
  <c r="O13" i="57"/>
  <c r="L76" i="83"/>
  <c r="L62" i="83"/>
  <c r="L70" i="120"/>
  <c r="L77" i="120"/>
  <c r="L56" i="120"/>
  <c r="L56" i="119"/>
  <c r="L77" i="119"/>
  <c r="L54" i="83"/>
  <c r="L56" i="83"/>
  <c r="L69" i="83"/>
  <c r="L55" i="83"/>
  <c r="L68" i="83"/>
  <c r="L61" i="83"/>
  <c r="K47" i="120"/>
  <c r="K75" i="120"/>
  <c r="K61" i="120"/>
  <c r="K48" i="83"/>
  <c r="K75" i="83"/>
  <c r="J62" i="119"/>
  <c r="J76" i="119"/>
  <c r="J61" i="119"/>
  <c r="J68" i="119"/>
  <c r="J55" i="119"/>
  <c r="J47" i="119"/>
  <c r="J48" i="119"/>
  <c r="J54" i="119"/>
  <c r="J75" i="119"/>
  <c r="AD37" i="108"/>
  <c r="U34" i="116"/>
  <c r="D75" i="119"/>
  <c r="G48" i="83"/>
  <c r="W35" i="115"/>
  <c r="AG37" i="115"/>
  <c r="AG37" i="113"/>
  <c r="AG36" i="113"/>
  <c r="AG33" i="113"/>
  <c r="AG34" i="113"/>
  <c r="AG35" i="113"/>
  <c r="E9" i="113"/>
  <c r="E9" i="115"/>
  <c r="AG33" i="115"/>
  <c r="AG35" i="115"/>
  <c r="AG34" i="115"/>
  <c r="AG36" i="115"/>
  <c r="F75" i="83"/>
  <c r="R24" i="57"/>
  <c r="R22" i="57"/>
  <c r="U34" i="108"/>
  <c r="U34" i="114"/>
  <c r="D61" i="119"/>
  <c r="D47" i="119"/>
  <c r="D55" i="120"/>
  <c r="J69" i="120"/>
  <c r="J55" i="120"/>
  <c r="D62" i="120"/>
  <c r="J62" i="120"/>
  <c r="D54" i="120"/>
  <c r="K54" i="120" s="1"/>
  <c r="J48" i="120"/>
  <c r="J76" i="120"/>
  <c r="D68" i="120"/>
  <c r="F47" i="120"/>
  <c r="F61" i="120"/>
  <c r="F75" i="120"/>
  <c r="D55" i="119"/>
  <c r="D62" i="119"/>
  <c r="D54" i="119"/>
  <c r="D68" i="119"/>
  <c r="U34" i="113"/>
  <c r="U34" i="115"/>
  <c r="D50" i="83"/>
  <c r="D57" i="83"/>
  <c r="D58" i="83" s="1"/>
  <c r="D78" i="83"/>
  <c r="D71" i="83"/>
  <c r="D64" i="83"/>
  <c r="U35" i="116"/>
  <c r="U35" i="115"/>
  <c r="U35" i="114"/>
  <c r="U35" i="113"/>
  <c r="M112" i="52"/>
  <c r="U35" i="108"/>
  <c r="M55" i="52"/>
  <c r="D49" i="83"/>
  <c r="D63" i="83"/>
  <c r="D74" i="83"/>
  <c r="D67" i="83"/>
  <c r="Z22" i="57" a="1"/>
  <c r="R33" i="114" a="1"/>
  <c r="P15" i="57" a="1"/>
  <c r="W24" i="57" a="1"/>
  <c r="X22" i="57" a="1"/>
  <c r="P18" i="57" a="1"/>
  <c r="O17" i="57" a="1"/>
  <c r="AA24" i="57" a="1"/>
  <c r="H26" i="57" a="1"/>
  <c r="R33" i="115" a="1"/>
  <c r="AA22" i="57" a="1"/>
  <c r="P16" i="57" a="1"/>
  <c r="R21" i="57" a="1"/>
  <c r="O19" i="57" a="1"/>
  <c r="W22" i="57" a="1"/>
  <c r="Y22" i="57" a="1"/>
  <c r="H14" i="57" a="1"/>
  <c r="Z24" i="57" a="1"/>
  <c r="J69" i="119" a="1"/>
  <c r="O15" i="57" a="1"/>
  <c r="D70" i="83" a="1"/>
  <c r="R33" i="113" a="1"/>
  <c r="O16" i="57" a="1"/>
  <c r="D77" i="83" a="1"/>
  <c r="P19" i="57" a="1"/>
  <c r="O18" i="57" a="1"/>
  <c r="Y24" i="57" a="1"/>
  <c r="X24" i="57" a="1"/>
  <c r="R33" i="116" a="1"/>
  <c r="P17" i="57" a="1"/>
  <c r="AC32" i="121" l="1"/>
  <c r="AD32" i="121" s="1"/>
  <c r="AC21" i="121"/>
  <c r="AD21" i="121" s="1"/>
  <c r="AC33" i="121"/>
  <c r="AD33" i="121" s="1"/>
  <c r="AA26" i="121"/>
  <c r="AB26" i="121" s="1"/>
  <c r="W27" i="121"/>
  <c r="AA27" i="121" s="1"/>
  <c r="AB27" i="121" s="1"/>
  <c r="AA20" i="121"/>
  <c r="AB20" i="121" s="1"/>
  <c r="AA14" i="121"/>
  <c r="AB14" i="121" s="1"/>
  <c r="AC15" i="121"/>
  <c r="AD15" i="121" s="1"/>
  <c r="AA8" i="121"/>
  <c r="AB8" i="121" s="1"/>
  <c r="AA9" i="121"/>
  <c r="AB9" i="121" s="1"/>
  <c r="AR11" i="121"/>
  <c r="AS11" i="121" s="1"/>
  <c r="AP11" i="121"/>
  <c r="AQ11" i="121" s="1"/>
  <c r="D65" i="83"/>
  <c r="D51" i="83"/>
  <c r="AP12" i="121"/>
  <c r="AQ12" i="121" s="1"/>
  <c r="AP30" i="121"/>
  <c r="AQ30" i="121" s="1"/>
  <c r="AM11" i="121"/>
  <c r="AM29" i="121"/>
  <c r="H26" i="57"/>
  <c r="L75" i="120"/>
  <c r="L47" i="120"/>
  <c r="L61" i="120"/>
  <c r="L48" i="83"/>
  <c r="L75" i="83"/>
  <c r="K62" i="120"/>
  <c r="K69" i="120"/>
  <c r="K76" i="120"/>
  <c r="L54" i="120"/>
  <c r="K48" i="120"/>
  <c r="K55" i="120"/>
  <c r="K68" i="120"/>
  <c r="K55" i="119"/>
  <c r="K68" i="119"/>
  <c r="K61" i="119"/>
  <c r="K76" i="119"/>
  <c r="K75" i="119"/>
  <c r="K62" i="119"/>
  <c r="K54" i="119"/>
  <c r="K48" i="119"/>
  <c r="K47" i="119"/>
  <c r="J69" i="119"/>
  <c r="AG36" i="108"/>
  <c r="AG37" i="108"/>
  <c r="O19" i="57"/>
  <c r="F75" i="119"/>
  <c r="AA24" i="57"/>
  <c r="AA22" i="57"/>
  <c r="Z22" i="57"/>
  <c r="X22" i="57"/>
  <c r="W22" i="57"/>
  <c r="Y22" i="57"/>
  <c r="H14" i="57"/>
  <c r="W24" i="57"/>
  <c r="Y24" i="57"/>
  <c r="Z24" i="57"/>
  <c r="X24" i="57"/>
  <c r="AG35" i="108"/>
  <c r="AG34" i="108"/>
  <c r="AG33" i="108"/>
  <c r="R21" i="57"/>
  <c r="E9" i="108"/>
  <c r="P15" i="57"/>
  <c r="O15" i="57"/>
  <c r="P18" i="57"/>
  <c r="P19" i="57"/>
  <c r="P16" i="57"/>
  <c r="P17" i="57"/>
  <c r="O18" i="57"/>
  <c r="O17" i="57"/>
  <c r="O16" i="57"/>
  <c r="F68" i="120"/>
  <c r="F54" i="120"/>
  <c r="F54" i="119"/>
  <c r="F61" i="119"/>
  <c r="F47" i="119"/>
  <c r="F68" i="119"/>
  <c r="G76" i="120"/>
  <c r="G48" i="120"/>
  <c r="G62" i="120"/>
  <c r="G55" i="120"/>
  <c r="G69" i="120"/>
  <c r="G48" i="119"/>
  <c r="G62" i="119"/>
  <c r="G76" i="119"/>
  <c r="G55" i="119"/>
  <c r="R33" i="116"/>
  <c r="S31" i="121" s="1"/>
  <c r="Y31" i="121" s="1"/>
  <c r="Z31" i="121" s="1"/>
  <c r="R33" i="115"/>
  <c r="S25" i="121" s="1"/>
  <c r="Y25" i="121" s="1"/>
  <c r="Z25" i="121" s="1"/>
  <c r="R33" i="114"/>
  <c r="S19" i="121" s="1"/>
  <c r="Y19" i="121" s="1"/>
  <c r="Z19" i="121" s="1"/>
  <c r="R33" i="113"/>
  <c r="S13" i="121" s="1"/>
  <c r="Y13" i="121" s="1"/>
  <c r="Z13" i="121" s="1"/>
  <c r="D77" i="83"/>
  <c r="D79" i="83" s="1"/>
  <c r="D70" i="83"/>
  <c r="D72" i="83" s="1"/>
  <c r="D74" i="120" a="1"/>
  <c r="D67" i="119" a="1"/>
  <c r="D74" i="119" a="1"/>
  <c r="X21" i="57" a="1"/>
  <c r="D53" i="119" a="1"/>
  <c r="D67" i="120" a="1"/>
  <c r="D53" i="120" a="1"/>
  <c r="D46" i="120" a="1"/>
  <c r="H8" i="57" a="1"/>
  <c r="D60" i="120" a="1"/>
  <c r="D60" i="119" a="1"/>
  <c r="AA21" i="57" a="1"/>
  <c r="Y21" i="57" a="1"/>
  <c r="Z21" i="57" a="1"/>
  <c r="W21" i="57" a="1"/>
  <c r="AC27" i="121" l="1"/>
  <c r="AD27" i="121" s="1"/>
  <c r="L62" i="120"/>
  <c r="L55" i="120"/>
  <c r="L48" i="120"/>
  <c r="L76" i="120"/>
  <c r="L69" i="120"/>
  <c r="L68" i="120"/>
  <c r="L75" i="119"/>
  <c r="L76" i="119"/>
  <c r="L68" i="119"/>
  <c r="L47" i="119"/>
  <c r="L55" i="119"/>
  <c r="L61" i="119"/>
  <c r="L48" i="119"/>
  <c r="L54" i="119"/>
  <c r="L62" i="119"/>
  <c r="K69" i="119"/>
  <c r="H8" i="57"/>
  <c r="G69" i="119"/>
  <c r="AA21" i="57"/>
  <c r="AB22" i="57"/>
  <c r="R37" i="116"/>
  <c r="S35" i="121" s="1"/>
  <c r="Y35" i="121" s="1"/>
  <c r="Z35" i="121" s="1"/>
  <c r="AB24" i="57"/>
  <c r="R37" i="115"/>
  <c r="S29" i="121" s="1"/>
  <c r="Y29" i="121" s="1"/>
  <c r="Z29" i="121" s="1"/>
  <c r="R37" i="114"/>
  <c r="S23" i="121" s="1"/>
  <c r="Y23" i="121" s="1"/>
  <c r="Z23" i="121" s="1"/>
  <c r="Y21" i="57"/>
  <c r="W21" i="57"/>
  <c r="X21" i="57"/>
  <c r="R37" i="113"/>
  <c r="S17" i="121" s="1"/>
  <c r="Y17" i="121" s="1"/>
  <c r="Z17" i="121" s="1"/>
  <c r="Z21" i="57"/>
  <c r="D46" i="120"/>
  <c r="D53" i="120"/>
  <c r="D60" i="120"/>
  <c r="D67" i="120"/>
  <c r="D74" i="120"/>
  <c r="D53" i="119"/>
  <c r="D60" i="119"/>
  <c r="D67" i="119"/>
  <c r="D74" i="119"/>
  <c r="M21" i="66"/>
  <c r="D71" i="120" a="1"/>
  <c r="D50" i="120" a="1"/>
  <c r="D57" i="120" a="1"/>
  <c r="D64" i="119" a="1"/>
  <c r="D57" i="119" a="1"/>
  <c r="D78" i="119" a="1"/>
  <c r="D78" i="120" a="1"/>
  <c r="D64" i="120" a="1"/>
  <c r="D71" i="119" a="1"/>
  <c r="L69" i="119" l="1"/>
  <c r="D64" i="120"/>
  <c r="D65" i="120" s="1"/>
  <c r="D71" i="120"/>
  <c r="D72" i="120" s="1"/>
  <c r="D50" i="120"/>
  <c r="D51" i="120" s="1"/>
  <c r="D78" i="120"/>
  <c r="D79" i="120" s="1"/>
  <c r="D57" i="120"/>
  <c r="D58" i="120" s="1"/>
  <c r="D78" i="119"/>
  <c r="D79" i="119" s="1"/>
  <c r="D57" i="119"/>
  <c r="D58" i="119" s="1"/>
  <c r="D64" i="119"/>
  <c r="D65" i="119" s="1"/>
  <c r="D71" i="119"/>
  <c r="D72" i="119" s="1"/>
  <c r="AB21" i="57" l="1"/>
  <c r="M12" i="52" l="1"/>
  <c r="Q13" i="52" l="1"/>
  <c r="N33" i="108" a="1"/>
  <c r="N33" i="113" a="1"/>
  <c r="N33" i="116" a="1"/>
  <c r="N33" i="115" a="1"/>
  <c r="N33" i="116" l="1"/>
  <c r="N33" i="115"/>
  <c r="N33" i="113"/>
  <c r="N33" i="108"/>
  <c r="M13" i="52"/>
  <c r="R16" i="52"/>
  <c r="R17" i="52"/>
  <c r="R10" i="52"/>
  <c r="L33" i="115" a="1"/>
  <c r="L33" i="116" a="1"/>
  <c r="L33" i="108" a="1"/>
  <c r="J53" i="83" a="1"/>
  <c r="L33" i="113" a="1"/>
  <c r="H7" i="121" l="1"/>
  <c r="H13" i="121"/>
  <c r="H25" i="121"/>
  <c r="H31" i="121"/>
  <c r="N37" i="116"/>
  <c r="N37" i="113"/>
  <c r="M80" i="52"/>
  <c r="M77" i="52"/>
  <c r="L33" i="108"/>
  <c r="M74" i="52"/>
  <c r="J53" i="83"/>
  <c r="L33" i="116"/>
  <c r="L33" i="115"/>
  <c r="L33" i="113"/>
  <c r="N12" i="57" a="1"/>
  <c r="N13" i="57" a="1"/>
  <c r="N9" i="57" a="1"/>
  <c r="J57" i="83" a="1"/>
  <c r="N10" i="57" a="1"/>
  <c r="H35" i="121" l="1"/>
  <c r="P9" i="122" s="1"/>
  <c r="H17" i="121"/>
  <c r="G9" i="122" s="1"/>
  <c r="P6" i="122"/>
  <c r="P12" i="122" s="1"/>
  <c r="M6" i="122"/>
  <c r="M12" i="122" s="1"/>
  <c r="G6" i="122"/>
  <c r="G12" i="122" s="1"/>
  <c r="D6" i="122"/>
  <c r="D12" i="122" s="1"/>
  <c r="N7" i="121"/>
  <c r="O7" i="121" s="1"/>
  <c r="N13" i="121"/>
  <c r="O13" i="121" s="1"/>
  <c r="H38" i="113"/>
  <c r="N25" i="121"/>
  <c r="O25" i="121" s="1"/>
  <c r="N31" i="121"/>
  <c r="O31" i="121" s="1"/>
  <c r="H38" i="116"/>
  <c r="L31" i="121"/>
  <c r="M31" i="121" s="1"/>
  <c r="L7" i="121"/>
  <c r="M7" i="121" s="1"/>
  <c r="L13" i="121"/>
  <c r="M13" i="121" s="1"/>
  <c r="L25" i="121"/>
  <c r="M25" i="121" s="1"/>
  <c r="K53" i="83"/>
  <c r="M81" i="52"/>
  <c r="N9" i="57"/>
  <c r="N10" i="57"/>
  <c r="N12" i="57"/>
  <c r="N13" i="57"/>
  <c r="J57" i="83"/>
  <c r="J58" i="83" s="1"/>
  <c r="K58" i="83" s="1"/>
  <c r="E53" i="83"/>
  <c r="L37" i="116"/>
  <c r="L37" i="113"/>
  <c r="Q82" i="52"/>
  <c r="M82" i="52" s="1"/>
  <c r="R10" i="57" a="1"/>
  <c r="R13" i="57" a="1"/>
  <c r="H36" i="121" l="1"/>
  <c r="L36" i="121" s="1"/>
  <c r="M36" i="121" s="1"/>
  <c r="N35" i="121"/>
  <c r="O35" i="121" s="1"/>
  <c r="N17" i="121"/>
  <c r="O17" i="121" s="1"/>
  <c r="H18" i="121"/>
  <c r="L18" i="121" s="1"/>
  <c r="M18" i="121" s="1"/>
  <c r="L17" i="121"/>
  <c r="M17" i="121" s="1"/>
  <c r="L35" i="121"/>
  <c r="M35" i="121" s="1"/>
  <c r="L53" i="83"/>
  <c r="K57" i="83"/>
  <c r="O37" i="116"/>
  <c r="O37" i="113"/>
  <c r="R10" i="57"/>
  <c r="R13" i="57"/>
  <c r="O34" i="113"/>
  <c r="O36" i="113"/>
  <c r="O33" i="113"/>
  <c r="O35" i="113"/>
  <c r="E52" i="83"/>
  <c r="F52" i="83" s="1"/>
  <c r="G52" i="83" s="1"/>
  <c r="H52" i="83" s="1"/>
  <c r="C9" i="113"/>
  <c r="I57" i="83"/>
  <c r="C9" i="116"/>
  <c r="O36" i="116"/>
  <c r="O34" i="116"/>
  <c r="O35" i="116"/>
  <c r="O33" i="116"/>
  <c r="Q83" i="52"/>
  <c r="AA13" i="57" a="1"/>
  <c r="X10" i="57" a="1"/>
  <c r="Z13" i="57" a="1"/>
  <c r="X13" i="57" a="1"/>
  <c r="W13" i="57" a="1"/>
  <c r="D14" i="57" a="1"/>
  <c r="Y10" i="57" a="1"/>
  <c r="W10" i="57" a="1"/>
  <c r="Z10" i="57" a="1"/>
  <c r="Y13" i="57" a="1"/>
  <c r="AA10" i="57" a="1"/>
  <c r="G35" i="121" l="1"/>
  <c r="G17" i="121"/>
  <c r="L57" i="83"/>
  <c r="AA10" i="57"/>
  <c r="Z13" i="57"/>
  <c r="Y10" i="57"/>
  <c r="W13" i="57"/>
  <c r="X10" i="57"/>
  <c r="Y13" i="57"/>
  <c r="X13" i="57"/>
  <c r="W10" i="57"/>
  <c r="AA13" i="57"/>
  <c r="Z10" i="57"/>
  <c r="I52" i="83"/>
  <c r="D14" i="57"/>
  <c r="M83" i="52"/>
  <c r="L58" i="83" l="1"/>
  <c r="AB13" i="57"/>
  <c r="AB10" i="57"/>
  <c r="R87" i="52"/>
  <c r="R86" i="52"/>
  <c r="Q90" i="52"/>
  <c r="M90" i="52" l="1"/>
  <c r="Q91" i="52"/>
  <c r="AF33" i="114" a="1"/>
  <c r="AF33" i="114" l="1"/>
  <c r="AE33" i="114" s="1"/>
  <c r="M91" i="52"/>
  <c r="AD33" i="114" a="1"/>
  <c r="AL19" i="121" l="1"/>
  <c r="AF37" i="114"/>
  <c r="AD33" i="114"/>
  <c r="N23" i="57" a="1"/>
  <c r="Z38" i="114" l="1"/>
  <c r="AE37" i="114"/>
  <c r="AP19" i="121"/>
  <c r="AQ19" i="121" s="1"/>
  <c r="AR19" i="121"/>
  <c r="AS19" i="121" s="1"/>
  <c r="AL23" i="121"/>
  <c r="AL24" i="121" s="1"/>
  <c r="AD37" i="114"/>
  <c r="N23" i="57"/>
  <c r="R23" i="57" a="1"/>
  <c r="AP23" i="121" l="1"/>
  <c r="AQ23" i="121" s="1"/>
  <c r="AR23" i="121"/>
  <c r="AS23" i="121" s="1"/>
  <c r="AG37" i="114"/>
  <c r="R23" i="57"/>
  <c r="AG34" i="114"/>
  <c r="E9" i="114"/>
  <c r="AG35" i="114"/>
  <c r="AG36" i="114"/>
  <c r="AG33" i="114"/>
  <c r="Q69" i="52"/>
  <c r="H20" i="57" a="1"/>
  <c r="AA23" i="57" a="1"/>
  <c r="Z23" i="57" a="1"/>
  <c r="X23" i="57" a="1"/>
  <c r="Y23" i="57" a="1"/>
  <c r="W23" i="57" a="1"/>
  <c r="N33" i="114" a="1"/>
  <c r="AP24" i="121" l="1"/>
  <c r="AQ24" i="121" s="1"/>
  <c r="AR24" i="121"/>
  <c r="AS24" i="121" s="1"/>
  <c r="AM23" i="121"/>
  <c r="AA23" i="57"/>
  <c r="H20" i="57"/>
  <c r="X23" i="57"/>
  <c r="W23" i="57"/>
  <c r="Z23" i="57"/>
  <c r="Y23" i="57"/>
  <c r="N33" i="114"/>
  <c r="M69" i="52"/>
  <c r="J46" i="83" a="1"/>
  <c r="J60" i="83" a="1"/>
  <c r="L33" i="114" a="1"/>
  <c r="H19" i="121" l="1"/>
  <c r="N37" i="114"/>
  <c r="AB23" i="57"/>
  <c r="L33" i="114"/>
  <c r="J46" i="83"/>
  <c r="J60" i="83"/>
  <c r="N11" i="57" a="1"/>
  <c r="J64" i="83" a="1"/>
  <c r="H23" i="121" l="1"/>
  <c r="J9" i="122" s="1"/>
  <c r="J6" i="122"/>
  <c r="J12" i="122" s="1"/>
  <c r="H38" i="114"/>
  <c r="L19" i="121"/>
  <c r="M19" i="121" s="1"/>
  <c r="N19" i="121"/>
  <c r="O19" i="121" s="1"/>
  <c r="K46" i="83"/>
  <c r="K60" i="83"/>
  <c r="N11" i="57"/>
  <c r="L37" i="114"/>
  <c r="E46" i="83"/>
  <c r="J64" i="83"/>
  <c r="R11" i="57" a="1"/>
  <c r="N23" i="121" l="1"/>
  <c r="O23" i="121" s="1"/>
  <c r="H24" i="121"/>
  <c r="L24" i="121" s="1"/>
  <c r="M24" i="121" s="1"/>
  <c r="L23" i="121"/>
  <c r="M23" i="121" s="1"/>
  <c r="L60" i="83"/>
  <c r="L46" i="83"/>
  <c r="K64" i="83"/>
  <c r="O37" i="114"/>
  <c r="R11" i="57"/>
  <c r="E45" i="83"/>
  <c r="O34" i="114"/>
  <c r="O35" i="114"/>
  <c r="C9" i="114"/>
  <c r="O36" i="114"/>
  <c r="O33" i="114"/>
  <c r="E59" i="83"/>
  <c r="F59" i="83" s="1"/>
  <c r="G59" i="83" s="1"/>
  <c r="I64" i="83"/>
  <c r="E60" i="83"/>
  <c r="R78" i="52"/>
  <c r="R79" i="52"/>
  <c r="R75" i="52"/>
  <c r="R76" i="52"/>
  <c r="R66" i="52"/>
  <c r="R72" i="52"/>
  <c r="R73" i="52"/>
  <c r="W11" i="57" a="1"/>
  <c r="AA11" i="57" a="1"/>
  <c r="X11" i="57" a="1"/>
  <c r="Y11" i="57" a="1"/>
  <c r="Z11" i="57" a="1"/>
  <c r="G23" i="121" l="1"/>
  <c r="L64" i="83"/>
  <c r="AA11" i="57"/>
  <c r="X11" i="57"/>
  <c r="Y11" i="57"/>
  <c r="W11" i="57"/>
  <c r="Z11" i="57"/>
  <c r="J63" i="83" a="1"/>
  <c r="D20" i="57" a="1"/>
  <c r="AB11" i="57" l="1"/>
  <c r="D20" i="57"/>
  <c r="J63" i="83"/>
  <c r="J65" i="83" s="1"/>
  <c r="K63" i="83" l="1"/>
  <c r="H63" i="83"/>
  <c r="L63" i="83" l="1"/>
  <c r="K65" i="83"/>
  <c r="H59" i="83"/>
  <c r="I59" i="83" s="1"/>
  <c r="J67" i="83" a="1"/>
  <c r="L65" i="83" l="1"/>
  <c r="J67" i="83"/>
  <c r="K67" i="83" l="1"/>
  <c r="L67" i="83" l="1"/>
  <c r="E66" i="83"/>
  <c r="F66" i="83" s="1"/>
  <c r="G66" i="83" s="1"/>
  <c r="E67" i="83"/>
  <c r="R94" i="52"/>
  <c r="R95" i="52"/>
  <c r="R107" i="52"/>
  <c r="R108" i="52"/>
  <c r="R102" i="52"/>
  <c r="R101" i="52"/>
  <c r="R115" i="52"/>
  <c r="R116" i="52"/>
  <c r="R104" i="52"/>
  <c r="R105" i="52"/>
  <c r="J74" i="83" a="1"/>
  <c r="J74" i="83" l="1"/>
  <c r="J78" i="83" a="1"/>
  <c r="K74" i="83" l="1"/>
  <c r="J78" i="83"/>
  <c r="L74" i="83" l="1"/>
  <c r="K78" i="83"/>
  <c r="I78" i="83"/>
  <c r="J77" i="83" a="1"/>
  <c r="L78" i="83" l="1"/>
  <c r="E73" i="83"/>
  <c r="F73" i="83" s="1"/>
  <c r="G73" i="83" s="1"/>
  <c r="J77" i="83"/>
  <c r="J79" i="83" s="1"/>
  <c r="K77" i="83" l="1"/>
  <c r="H77" i="83"/>
  <c r="D32" i="57" a="1"/>
  <c r="L77" i="83" l="1"/>
  <c r="K79" i="83"/>
  <c r="L79" i="83" s="1"/>
  <c r="H73" i="83"/>
  <c r="I73" i="83" s="1"/>
  <c r="D32" i="57"/>
  <c r="E74" i="83" l="1"/>
  <c r="R122" i="52" l="1"/>
  <c r="R123" i="52"/>
  <c r="R130" i="52" l="1"/>
  <c r="R129" i="52"/>
  <c r="R132" i="52"/>
  <c r="J49" i="83" a="1"/>
  <c r="J49" i="83" l="1"/>
  <c r="K49" i="83" l="1"/>
  <c r="H49" i="83"/>
  <c r="W33" i="114" a="1"/>
  <c r="W33" i="116" a="1"/>
  <c r="W33" i="115" a="1"/>
  <c r="W33" i="113" a="1"/>
  <c r="L49" i="83" l="1"/>
  <c r="W33" i="116"/>
  <c r="W33" i="115"/>
  <c r="W33" i="114"/>
  <c r="W33" i="113"/>
  <c r="J67" i="120" a="1"/>
  <c r="J74" i="119" a="1"/>
  <c r="U33" i="113" a="1"/>
  <c r="U33" i="114" a="1"/>
  <c r="J67" i="119" a="1"/>
  <c r="J53" i="120" a="1"/>
  <c r="J60" i="119" a="1"/>
  <c r="J46" i="120" a="1"/>
  <c r="U33" i="115" a="1"/>
  <c r="J53" i="119" a="1"/>
  <c r="J60" i="120" a="1"/>
  <c r="U33" i="116" a="1"/>
  <c r="W13" i="121" l="1"/>
  <c r="AA13" i="121" s="1"/>
  <c r="AB13" i="121" s="1"/>
  <c r="W19" i="121"/>
  <c r="W25" i="121"/>
  <c r="W31" i="121"/>
  <c r="J67" i="119"/>
  <c r="J53" i="119"/>
  <c r="J60" i="119"/>
  <c r="J74" i="119"/>
  <c r="W37" i="116"/>
  <c r="W37" i="114"/>
  <c r="W37" i="113"/>
  <c r="J46" i="120"/>
  <c r="J53" i="120"/>
  <c r="J60" i="120"/>
  <c r="J67" i="120"/>
  <c r="U33" i="116"/>
  <c r="U33" i="115"/>
  <c r="U33" i="114"/>
  <c r="U33" i="113"/>
  <c r="N19" i="57" a="1"/>
  <c r="N16" i="57" a="1"/>
  <c r="J57" i="120" a="1"/>
  <c r="J57" i="119" a="1"/>
  <c r="J50" i="120" a="1"/>
  <c r="N17" i="57" a="1"/>
  <c r="J64" i="119" a="1"/>
  <c r="J78" i="119" a="1"/>
  <c r="N18" i="57" a="1"/>
  <c r="J64" i="120" a="1"/>
  <c r="J71" i="120" a="1"/>
  <c r="W35" i="121" l="1"/>
  <c r="AA35" i="121" s="1"/>
  <c r="AB35" i="121" s="1"/>
  <c r="W23" i="121"/>
  <c r="AC23" i="121" s="1"/>
  <c r="AD23" i="121" s="1"/>
  <c r="W17" i="121"/>
  <c r="AC17" i="121" s="1"/>
  <c r="AD17" i="121" s="1"/>
  <c r="AC31" i="121"/>
  <c r="AD31" i="121" s="1"/>
  <c r="AA25" i="121"/>
  <c r="AB25" i="121" s="1"/>
  <c r="AA19" i="121"/>
  <c r="AB19" i="121" s="1"/>
  <c r="AC13" i="121"/>
  <c r="AD13" i="121" s="1"/>
  <c r="Q38" i="113"/>
  <c r="AC19" i="121"/>
  <c r="AD19" i="121" s="1"/>
  <c r="Q38" i="114"/>
  <c r="AC25" i="121"/>
  <c r="AD25" i="121" s="1"/>
  <c r="Q38" i="116"/>
  <c r="AA31" i="121"/>
  <c r="AB31" i="121" s="1"/>
  <c r="K60" i="120"/>
  <c r="K53" i="120"/>
  <c r="K67" i="120"/>
  <c r="K46" i="120"/>
  <c r="K74" i="119"/>
  <c r="K60" i="119"/>
  <c r="K53" i="119"/>
  <c r="K67" i="119"/>
  <c r="J78" i="119"/>
  <c r="J79" i="119" s="1"/>
  <c r="J57" i="119"/>
  <c r="J58" i="119" s="1"/>
  <c r="J64" i="119"/>
  <c r="J65" i="119" s="1"/>
  <c r="N18" i="57"/>
  <c r="N17" i="57"/>
  <c r="N19" i="57"/>
  <c r="N16" i="57"/>
  <c r="J71" i="120"/>
  <c r="J72" i="120" s="1"/>
  <c r="J50" i="120"/>
  <c r="J51" i="120" s="1"/>
  <c r="J57" i="120"/>
  <c r="J58" i="120" s="1"/>
  <c r="J64" i="120"/>
  <c r="J65" i="120" s="1"/>
  <c r="E67" i="120"/>
  <c r="E60" i="120"/>
  <c r="E53" i="120"/>
  <c r="E46" i="120"/>
  <c r="E74" i="119"/>
  <c r="E67" i="119"/>
  <c r="E53" i="119"/>
  <c r="E60" i="119"/>
  <c r="U37" i="116"/>
  <c r="U37" i="114"/>
  <c r="U37" i="113"/>
  <c r="R16" i="57" a="1"/>
  <c r="R19" i="57" a="1"/>
  <c r="R17" i="57" a="1"/>
  <c r="AA23" i="121" l="1"/>
  <c r="AB23" i="121" s="1"/>
  <c r="W24" i="121"/>
  <c r="AA24" i="121" s="1"/>
  <c r="AB24" i="121" s="1"/>
  <c r="W18" i="121"/>
  <c r="X17" i="121" s="1"/>
  <c r="W36" i="121"/>
  <c r="X35" i="121" s="1"/>
  <c r="AC35" i="121"/>
  <c r="AD35" i="121" s="1"/>
  <c r="AA17" i="121"/>
  <c r="AB17" i="121" s="1"/>
  <c r="X37" i="113"/>
  <c r="L46" i="120"/>
  <c r="L67" i="120"/>
  <c r="L53" i="120"/>
  <c r="L60" i="120"/>
  <c r="L53" i="119"/>
  <c r="L60" i="119"/>
  <c r="L74" i="119"/>
  <c r="E66" i="119"/>
  <c r="F66" i="119" s="1"/>
  <c r="G66" i="119" s="1"/>
  <c r="K57" i="120"/>
  <c r="K50" i="120"/>
  <c r="K71" i="120"/>
  <c r="K64" i="120"/>
  <c r="K58" i="119"/>
  <c r="L67" i="119"/>
  <c r="K79" i="119"/>
  <c r="L79" i="119" s="1"/>
  <c r="K64" i="119"/>
  <c r="K57" i="119"/>
  <c r="K78" i="119"/>
  <c r="X37" i="116"/>
  <c r="R16" i="57"/>
  <c r="R19" i="57"/>
  <c r="R17" i="57"/>
  <c r="E52" i="120"/>
  <c r="F52" i="120" s="1"/>
  <c r="G52" i="120" s="1"/>
  <c r="H52" i="120" s="1"/>
  <c r="I64" i="120"/>
  <c r="E59" i="120"/>
  <c r="F59" i="120" s="1"/>
  <c r="G59" i="120" s="1"/>
  <c r="H59" i="120" s="1"/>
  <c r="I57" i="120"/>
  <c r="I50" i="120"/>
  <c r="E45" i="120"/>
  <c r="F45" i="120" s="1"/>
  <c r="G45" i="120" s="1"/>
  <c r="H45" i="120" s="1"/>
  <c r="E66" i="120"/>
  <c r="F66" i="120" s="1"/>
  <c r="G66" i="120" s="1"/>
  <c r="H66" i="120" s="1"/>
  <c r="I71" i="120"/>
  <c r="E73" i="119"/>
  <c r="F73" i="119" s="1"/>
  <c r="G73" i="119" s="1"/>
  <c r="H73" i="119" s="1"/>
  <c r="E52" i="119"/>
  <c r="F52" i="119" s="1"/>
  <c r="G52" i="119" s="1"/>
  <c r="H52" i="119" s="1"/>
  <c r="E59" i="119"/>
  <c r="F59" i="119" s="1"/>
  <c r="G59" i="119" s="1"/>
  <c r="H59" i="119" s="1"/>
  <c r="D9" i="116"/>
  <c r="X36" i="116"/>
  <c r="X34" i="116"/>
  <c r="X35" i="116"/>
  <c r="X33" i="116"/>
  <c r="D9" i="114"/>
  <c r="X36" i="114"/>
  <c r="X34" i="114"/>
  <c r="X35" i="114"/>
  <c r="X33" i="114"/>
  <c r="X37" i="114"/>
  <c r="D9" i="113"/>
  <c r="X36" i="113"/>
  <c r="X34" i="113"/>
  <c r="X35" i="113"/>
  <c r="X33" i="113"/>
  <c r="F14" i="57" a="1"/>
  <c r="AA16" i="57" a="1"/>
  <c r="Z17" i="57" a="1"/>
  <c r="Z16" i="57" a="1"/>
  <c r="AA19" i="57" a="1"/>
  <c r="X19" i="57" a="1"/>
  <c r="AA17" i="57" a="1"/>
  <c r="Z19" i="57" a="1"/>
  <c r="Y17" i="57" a="1"/>
  <c r="Y16" i="57" a="1"/>
  <c r="W19" i="57" a="1"/>
  <c r="W17" i="57" a="1"/>
  <c r="F32" i="57" a="1"/>
  <c r="X16" i="57" a="1"/>
  <c r="Y19" i="57" a="1"/>
  <c r="W16" i="57" a="1"/>
  <c r="F20" i="57" a="1"/>
  <c r="X17" i="57" a="1"/>
  <c r="X23" i="121" l="1"/>
  <c r="AA18" i="121"/>
  <c r="AB18" i="121" s="1"/>
  <c r="AA36" i="121"/>
  <c r="AB36" i="121" s="1"/>
  <c r="AA16" i="57"/>
  <c r="L64" i="120"/>
  <c r="L71" i="120"/>
  <c r="L50" i="120"/>
  <c r="L57" i="120"/>
  <c r="L58" i="119"/>
  <c r="L78" i="119"/>
  <c r="L57" i="119"/>
  <c r="L64" i="119"/>
  <c r="K58" i="120"/>
  <c r="K65" i="120"/>
  <c r="K72" i="120"/>
  <c r="K51" i="120"/>
  <c r="K65" i="119"/>
  <c r="AA19" i="57"/>
  <c r="X19" i="57"/>
  <c r="AA17" i="57"/>
  <c r="Z19" i="57"/>
  <c r="W17" i="57"/>
  <c r="Y16" i="57"/>
  <c r="X17" i="57"/>
  <c r="X16" i="57"/>
  <c r="Z17" i="57"/>
  <c r="Y19" i="57"/>
  <c r="W16" i="57"/>
  <c r="Y17" i="57"/>
  <c r="Z16" i="57"/>
  <c r="W19" i="57"/>
  <c r="I59" i="120"/>
  <c r="I66" i="120"/>
  <c r="I45" i="120"/>
  <c r="I52" i="120"/>
  <c r="F32" i="57"/>
  <c r="F20" i="57"/>
  <c r="F14" i="57"/>
  <c r="L51" i="120" l="1"/>
  <c r="L72" i="120"/>
  <c r="L58" i="120"/>
  <c r="L65" i="120"/>
  <c r="L65" i="119"/>
  <c r="AB16" i="57"/>
  <c r="AB17" i="57"/>
  <c r="AB19" i="57"/>
  <c r="O110" i="98" l="1" a="1"/>
  <c r="O110" i="98" s="1"/>
  <c r="O113" i="98" s="1"/>
  <c r="Q113" i="98" s="1"/>
  <c r="O100" i="98" a="1"/>
  <c r="O100" i="98" s="1"/>
  <c r="O103" i="98" s="1"/>
  <c r="Q103" i="98" s="1"/>
  <c r="Q104" i="98" l="1"/>
  <c r="Q105" i="98" s="1"/>
  <c r="M105" i="98" s="1"/>
  <c r="Q114" i="98"/>
  <c r="Q100" i="98"/>
  <c r="Q110" i="98"/>
  <c r="Q115" i="98" l="1"/>
  <c r="M115" i="98" s="1"/>
  <c r="M113" i="98"/>
  <c r="R112" i="98"/>
  <c r="R102" i="98"/>
  <c r="M103" i="98"/>
  <c r="M110" i="98"/>
  <c r="M100" i="98"/>
  <c r="R99" i="98" l="1"/>
  <c r="R101" i="98"/>
  <c r="R100" i="98"/>
  <c r="R109" i="98"/>
  <c r="R111" i="98"/>
  <c r="R110" i="98"/>
  <c r="Q116" i="98" l="1"/>
  <c r="M114" i="98"/>
  <c r="Q106" i="98"/>
  <c r="M104" i="98"/>
  <c r="W36" i="115" a="1"/>
  <c r="N36" i="115" a="1"/>
  <c r="W36" i="115" l="1"/>
  <c r="N36" i="115"/>
  <c r="M116" i="98"/>
  <c r="M106" i="98"/>
  <c r="J70" i="83" a="1"/>
  <c r="J70" i="119" a="1"/>
  <c r="W28" i="121" l="1"/>
  <c r="H28" i="121"/>
  <c r="J70" i="119"/>
  <c r="W37" i="115"/>
  <c r="N37" i="115"/>
  <c r="J70" i="83"/>
  <c r="L36" i="115"/>
  <c r="U36" i="115"/>
  <c r="Q12" i="57" a="1"/>
  <c r="Q18" i="57" a="1"/>
  <c r="J71" i="83" a="1"/>
  <c r="J71" i="119" a="1"/>
  <c r="W29" i="121" l="1"/>
  <c r="W30" i="121" s="1"/>
  <c r="H29" i="121"/>
  <c r="M9" i="122" s="1"/>
  <c r="AC28" i="121"/>
  <c r="AD28" i="121" s="1"/>
  <c r="M8" i="122"/>
  <c r="M14" i="122" s="1"/>
  <c r="AA28" i="121"/>
  <c r="AB28" i="121" s="1"/>
  <c r="Q38" i="115"/>
  <c r="H38" i="115"/>
  <c r="N28" i="121"/>
  <c r="O28" i="121" s="1"/>
  <c r="L28" i="121"/>
  <c r="M28" i="121" s="1"/>
  <c r="K70" i="119"/>
  <c r="K70" i="83"/>
  <c r="H66" i="83" s="1"/>
  <c r="J71" i="119"/>
  <c r="J72" i="119" s="1"/>
  <c r="L37" i="115"/>
  <c r="J71" i="83"/>
  <c r="J72" i="83" s="1"/>
  <c r="Q18" i="57"/>
  <c r="Q12" i="57"/>
  <c r="H70" i="119"/>
  <c r="U37" i="115"/>
  <c r="H70" i="83"/>
  <c r="R12" i="57" a="1"/>
  <c r="R18" i="57" a="1"/>
  <c r="N29" i="121" l="1"/>
  <c r="O29" i="121" s="1"/>
  <c r="H30" i="121"/>
  <c r="L30" i="121" s="1"/>
  <c r="M30" i="121" s="1"/>
  <c r="AC29" i="121"/>
  <c r="AD29" i="121" s="1"/>
  <c r="AA29" i="121"/>
  <c r="AB29" i="121" s="1"/>
  <c r="AA30" i="121"/>
  <c r="AB30" i="121" s="1"/>
  <c r="X29" i="121"/>
  <c r="L29" i="121"/>
  <c r="M29" i="121" s="1"/>
  <c r="L70" i="119"/>
  <c r="L70" i="83"/>
  <c r="H66" i="119"/>
  <c r="K71" i="119"/>
  <c r="K71" i="83"/>
  <c r="X37" i="115"/>
  <c r="O37" i="115"/>
  <c r="X36" i="115"/>
  <c r="X33" i="115"/>
  <c r="D9" i="115"/>
  <c r="X35" i="115"/>
  <c r="X34" i="115"/>
  <c r="R12" i="57"/>
  <c r="R18" i="57"/>
  <c r="O33" i="115"/>
  <c r="O34" i="115"/>
  <c r="O35" i="115"/>
  <c r="C9" i="115"/>
  <c r="O36" i="115"/>
  <c r="I71" i="83"/>
  <c r="W12" i="57" a="1"/>
  <c r="X18" i="57" a="1"/>
  <c r="X12" i="57" a="1"/>
  <c r="Y12" i="57" a="1"/>
  <c r="AA18" i="57" a="1"/>
  <c r="Z18" i="57" a="1"/>
  <c r="D26" i="57" a="1"/>
  <c r="Z12" i="57" a="1"/>
  <c r="F26" i="57" a="1"/>
  <c r="Y18" i="57" a="1"/>
  <c r="AA12" i="57" a="1"/>
  <c r="W18" i="57" a="1"/>
  <c r="G29" i="121" l="1"/>
  <c r="F26" i="57"/>
  <c r="D26" i="57"/>
  <c r="L71" i="119"/>
  <c r="L71" i="83"/>
  <c r="K72" i="119"/>
  <c r="I66" i="83"/>
  <c r="K72" i="83"/>
  <c r="AA18" i="57"/>
  <c r="AA12" i="57"/>
  <c r="W18" i="57"/>
  <c r="Z18" i="57"/>
  <c r="X18" i="57"/>
  <c r="Y18" i="57"/>
  <c r="W12" i="57"/>
  <c r="Z12" i="57"/>
  <c r="Y12" i="57"/>
  <c r="X12" i="57"/>
  <c r="L72" i="119" l="1"/>
  <c r="L72" i="83"/>
  <c r="AB18" i="57"/>
  <c r="AB12" i="57"/>
  <c r="H32" i="108" l="1" a="1"/>
  <c r="H32" i="108" s="1"/>
  <c r="H32" i="113" a="1"/>
  <c r="H32" i="113" s="1"/>
  <c r="D18" i="121" l="1"/>
  <c r="E17" i="121" s="1"/>
  <c r="M36" i="113"/>
  <c r="M34" i="113"/>
  <c r="M35" i="113"/>
  <c r="M33" i="113"/>
  <c r="M37" i="113"/>
  <c r="D12" i="121"/>
  <c r="E11" i="121" s="1"/>
  <c r="M36" i="108"/>
  <c r="M35" i="108"/>
  <c r="M33" i="108"/>
  <c r="L38" i="113"/>
  <c r="C15" i="113"/>
  <c r="J36" i="113"/>
  <c r="C16" i="113"/>
  <c r="J34" i="113"/>
  <c r="J33" i="113"/>
  <c r="J37" i="113"/>
  <c r="J35" i="113"/>
  <c r="J36" i="108"/>
  <c r="J35" i="108"/>
  <c r="J34" i="108"/>
  <c r="J33" i="108"/>
  <c r="J37" i="108"/>
  <c r="E18" i="57" a="1"/>
  <c r="S10" i="57" a="1"/>
  <c r="D18" i="57" a="1"/>
  <c r="J18" i="121" l="1"/>
  <c r="K18" i="121" s="1"/>
  <c r="N18" i="121"/>
  <c r="O18" i="121" s="1"/>
  <c r="E18" i="57"/>
  <c r="S10" i="57"/>
  <c r="D18" i="57"/>
  <c r="D17" i="57" l="1"/>
  <c r="H32" i="115" a="1"/>
  <c r="H32" i="115" s="1"/>
  <c r="D30" i="121" l="1"/>
  <c r="E29" i="121" s="1"/>
  <c r="M34" i="115"/>
  <c r="M35" i="115"/>
  <c r="M33" i="115"/>
  <c r="M36" i="115"/>
  <c r="M37" i="115"/>
  <c r="D19" i="57"/>
  <c r="L38" i="115"/>
  <c r="C16" i="115"/>
  <c r="C15" i="115"/>
  <c r="J35" i="115"/>
  <c r="J33" i="115"/>
  <c r="J37" i="115"/>
  <c r="J36" i="115"/>
  <c r="J34" i="115"/>
  <c r="E30" i="57" a="1"/>
  <c r="D30" i="57" a="1"/>
  <c r="S12" i="57" a="1"/>
  <c r="J30" i="121" l="1"/>
  <c r="K30" i="121" s="1"/>
  <c r="N30" i="121"/>
  <c r="O30" i="121" s="1"/>
  <c r="E19" i="57"/>
  <c r="D30" i="57"/>
  <c r="E30" i="57"/>
  <c r="S12" i="57"/>
  <c r="D29" i="57" l="1"/>
  <c r="H32" i="116" a="1"/>
  <c r="H32" i="116" s="1"/>
  <c r="D36" i="121" l="1"/>
  <c r="E35" i="121" s="1"/>
  <c r="M35" i="116"/>
  <c r="M36" i="116"/>
  <c r="M34" i="116"/>
  <c r="M33" i="116"/>
  <c r="M37" i="116"/>
  <c r="J37" i="116"/>
  <c r="D31" i="57"/>
  <c r="C15" i="116"/>
  <c r="C16" i="116"/>
  <c r="L38" i="116"/>
  <c r="J36" i="116"/>
  <c r="J34" i="116"/>
  <c r="J33" i="116"/>
  <c r="J35" i="116"/>
  <c r="D36" i="57" a="1"/>
  <c r="E36" i="57" a="1"/>
  <c r="S13" i="57" a="1"/>
  <c r="N36" i="121" l="1"/>
  <c r="O36" i="121" s="1"/>
  <c r="J36" i="121"/>
  <c r="K36" i="121" s="1"/>
  <c r="E31" i="57"/>
  <c r="E36" i="57"/>
  <c r="S13" i="57"/>
  <c r="D36" i="57"/>
  <c r="D35" i="57" l="1"/>
  <c r="Q32" i="116" a="1"/>
  <c r="Q32" i="116" s="1"/>
  <c r="Q32" i="113" a="1"/>
  <c r="Q32" i="113" s="1"/>
  <c r="Q32" i="115" a="1"/>
  <c r="Q32" i="115" s="1"/>
  <c r="Q32" i="108" a="1"/>
  <c r="Q32" i="108" s="1"/>
  <c r="S12" i="121" l="1"/>
  <c r="V36" i="108"/>
  <c r="V35" i="108"/>
  <c r="V34" i="108"/>
  <c r="S30" i="121"/>
  <c r="AC30" i="121" s="1"/>
  <c r="AD30" i="121" s="1"/>
  <c r="V34" i="115"/>
  <c r="V35" i="115"/>
  <c r="V33" i="115"/>
  <c r="V36" i="115"/>
  <c r="V37" i="115"/>
  <c r="S18" i="121"/>
  <c r="T17" i="121" s="1"/>
  <c r="V36" i="113"/>
  <c r="V34" i="113"/>
  <c r="V35" i="113"/>
  <c r="V33" i="113"/>
  <c r="V37" i="113"/>
  <c r="S36" i="121"/>
  <c r="T35" i="121" s="1"/>
  <c r="V36" i="116"/>
  <c r="V34" i="116"/>
  <c r="V35" i="116"/>
  <c r="V33" i="116"/>
  <c r="V37" i="116"/>
  <c r="D37" i="57"/>
  <c r="D15" i="115"/>
  <c r="U38" i="115"/>
  <c r="D15" i="113"/>
  <c r="D16" i="116"/>
  <c r="D16" i="113"/>
  <c r="U38" i="113"/>
  <c r="U38" i="116"/>
  <c r="D16" i="115"/>
  <c r="D15" i="116"/>
  <c r="S36" i="116"/>
  <c r="S34" i="116"/>
  <c r="S35" i="116"/>
  <c r="S33" i="116"/>
  <c r="S37" i="116"/>
  <c r="S35" i="108"/>
  <c r="S34" i="108"/>
  <c r="S36" i="108"/>
  <c r="S36" i="115"/>
  <c r="S35" i="115"/>
  <c r="S33" i="115"/>
  <c r="S37" i="115"/>
  <c r="S34" i="115"/>
  <c r="S33" i="113"/>
  <c r="S37" i="113"/>
  <c r="S36" i="113"/>
  <c r="S34" i="113"/>
  <c r="S35" i="113"/>
  <c r="S18" i="57" a="1"/>
  <c r="G36" i="57" a="1"/>
  <c r="S16" i="57" a="1"/>
  <c r="F18" i="57" a="1"/>
  <c r="G18" i="57" a="1"/>
  <c r="F30" i="57" a="1"/>
  <c r="G30" i="57" a="1"/>
  <c r="F36" i="57" a="1"/>
  <c r="S19" i="57" a="1"/>
  <c r="AC36" i="121" l="1"/>
  <c r="AD36" i="121" s="1"/>
  <c r="Y30" i="121"/>
  <c r="Z30" i="121" s="1"/>
  <c r="T29" i="121"/>
  <c r="AC18" i="121"/>
  <c r="AD18" i="121" s="1"/>
  <c r="Y18" i="121"/>
  <c r="Z18" i="121" s="1"/>
  <c r="Y36" i="121"/>
  <c r="Z36" i="121" s="1"/>
  <c r="G30" i="57"/>
  <c r="E37" i="57"/>
  <c r="F30" i="57"/>
  <c r="G36" i="57"/>
  <c r="S19" i="57"/>
  <c r="F18" i="57"/>
  <c r="F36" i="57"/>
  <c r="S18" i="57"/>
  <c r="G18" i="57"/>
  <c r="S16" i="57"/>
  <c r="F29" i="57" l="1"/>
  <c r="F17" i="57"/>
  <c r="F35" i="57"/>
  <c r="Q32" i="114" a="1"/>
  <c r="Q32" i="114" s="1"/>
  <c r="S24" i="121" l="1"/>
  <c r="Y24" i="121" s="1"/>
  <c r="Z24" i="121" s="1"/>
  <c r="V36" i="114"/>
  <c r="V35" i="114"/>
  <c r="V34" i="114"/>
  <c r="V33" i="114"/>
  <c r="V37" i="114"/>
  <c r="F31" i="57"/>
  <c r="F19" i="57"/>
  <c r="F37" i="57"/>
  <c r="D15" i="114"/>
  <c r="D16" i="114"/>
  <c r="U38" i="114"/>
  <c r="S36" i="114"/>
  <c r="S34" i="114"/>
  <c r="S35" i="114"/>
  <c r="S33" i="114"/>
  <c r="S37" i="114"/>
  <c r="H32" i="114" a="1"/>
  <c r="H32" i="114" s="1"/>
  <c r="F24" i="57" a="1"/>
  <c r="S17" i="57" a="1"/>
  <c r="G24" i="57" a="1"/>
  <c r="AC24" i="121" l="1"/>
  <c r="AD24" i="121" s="1"/>
  <c r="T23" i="121"/>
  <c r="D24" i="121"/>
  <c r="E23" i="121" s="1"/>
  <c r="M36" i="114"/>
  <c r="M35" i="114"/>
  <c r="M34" i="114"/>
  <c r="M33" i="114"/>
  <c r="M37" i="114"/>
  <c r="C15" i="114"/>
  <c r="G31" i="57"/>
  <c r="G37" i="57"/>
  <c r="G19" i="57"/>
  <c r="G24" i="57"/>
  <c r="S17" i="57"/>
  <c r="F24" i="57"/>
  <c r="C16" i="114"/>
  <c r="L38" i="114"/>
  <c r="J37" i="114"/>
  <c r="J35" i="114"/>
  <c r="J34" i="114"/>
  <c r="J36" i="114"/>
  <c r="J33" i="114"/>
  <c r="Z32" i="115" a="1"/>
  <c r="Z32" i="115" s="1"/>
  <c r="Z32" i="116" a="1"/>
  <c r="Z32" i="116" s="1"/>
  <c r="Z32" i="108" a="1"/>
  <c r="Z32" i="108" s="1"/>
  <c r="Z32" i="113" a="1"/>
  <c r="Z32" i="113" s="1"/>
  <c r="E24" i="57" a="1"/>
  <c r="S11" i="57" a="1"/>
  <c r="D24" i="57" a="1"/>
  <c r="N24" i="121" l="1"/>
  <c r="O24" i="121" s="1"/>
  <c r="J24" i="121"/>
  <c r="K24" i="121" s="1"/>
  <c r="AH30" i="121"/>
  <c r="AI29" i="121" s="1"/>
  <c r="AE33" i="115"/>
  <c r="AE35" i="115"/>
  <c r="AE34" i="115"/>
  <c r="AE36" i="115"/>
  <c r="AE37" i="115"/>
  <c r="AH18" i="121"/>
  <c r="AR18" i="121" s="1"/>
  <c r="AS18" i="121" s="1"/>
  <c r="AE35" i="113"/>
  <c r="AE34" i="113"/>
  <c r="AE33" i="113"/>
  <c r="AE36" i="113"/>
  <c r="AE37" i="113"/>
  <c r="AH12" i="121"/>
  <c r="AN12" i="121" s="1"/>
  <c r="AO12" i="121" s="1"/>
  <c r="AE35" i="108"/>
  <c r="AE33" i="108"/>
  <c r="AE34" i="108"/>
  <c r="AE37" i="108"/>
  <c r="AH36" i="121"/>
  <c r="AN36" i="121" s="1"/>
  <c r="AO36" i="121" s="1"/>
  <c r="AE35" i="116"/>
  <c r="AE36" i="116"/>
  <c r="AE34" i="116"/>
  <c r="D24" i="57"/>
  <c r="AE36" i="108"/>
  <c r="AB36" i="108"/>
  <c r="AB37" i="108"/>
  <c r="AD38" i="115"/>
  <c r="F23" i="57"/>
  <c r="E24" i="57"/>
  <c r="S11" i="57"/>
  <c r="E16" i="113"/>
  <c r="E15" i="113"/>
  <c r="E16" i="108"/>
  <c r="E16" i="114"/>
  <c r="E15" i="114"/>
  <c r="AD38" i="113"/>
  <c r="AD38" i="114"/>
  <c r="E15" i="108"/>
  <c r="E15" i="115"/>
  <c r="E16" i="115"/>
  <c r="AD38" i="108"/>
  <c r="AB34" i="115"/>
  <c r="AB37" i="115"/>
  <c r="AB36" i="115"/>
  <c r="AB35" i="115"/>
  <c r="AB33" i="115"/>
  <c r="AB34" i="114"/>
  <c r="AB36" i="114"/>
  <c r="AB33" i="114"/>
  <c r="AB35" i="114"/>
  <c r="AB37" i="114"/>
  <c r="AB35" i="116"/>
  <c r="AB36" i="116"/>
  <c r="AB37" i="116"/>
  <c r="AB33" i="116"/>
  <c r="AB34" i="116"/>
  <c r="AB36" i="113"/>
  <c r="AB33" i="113"/>
  <c r="AB34" i="113"/>
  <c r="AB37" i="113"/>
  <c r="AB35" i="113"/>
  <c r="AB35" i="108"/>
  <c r="AB33" i="108"/>
  <c r="AB34" i="108"/>
  <c r="I18" i="57" a="1"/>
  <c r="I30" i="57" a="1"/>
  <c r="I12" i="57" a="1"/>
  <c r="S21" i="57" a="1"/>
  <c r="S23" i="57" a="1"/>
  <c r="H24" i="57" a="1"/>
  <c r="I24" i="57" a="1"/>
  <c r="H18" i="57" a="1"/>
  <c r="H12" i="57" a="1"/>
  <c r="H30" i="57" a="1"/>
  <c r="S22" i="57" a="1"/>
  <c r="S24" i="57" a="1"/>
  <c r="AN30" i="121" l="1"/>
  <c r="AO30" i="121" s="1"/>
  <c r="AR30" i="121"/>
  <c r="AS30" i="121" s="1"/>
  <c r="AI17" i="121"/>
  <c r="AI11" i="121"/>
  <c r="AR12" i="121"/>
  <c r="AS12" i="121" s="1"/>
  <c r="AN18" i="121"/>
  <c r="AO18" i="121" s="1"/>
  <c r="AI35" i="121"/>
  <c r="D23" i="57"/>
  <c r="F25" i="57"/>
  <c r="H30" i="57"/>
  <c r="H12" i="57"/>
  <c r="S22" i="57"/>
  <c r="I18" i="57"/>
  <c r="H18" i="57"/>
  <c r="H24" i="57"/>
  <c r="I24" i="57"/>
  <c r="S23" i="57"/>
  <c r="I30" i="57"/>
  <c r="S24" i="57"/>
  <c r="I12" i="57"/>
  <c r="S21" i="57"/>
  <c r="D25" i="57" l="1"/>
  <c r="G25" i="57"/>
  <c r="H17" i="57"/>
  <c r="H23" i="57"/>
  <c r="H29" i="57"/>
  <c r="H11" i="57"/>
  <c r="E25" i="57" l="1"/>
  <c r="H19" i="57"/>
  <c r="H25" i="57"/>
  <c r="H31" i="57"/>
  <c r="H13" i="57"/>
  <c r="I31" i="57" l="1"/>
  <c r="I25" i="57"/>
  <c r="I19" i="57"/>
  <c r="I13" i="57"/>
  <c r="M20" i="52" l="1"/>
  <c r="M22" i="52" l="1"/>
  <c r="M23" i="52"/>
  <c r="R22" i="52" l="1"/>
  <c r="K19" i="52"/>
  <c r="K20" i="52"/>
  <c r="M24" i="52"/>
  <c r="R23" i="52"/>
  <c r="J25" i="52"/>
  <c r="K22" i="52"/>
  <c r="K23" i="52"/>
  <c r="J26" i="52" l="1"/>
  <c r="J27" i="52" s="1"/>
  <c r="R33" i="108" a="1"/>
  <c r="R33" i="108" l="1"/>
  <c r="S7" i="121" s="1"/>
  <c r="Y7" i="121" s="1"/>
  <c r="Z7" i="121" s="1"/>
  <c r="D46" i="119" a="1"/>
  <c r="D46" i="119" l="1"/>
  <c r="R37" i="108"/>
  <c r="S11" i="121" s="1"/>
  <c r="Y11" i="121" s="1"/>
  <c r="Z11" i="121" s="1"/>
  <c r="S33" i="108"/>
  <c r="D50" i="119" a="1"/>
  <c r="D50" i="119" l="1"/>
  <c r="D51" i="119" s="1"/>
  <c r="S37" i="108"/>
  <c r="T11" i="121" l="1"/>
  <c r="Y12" i="121"/>
  <c r="Z12" i="121" s="1"/>
  <c r="R20" i="52"/>
  <c r="M21" i="52"/>
  <c r="R19" i="52"/>
  <c r="M19" i="52"/>
  <c r="Q26" i="52" l="1"/>
  <c r="M25" i="52"/>
  <c r="M26" i="52" l="1"/>
  <c r="Q27" i="52"/>
  <c r="W33" i="108" a="1"/>
  <c r="M27" i="52" l="1"/>
  <c r="W33" i="108"/>
  <c r="V33" i="108" s="1"/>
  <c r="J46" i="119" a="1"/>
  <c r="U33" i="108" a="1"/>
  <c r="W7" i="121" l="1"/>
  <c r="J46" i="119"/>
  <c r="W37" i="108"/>
  <c r="U33" i="108"/>
  <c r="J50" i="119" a="1"/>
  <c r="N15" i="57" a="1"/>
  <c r="W11" i="121" l="1"/>
  <c r="W12" i="121" s="1"/>
  <c r="X11" i="121" s="1"/>
  <c r="V37" i="108"/>
  <c r="AC7" i="121"/>
  <c r="AD7" i="121" s="1"/>
  <c r="AA7" i="121"/>
  <c r="AB7" i="121" s="1"/>
  <c r="Q38" i="108"/>
  <c r="K46" i="119"/>
  <c r="J50" i="119"/>
  <c r="J51" i="119" s="1"/>
  <c r="N15" i="57"/>
  <c r="U37" i="108"/>
  <c r="E46" i="119"/>
  <c r="R15" i="57" a="1"/>
  <c r="AA11" i="121" l="1"/>
  <c r="AB11" i="121" s="1"/>
  <c r="AC11" i="121"/>
  <c r="AD11" i="121" s="1"/>
  <c r="AC12" i="121"/>
  <c r="AD12" i="121" s="1"/>
  <c r="AA12" i="121"/>
  <c r="AB12" i="121" s="1"/>
  <c r="L46" i="119"/>
  <c r="E45" i="119"/>
  <c r="F45" i="119" s="1"/>
  <c r="G45" i="119" s="1"/>
  <c r="H45" i="119" s="1"/>
  <c r="K51" i="119"/>
  <c r="K50" i="119"/>
  <c r="X36" i="108"/>
  <c r="U38" i="108"/>
  <c r="X37" i="108"/>
  <c r="R15" i="57"/>
  <c r="X34" i="108"/>
  <c r="X35" i="108"/>
  <c r="D9" i="108"/>
  <c r="X33" i="108"/>
  <c r="Y15" i="57" a="1"/>
  <c r="X15" i="57" a="1"/>
  <c r="Z15" i="57" a="1"/>
  <c r="F8" i="57" a="1"/>
  <c r="W15" i="57" a="1"/>
  <c r="AA15" i="57" a="1"/>
  <c r="L50" i="119" l="1"/>
  <c r="L51" i="119"/>
  <c r="D15" i="108"/>
  <c r="Z15" i="57"/>
  <c r="AA15" i="57"/>
  <c r="Y15" i="57"/>
  <c r="X15" i="57"/>
  <c r="D16" i="108"/>
  <c r="W15" i="57"/>
  <c r="F8" i="57"/>
  <c r="G12" i="57" a="1"/>
  <c r="S15" i="57" a="1"/>
  <c r="F12" i="57" a="1"/>
  <c r="F12" i="57" l="1"/>
  <c r="AB15" i="57"/>
  <c r="S15" i="57"/>
  <c r="G12" i="57"/>
  <c r="F11" i="57" l="1"/>
  <c r="F13" i="57" l="1"/>
  <c r="G13" i="57" l="1"/>
  <c r="R14" i="66"/>
  <c r="R13" i="66"/>
  <c r="M16" i="66"/>
  <c r="Q17" i="66"/>
  <c r="R10" i="66"/>
  <c r="R12" i="66"/>
  <c r="R9" i="66"/>
  <c r="R11" i="66"/>
  <c r="R15" i="66"/>
  <c r="Q18" i="66" l="1"/>
  <c r="N34" i="108" a="1"/>
  <c r="N34" i="108" l="1"/>
  <c r="M34" i="108" s="1"/>
  <c r="M18" i="66"/>
  <c r="J47" i="83" a="1"/>
  <c r="L34" i="108" a="1"/>
  <c r="H8" i="121" l="1"/>
  <c r="L34" i="108"/>
  <c r="N37" i="108"/>
  <c r="J47" i="83"/>
  <c r="O9" i="57" a="1"/>
  <c r="J50" i="83" a="1"/>
  <c r="H11" i="121" l="1"/>
  <c r="H12" i="121" s="1"/>
  <c r="N12" i="121" s="1"/>
  <c r="O12" i="121" s="1"/>
  <c r="M37" i="108"/>
  <c r="D5" i="122"/>
  <c r="D11" i="122" s="1"/>
  <c r="N8" i="121"/>
  <c r="O8" i="121" s="1"/>
  <c r="H38" i="108"/>
  <c r="L8" i="121"/>
  <c r="M8" i="121" s="1"/>
  <c r="O9" i="57"/>
  <c r="K47" i="83"/>
  <c r="J50" i="83"/>
  <c r="J51" i="83" s="1"/>
  <c r="L37" i="108"/>
  <c r="F47" i="83"/>
  <c r="R9" i="57" a="1"/>
  <c r="D9" i="122" l="1"/>
  <c r="N11" i="121"/>
  <c r="O11" i="121" s="1"/>
  <c r="L11" i="121"/>
  <c r="M11" i="121" s="1"/>
  <c r="L38" i="108"/>
  <c r="L47" i="83"/>
  <c r="F45" i="83"/>
  <c r="G45" i="83" s="1"/>
  <c r="H45" i="83" s="1"/>
  <c r="K50" i="83"/>
  <c r="O33" i="108"/>
  <c r="O35" i="108"/>
  <c r="O34" i="108"/>
  <c r="R9" i="57"/>
  <c r="I50" i="83"/>
  <c r="O36" i="108"/>
  <c r="C9" i="108"/>
  <c r="O37" i="108"/>
  <c r="D8" i="57" a="1"/>
  <c r="Z9" i="57" a="1"/>
  <c r="Y9" i="57" a="1"/>
  <c r="W9" i="57" a="1"/>
  <c r="X9" i="57" a="1"/>
  <c r="AA9" i="57" a="1"/>
  <c r="J12" i="121" l="1"/>
  <c r="L12" i="121"/>
  <c r="M12" i="121" s="1"/>
  <c r="D8" i="57"/>
  <c r="G11" i="121"/>
  <c r="L50" i="83"/>
  <c r="I45" i="83"/>
  <c r="K51" i="83"/>
  <c r="L51" i="83" s="1"/>
  <c r="C16" i="108"/>
  <c r="C15" i="108"/>
  <c r="X9" i="57"/>
  <c r="Y9" i="57"/>
  <c r="W9" i="57"/>
  <c r="AA9" i="57"/>
  <c r="Z9" i="57"/>
  <c r="S9" i="57" a="1"/>
  <c r="E12" i="57" a="1"/>
  <c r="D12" i="57" a="1"/>
  <c r="K12" i="121" l="1"/>
  <c r="E12" i="57"/>
  <c r="D12" i="57"/>
  <c r="S9" i="57"/>
  <c r="AB9" i="57"/>
  <c r="D11" i="57" l="1"/>
  <c r="D13" i="57" l="1"/>
  <c r="E13" i="57" l="1"/>
  <c r="I45" i="119" l="1"/>
  <c r="I50" i="119"/>
  <c r="I66" i="119"/>
  <c r="I71" i="119"/>
  <c r="I59" i="119"/>
  <c r="I64" i="119"/>
  <c r="I52" i="119"/>
  <c r="I57" i="119"/>
  <c r="I73" i="119"/>
  <c r="I78" i="119"/>
  <c r="J22" i="121" l="1"/>
  <c r="K22" i="121" l="1"/>
  <c r="J15" i="121"/>
  <c r="J27" i="121"/>
  <c r="J32" i="121"/>
  <c r="J20" i="121"/>
  <c r="J10" i="121"/>
  <c r="J26" i="121"/>
  <c r="J28" i="121"/>
  <c r="J9" i="121"/>
  <c r="J21" i="121"/>
  <c r="J33" i="121"/>
  <c r="J14" i="121"/>
  <c r="J8" i="121"/>
  <c r="K10" i="121" l="1"/>
  <c r="K14" i="121"/>
  <c r="K33" i="121"/>
  <c r="K27" i="121"/>
  <c r="K15" i="121"/>
  <c r="K28" i="121"/>
  <c r="K26" i="121"/>
  <c r="K20" i="121"/>
  <c r="K32" i="121"/>
  <c r="K21" i="121"/>
  <c r="K9" i="121"/>
  <c r="K8" i="121"/>
  <c r="J16" i="121"/>
  <c r="J34" i="121"/>
  <c r="K16" i="121" l="1"/>
  <c r="K34" i="121"/>
  <c r="J31" i="121"/>
  <c r="J25" i="121"/>
  <c r="J19" i="121"/>
  <c r="J13" i="121"/>
  <c r="J7" i="121"/>
  <c r="K13" i="121" l="1"/>
  <c r="K19" i="121"/>
  <c r="K25" i="121"/>
  <c r="K31" i="121"/>
  <c r="K7" i="121"/>
  <c r="J23" i="121"/>
  <c r="J17" i="121"/>
  <c r="J35" i="121"/>
  <c r="J11" i="121"/>
  <c r="J29" i="121"/>
  <c r="K29" i="121" l="1"/>
  <c r="K11" i="121"/>
  <c r="K35" i="121"/>
  <c r="K17" i="121"/>
  <c r="K23" i="121"/>
  <c r="D4" i="122"/>
  <c r="C4" i="122"/>
  <c r="O4" i="122"/>
  <c r="I4" i="122"/>
  <c r="L4" i="122"/>
  <c r="F4" i="122"/>
  <c r="D10" i="122" l="1"/>
  <c r="D18" i="122"/>
  <c r="D17" i="122"/>
  <c r="G4" i="122" l="1"/>
  <c r="G10" i="122" s="1"/>
  <c r="G18" i="122" l="1"/>
  <c r="G17" i="122"/>
  <c r="J4" i="122" l="1"/>
  <c r="J10" i="122" s="1"/>
  <c r="J18" i="122" l="1"/>
  <c r="J17" i="122"/>
  <c r="M4" i="122" l="1"/>
  <c r="M10" i="122" s="1"/>
  <c r="M18" i="122" l="1"/>
  <c r="M17" i="122"/>
  <c r="P4" i="122" l="1"/>
  <c r="P10" i="122" s="1"/>
  <c r="P18" i="122" l="1"/>
  <c r="P17" i="122"/>
  <c r="P140" i="52" a="1"/>
  <c r="P140" i="52" s="1"/>
  <c r="Q140" i="52" l="1"/>
  <c r="P142" i="52"/>
  <c r="Q142" i="52" s="1"/>
  <c r="M142" i="52" l="1"/>
  <c r="Q143" i="52"/>
  <c r="R141" i="52"/>
  <c r="M140" i="52"/>
  <c r="R140" i="52"/>
  <c r="Q144" i="52" l="1"/>
  <c r="M143" i="52"/>
  <c r="AF33" i="116" a="1"/>
  <c r="AF33" i="116" l="1"/>
  <c r="AE33" i="116" s="1"/>
  <c r="M144" i="52"/>
  <c r="AD33" i="116" a="1"/>
  <c r="J74" i="120" a="1"/>
  <c r="AL31" i="121" l="1"/>
  <c r="AD33" i="116"/>
  <c r="J74" i="120"/>
  <c r="AF37" i="116"/>
  <c r="N25" i="57" a="1"/>
  <c r="J78" i="120" a="1"/>
  <c r="AL35" i="121" l="1"/>
  <c r="AL36" i="121" s="1"/>
  <c r="AE37" i="116"/>
  <c r="Z38" i="116"/>
  <c r="AP31" i="121"/>
  <c r="AQ31" i="121" s="1"/>
  <c r="AR31" i="121"/>
  <c r="AS31" i="121" s="1"/>
  <c r="J78" i="120"/>
  <c r="N25" i="57"/>
  <c r="AD37" i="116"/>
  <c r="E74" i="120"/>
  <c r="K74" i="120"/>
  <c r="R25" i="57" a="1"/>
  <c r="AP35" i="121" l="1"/>
  <c r="AQ35" i="121" s="1"/>
  <c r="AR35" i="121"/>
  <c r="AS35" i="121" s="1"/>
  <c r="J79" i="120"/>
  <c r="K79" i="120" s="1"/>
  <c r="L79" i="120" s="1"/>
  <c r="AP36" i="121"/>
  <c r="AQ36" i="121" s="1"/>
  <c r="AR36" i="121"/>
  <c r="AS36" i="121" s="1"/>
  <c r="AM35" i="121"/>
  <c r="R25" i="57"/>
  <c r="E73" i="120"/>
  <c r="F73" i="120" s="1"/>
  <c r="G73" i="120" s="1"/>
  <c r="H73" i="120" s="1"/>
  <c r="L74" i="120"/>
  <c r="AG36" i="116"/>
  <c r="AG34" i="116"/>
  <c r="E9" i="116"/>
  <c r="AG35" i="116"/>
  <c r="AD38" i="116"/>
  <c r="AG33" i="116"/>
  <c r="AG37" i="116"/>
  <c r="K78" i="120"/>
  <c r="I78" i="120"/>
  <c r="X25" i="57" a="1"/>
  <c r="AA25" i="57" a="1"/>
  <c r="Y25" i="57" a="1"/>
  <c r="Z25" i="57" a="1"/>
  <c r="H32" i="57" a="1"/>
  <c r="W25" i="57" a="1"/>
  <c r="X25" i="57" l="1"/>
  <c r="Y25" i="57"/>
  <c r="H32" i="57"/>
  <c r="Z25" i="57"/>
  <c r="AA25" i="57"/>
  <c r="W25" i="57"/>
  <c r="I73" i="120"/>
  <c r="L78" i="120"/>
  <c r="E16" i="116"/>
  <c r="E15" i="116"/>
  <c r="H36" i="57" a="1"/>
  <c r="S25" i="57" a="1"/>
  <c r="I36" i="57" a="1"/>
  <c r="AB25" i="57" l="1"/>
  <c r="H36" i="57"/>
  <c r="I36" i="57"/>
  <c r="S25" i="57"/>
  <c r="H35" i="57" l="1"/>
  <c r="H37" i="57" l="1"/>
  <c r="I37" i="5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<sst xmlns="http://schemas.openxmlformats.org/spreadsheetml/2006/main" count="3945" uniqueCount="338">
  <si>
    <t>Energex</t>
  </si>
  <si>
    <t>Distribution zone</t>
  </si>
  <si>
    <t>Ausgrid</t>
  </si>
  <si>
    <t>Essential</t>
  </si>
  <si>
    <t>Endeavour</t>
  </si>
  <si>
    <t>SAPN</t>
  </si>
  <si>
    <t>Residential</t>
  </si>
  <si>
    <t>Contents</t>
  </si>
  <si>
    <t>Index</t>
  </si>
  <si>
    <t>S. No.</t>
  </si>
  <si>
    <t>Customer type</t>
  </si>
  <si>
    <t>Tariff type</t>
  </si>
  <si>
    <t>Flat rate with CL</t>
  </si>
  <si>
    <t>Small business</t>
  </si>
  <si>
    <t>CL1</t>
  </si>
  <si>
    <t>CL2</t>
  </si>
  <si>
    <t>CL</t>
  </si>
  <si>
    <t>Summary</t>
  </si>
  <si>
    <t>&lt;&lt;Back to Index</t>
  </si>
  <si>
    <t>Flat rate</t>
  </si>
  <si>
    <t>Change</t>
  </si>
  <si>
    <t>Cost</t>
  </si>
  <si>
    <t>Tariff</t>
  </si>
  <si>
    <t>Proportion</t>
  </si>
  <si>
    <t>Usage</t>
  </si>
  <si>
    <t>kWh/yr</t>
  </si>
  <si>
    <t>Units</t>
  </si>
  <si>
    <t>%</t>
  </si>
  <si>
    <t>Value</t>
  </si>
  <si>
    <t>Assumption</t>
  </si>
  <si>
    <t>CPI</t>
  </si>
  <si>
    <t>Days in year</t>
  </si>
  <si>
    <t>Description</t>
  </si>
  <si>
    <t>Yes</t>
  </si>
  <si>
    <t>No</t>
  </si>
  <si>
    <t>Yes/No</t>
  </si>
  <si>
    <t>Customer</t>
  </si>
  <si>
    <t>Distribution zones</t>
  </si>
  <si>
    <t>GST</t>
  </si>
  <si>
    <t>TOU</t>
  </si>
  <si>
    <t>Flat rate without CL</t>
  </si>
  <si>
    <t>Base year</t>
  </si>
  <si>
    <t>Determination year</t>
  </si>
  <si>
    <t>Index assessment</t>
  </si>
  <si>
    <t>$/MWh</t>
  </si>
  <si>
    <t>$</t>
  </si>
  <si>
    <t>Fixed</t>
  </si>
  <si>
    <t>Variable</t>
  </si>
  <si>
    <t>Annual usage (kWh)</t>
  </si>
  <si>
    <t>% change</t>
  </si>
  <si>
    <t>Contribution 
to change</t>
  </si>
  <si>
    <t>Controlled load usage (kWh)</t>
  </si>
  <si>
    <t>Flat rate usage (kWh)</t>
  </si>
  <si>
    <t>kWh</t>
  </si>
  <si>
    <t>% y-o-y check</t>
  </si>
  <si>
    <t>Total</t>
  </si>
  <si>
    <t>CL1 Proportion</t>
  </si>
  <si>
    <t>NUOS</t>
  </si>
  <si>
    <t>x-factor</t>
  </si>
  <si>
    <t>NA</t>
  </si>
  <si>
    <t>Rate of change</t>
  </si>
  <si>
    <t>ACS</t>
  </si>
  <si>
    <t>Network cost</t>
  </si>
  <si>
    <t>Wholesale cost</t>
  </si>
  <si>
    <t>Environmental cost</t>
  </si>
  <si>
    <t>Network Cost</t>
  </si>
  <si>
    <t>Description2</t>
  </si>
  <si>
    <t>DMO price</t>
  </si>
  <si>
    <t>$ pa</t>
  </si>
  <si>
    <t>Overall change in costs (%)</t>
  </si>
  <si>
    <t>WEC</t>
  </si>
  <si>
    <t>Ancillary</t>
  </si>
  <si>
    <t>RERT</t>
  </si>
  <si>
    <t>Losses</t>
  </si>
  <si>
    <t>LRET</t>
  </si>
  <si>
    <t>SRES</t>
  </si>
  <si>
    <t>ESS</t>
  </si>
  <si>
    <t>Small Business</t>
  </si>
  <si>
    <t>NEM fee</t>
  </si>
  <si>
    <t>REES</t>
  </si>
  <si>
    <t>Total inc GST</t>
  </si>
  <si>
    <t>Wholesale Cost</t>
  </si>
  <si>
    <t>Environmental Cost</t>
  </si>
  <si>
    <t>DMO Price</t>
  </si>
  <si>
    <t>Click on each box to go to the sheet</t>
  </si>
  <si>
    <t>Tariff level 1</t>
  </si>
  <si>
    <t>Tariff level 2</t>
  </si>
  <si>
    <t>Tariff level 3</t>
  </si>
  <si>
    <t>All costs excl GST</t>
  </si>
  <si>
    <t>CL2 Proportion</t>
  </si>
  <si>
    <t>Note: DMO prices have been rounded to the nearest integer</t>
  </si>
  <si>
    <t>Cost stacks</t>
  </si>
  <si>
    <t>Detail inputs</t>
  </si>
  <si>
    <t>Key inputs</t>
  </si>
  <si>
    <t>Structure</t>
  </si>
  <si>
    <t>Model Structure and Acronyms</t>
  </si>
  <si>
    <t>Network Use of System</t>
  </si>
  <si>
    <t>Alternative Control Services</t>
  </si>
  <si>
    <t>Wholesale Energy Cost</t>
  </si>
  <si>
    <t>Ancillary Charges</t>
  </si>
  <si>
    <t>ECA</t>
  </si>
  <si>
    <t>FRC</t>
  </si>
  <si>
    <t>NTP</t>
  </si>
  <si>
    <t>Full Retail Contestability</t>
  </si>
  <si>
    <t>National Transmission Planner</t>
  </si>
  <si>
    <t>Prudential fee</t>
  </si>
  <si>
    <t>RPP</t>
  </si>
  <si>
    <t>DLF</t>
  </si>
  <si>
    <t>MLF</t>
  </si>
  <si>
    <t>Network losses, combined loss factor of DLF and MLF</t>
  </si>
  <si>
    <t>Renewable Power Percentage</t>
  </si>
  <si>
    <t>Large-scale Renewable Energy Target</t>
  </si>
  <si>
    <t>Small-scale Renewable Energy Scheme</t>
  </si>
  <si>
    <t>Retail Energy Efficiency Scheme (South Australia)</t>
  </si>
  <si>
    <t>Energy Savings Scheme (New South Wales)</t>
  </si>
  <si>
    <t>Controlled Load</t>
  </si>
  <si>
    <t>Time Of Use</t>
  </si>
  <si>
    <t>DMO</t>
  </si>
  <si>
    <t>Default Market Offer</t>
  </si>
  <si>
    <t>MWh</t>
  </si>
  <si>
    <t>Mega Watt hour</t>
  </si>
  <si>
    <t>pa</t>
  </si>
  <si>
    <t>per annum</t>
  </si>
  <si>
    <t>All prices inc GST</t>
  </si>
  <si>
    <t>Key Inputs and Assumptions</t>
  </si>
  <si>
    <t>General inputs</t>
  </si>
  <si>
    <t>Determination</t>
  </si>
  <si>
    <t>without CL</t>
  </si>
  <si>
    <t>with CL</t>
  </si>
  <si>
    <t>All prices and costs incl GST</t>
  </si>
  <si>
    <t>All cell values that are to be updated in blue</t>
  </si>
  <si>
    <t>List of acronyms</t>
  </si>
  <si>
    <t>APP</t>
  </si>
  <si>
    <t>Annual Pricing Proposal</t>
  </si>
  <si>
    <t>Change y-o-y</t>
  </si>
  <si>
    <t>Prudential</t>
  </si>
  <si>
    <t>Reliability and Emergency Reserve Trader</t>
  </si>
  <si>
    <t>Energy Consumers Australia</t>
  </si>
  <si>
    <t>Residential without CL</t>
  </si>
  <si>
    <t>Residential with CL</t>
  </si>
  <si>
    <t>Small business without CL</t>
  </si>
  <si>
    <t>Residential without Controlled Load</t>
  </si>
  <si>
    <t>National Electricity Market fees, which includes AEMO, ECA, FRC and NTP fees</t>
  </si>
  <si>
    <t>Distribution Loss Factor</t>
  </si>
  <si>
    <t>Marginal Loss Factor</t>
  </si>
  <si>
    <t>for annual usage of</t>
  </si>
  <si>
    <t>Overview</t>
  </si>
  <si>
    <t>Index Assessment to Determine DMO Prices</t>
  </si>
  <si>
    <t>Cost Calculations for DMO Prices</t>
  </si>
  <si>
    <t>Inputs and Assumptions</t>
  </si>
  <si>
    <t>Section 1: Overview</t>
  </si>
  <si>
    <t>By distribution zone</t>
  </si>
  <si>
    <t>Section 4: Cost Calculations for DMO Prices</t>
  </si>
  <si>
    <t>By cost type</t>
  </si>
  <si>
    <t>Section 5: Inputs and Assumptions</t>
  </si>
  <si>
    <t>By tariff type</t>
  </si>
  <si>
    <t>Base</t>
  </si>
  <si>
    <t>$/yr</t>
  </si>
  <si>
    <t>CL1 %</t>
  </si>
  <si>
    <t>CL2 %</t>
  </si>
  <si>
    <t>Contribution to change</t>
  </si>
  <si>
    <t>Source</t>
  </si>
  <si>
    <t>Section 2: Cost Stacks with Changes in Underlying Costs</t>
  </si>
  <si>
    <t>Cost Stacks with Changes in Underlying Costs</t>
  </si>
  <si>
    <t>PDRS</t>
  </si>
  <si>
    <t>REPS</t>
  </si>
  <si>
    <t>Directions</t>
  </si>
  <si>
    <t>Bad and doubtful debt</t>
  </si>
  <si>
    <t>Retail cost</t>
  </si>
  <si>
    <t>Retail Cost</t>
  </si>
  <si>
    <t>CPI adjustment</t>
  </si>
  <si>
    <t>Section 3: Zonal cost assessment to Determine DMO Prices</t>
  </si>
  <si>
    <t>EA010</t>
  </si>
  <si>
    <t>N70</t>
  </si>
  <si>
    <t>N50</t>
  </si>
  <si>
    <t>N54</t>
  </si>
  <si>
    <t>N90</t>
  </si>
  <si>
    <t>BLNN2AU</t>
  </si>
  <si>
    <t>BLNC1AU</t>
  </si>
  <si>
    <t>BLNC2AU</t>
  </si>
  <si>
    <t>BLNN1AU</t>
  </si>
  <si>
    <t>BSR</t>
  </si>
  <si>
    <t>EA030</t>
  </si>
  <si>
    <t>EA040</t>
  </si>
  <si>
    <t>EA050</t>
  </si>
  <si>
    <t>Tariff Code</t>
  </si>
  <si>
    <t>RSR</t>
  </si>
  <si>
    <t>Change y-o-y (real)</t>
  </si>
  <si>
    <t xml:space="preserve"> </t>
  </si>
  <si>
    <t>June 2022 Event Cost</t>
  </si>
  <si>
    <t>Peak Demand Reduction Scheme (NSW)</t>
  </si>
  <si>
    <t>Year on Year</t>
  </si>
  <si>
    <t>kilo Watt hour</t>
  </si>
  <si>
    <t>AEMO</t>
  </si>
  <si>
    <t>Australian Energy Market Operator</t>
  </si>
  <si>
    <t>y-o-y</t>
  </si>
  <si>
    <t>Goods and Services Tax</t>
  </si>
  <si>
    <t>Consumer Price Index</t>
  </si>
  <si>
    <t>Ausgrid Group, NSW electricity distributor, owned by NSW Government and a consortium consisting of fund manager IFM Investors, AustralianSuper and Netherlands based APG Asset Management Group</t>
  </si>
  <si>
    <t xml:space="preserve">Endeavour Energy, NSW electricity distributor, owned by NSW Government  </t>
  </si>
  <si>
    <t xml:space="preserve">Essential Energy, NSW electricity distributor, owned by NSW Government </t>
  </si>
  <si>
    <t>Energex, South-East Queensland electricity distributor, owned by Enegy Queensland Limited which is a Government owned entity</t>
  </si>
  <si>
    <t>SA Power Networks, South Australian electricty distributor, owned by the Hong Kong-based Cheung Kong Infrastructure Holdings and Spark Infrastructure</t>
  </si>
  <si>
    <t>Retail Energy Productivity Scheme (South Australia)</t>
  </si>
  <si>
    <t>2024-25</t>
  </si>
  <si>
    <t>non-leap year</t>
  </si>
  <si>
    <t>REZ</t>
  </si>
  <si>
    <t>Smart meter capital allowance</t>
  </si>
  <si>
    <t>Network tariff code</t>
  </si>
  <si>
    <t xml:space="preserve">Residential Single Rate RSR (SR) </t>
  </si>
  <si>
    <t>Retail margin</t>
  </si>
  <si>
    <t>CPI fct 1/06/2024</t>
  </si>
  <si>
    <t>CPI fct 1/06/2025</t>
  </si>
  <si>
    <t>Distribution Region</t>
  </si>
  <si>
    <t>Cost stack component</t>
  </si>
  <si>
    <t>inc GST</t>
  </si>
  <si>
    <t>margin</t>
  </si>
  <si>
    <t>$ diff</t>
  </si>
  <si>
    <t>% diff</t>
  </si>
  <si>
    <t>Note: Table may not add due to rounding</t>
  </si>
  <si>
    <t>Endeavour Energy</t>
  </si>
  <si>
    <t>Essential Energy</t>
  </si>
  <si>
    <t>SA Power Networks</t>
  </si>
  <si>
    <t>▲</t>
  </si>
  <si>
    <t>▼ ▲</t>
  </si>
  <si>
    <t>▼</t>
  </si>
  <si>
    <t>Default market offer (DMO)</t>
  </si>
  <si>
    <t>Wholesale cost component</t>
  </si>
  <si>
    <t>Network cost component</t>
  </si>
  <si>
    <t>Environmental cost component</t>
  </si>
  <si>
    <t>Retail cost component</t>
  </si>
  <si>
    <t>Retail margin component</t>
  </si>
  <si>
    <t>Residential with Controlled Load</t>
  </si>
  <si>
    <t>Small business without Controlled Load</t>
  </si>
  <si>
    <t>Based on 75th percentile WEC</t>
  </si>
  <si>
    <t>Summary Detailed</t>
  </si>
  <si>
    <t>Summary Chart</t>
  </si>
  <si>
    <t>2025-26</t>
  </si>
  <si>
    <t>Days in last year</t>
  </si>
  <si>
    <t>CPI fct 1/06/2026</t>
  </si>
  <si>
    <t>RBA forecast for the two years ending Jun 2025 (May-2024)</t>
  </si>
  <si>
    <t>Final determination DMO 6 2024-25</t>
  </si>
  <si>
    <t>DMO 2024-25 Final Determination</t>
  </si>
  <si>
    <t>DMO 2025-26 Draft Determination</t>
  </si>
  <si>
    <t>ACCC Electricity Inquiry December 2023 Report, Supplementary Table C8.1B, Appendix C</t>
  </si>
  <si>
    <t>ACCC Electricity Inquiry December 2023 Report, Supplementary Table C8.10, Appendix C</t>
  </si>
  <si>
    <t>ACCC Electricity Inquiry December 2023 Report, Supplementary Table C4.3A, Appendix C</t>
  </si>
  <si>
    <t>AER analysis of retailer submissions, October 2024</t>
  </si>
  <si>
    <t>ARE analysis of retailer submissions, October 2024</t>
  </si>
  <si>
    <t>N/A</t>
  </si>
  <si>
    <t>ACCC Electricity Inquiry December 2023 Report, Supplementary Table C8.14, Appendix C</t>
  </si>
  <si>
    <t>ACCC Electricity Inquiry December 2023 Report, Supplementary Table C8.16, Appendix C</t>
  </si>
  <si>
    <t>ACCC Electricity Inquiry December 2023 Report, Supplementary Table C8.17, Appendix C</t>
  </si>
  <si>
    <t>ACIL Allen, Wholesale energy and environmental cost estimates for DMO 6 Final Determination, Table 4.4</t>
  </si>
  <si>
    <t>ACIL Allen, Wholesale energy and environmental cost estimates for DMO 6 Final Determination, Table 4.7</t>
  </si>
  <si>
    <t>ACIL Allen, Wholesale energy and environmental cost estimates for DMO 6 Final Determination, Table 4.8</t>
  </si>
  <si>
    <t>ACIL Allen, Wholesale energy and environmental cost estimates for DMO 6 Final Determination, Table 4.10</t>
  </si>
  <si>
    <t>ACIL Allen, Wholesale energy and environmental cost estimates for DMO 6 Final Determination, Table 4.11</t>
  </si>
  <si>
    <t>ACIL Allen, Wholesale energy and environmental cost estimates for DMO 6 Final Determination, Table 4.12</t>
  </si>
  <si>
    <t>ACIL Allen, Wholesale energy and environmental cost estimates for DMO 6 Final Determination, Table 4.13</t>
  </si>
  <si>
    <t>ACIL Allen, Wholesale energy and environmental cost estimates for DMO 6 Final Determination, Table 4.27</t>
  </si>
  <si>
    <t>ACIL Allen, Wholesale energy and environmental cost estimates for DMO 6 Final Determination, Table 4.29</t>
  </si>
  <si>
    <t>ACIL Allen, Wholesale energy and environmental cost estimates for DMO 6 Final Determination, Table 4.30</t>
  </si>
  <si>
    <t>ACIL Allen, Wholesale energy and environmental cost estimates for DMO 6 Final Determination, Table 4.31</t>
  </si>
  <si>
    <t>ACIL Allen, Wholesale energy and environmental cost estimates for DMO 6 Final Determination, Table 4.28</t>
  </si>
  <si>
    <t>ACIL Allen, Wholesale energy and environmental cost estimates for DMO 6 Final Determination, Table 4.32</t>
  </si>
  <si>
    <t>ACIL Allen, Wholesale energy and environmental cost estimates for DMO 6 Final Determination, Table 4.33</t>
  </si>
  <si>
    <t>ACIL Allen, Wholesale energy and environmental cost estimates for DMO 6 Final Determination, Section 4.4.6</t>
  </si>
  <si>
    <t>ACIL Allen, Wholesale energy and environmental cost estimates for DMO 6 Final Determination, Section 4.3.6</t>
  </si>
  <si>
    <t>ACIL Allen, Wholesale energy and environmental cost estimates for DMO 6 Final Determination, Table 4.4 &amp; Table 4.5 (AER mid-point adjustment)</t>
  </si>
  <si>
    <t>Retail operating cost</t>
  </si>
  <si>
    <t>DMO 6 Price</t>
  </si>
  <si>
    <t>DMO 6, 7</t>
  </si>
  <si>
    <t>RBA forecast for the two years ending Jun 2026 (Feb-2025)</t>
  </si>
  <si>
    <t>Draft Determination DMO 7 2025-26</t>
  </si>
  <si>
    <t>Difference from DMO 6 to Draft DMO 7</t>
  </si>
  <si>
    <t>Default Market Offer 7 (DMO 7)</t>
  </si>
  <si>
    <t>Smart meter cost</t>
  </si>
  <si>
    <t>Final Determination DMO 7 2025-26</t>
  </si>
  <si>
    <t>Difference from Draft DMO 7 to Final DMO 7</t>
  </si>
  <si>
    <t>Y-o-Y Difference</t>
  </si>
  <si>
    <t>Final</t>
  </si>
  <si>
    <t>Residential Single Rate RSR (controlled load)</t>
  </si>
  <si>
    <t>Cost inputs - network costs</t>
  </si>
  <si>
    <t>Retailer Metering Counts and Costs Voluntary Information Request – April 2024</t>
  </si>
  <si>
    <t>Retailer Metering Counts and Costs Voluntary Information Request – April 2025</t>
  </si>
  <si>
    <t>Energex - 2024-25 annual SCS pricing model - 28 March 2024</t>
  </si>
  <si>
    <t>Energex - 2024-25 annual ACS pricing model - 28 March 2024</t>
  </si>
  <si>
    <t>AER, Consolidated stakeholder report 2025-26, Ausgrid 2025-26 network prices</t>
  </si>
  <si>
    <t>AER, Consolidated stakeholder report 2025-26, Ausgrid 2025-26 metering prices</t>
  </si>
  <si>
    <t>AER, Consolidated stakeholder report 2025-26, Endeavour Energy 2025-26 network prices</t>
  </si>
  <si>
    <t>AER, Consolidated stakeholder report 2025-26, Endeavour Energy 2025-26 metering prices</t>
  </si>
  <si>
    <t>AER, Consolidated stakeholder report 2025-26, Essential Energy 2025-26 metering prices</t>
  </si>
  <si>
    <t>AER, Consolidated stakeholder report 2025-26, Essential Energy 2025-26 network prices</t>
  </si>
  <si>
    <t>AER, Consolidated stakeholder report 2025-26, Energex 2025-26 network prices</t>
  </si>
  <si>
    <t>AER, Consolidated stakeholder report 2025-26, Energex 2025-26 metering prices</t>
  </si>
  <si>
    <t>AER, Consolidated stakeholder report 2025-26, SAPN 2025-26 network prices</t>
  </si>
  <si>
    <t>AER, Consolidated stakeholder report 2025-26, SAPN 2025-26 metering prices</t>
  </si>
  <si>
    <t>Essential Energy - 2024-25 SCS pricing model - 20 May 2024</t>
  </si>
  <si>
    <t>Essential Energy - 2024-25 ACS pricing model - 20 May 2024</t>
  </si>
  <si>
    <t>SA Power Networks - 2024-25 annual SCS pricing model -19 April 2024</t>
  </si>
  <si>
    <t>Ausgrid - 2024-25 annual SCS pricing model -15 May 2024</t>
  </si>
  <si>
    <t>Ausgrid - 2024-25 ACS pricing model - 15 May 2024</t>
  </si>
  <si>
    <t>Endeavour Energy - 2024-25 annual SCS pricing model -16 May 2024</t>
  </si>
  <si>
    <t>Endeavour Energy - 2024-25 annual ACS pricing model - 16 May 2024</t>
  </si>
  <si>
    <t>SA Power Networks - 2024-25 ACS pricing model - 19 April 2024</t>
  </si>
  <si>
    <t>ACIL Allen, Wholesale energy and environmental cost estimates for DMO 7 Final Determination, Table 4.4</t>
  </si>
  <si>
    <t xml:space="preserve">Residential flat - EA010 </t>
  </si>
  <si>
    <t>Controlled Load 1 – EA030</t>
  </si>
  <si>
    <t>Controlled Load 2 – EA040</t>
  </si>
  <si>
    <t>Small business flat – EA050</t>
  </si>
  <si>
    <t>Residential Flat – N70</t>
  </si>
  <si>
    <t xml:space="preserve">Controlled Load 1 – N50 </t>
  </si>
  <si>
    <t xml:space="preserve">Controlled Load 2  – N54 </t>
  </si>
  <si>
    <t xml:space="preserve">General Supply Block  – N90 </t>
  </si>
  <si>
    <t>LV Residential Anytime –BLNN2AU</t>
  </si>
  <si>
    <t>LV Controlled Load 1 – BLNC1AU</t>
  </si>
  <si>
    <t>LV Controlled Load 2 – BLNC2AU</t>
  </si>
  <si>
    <t>LV Small Business Anytime – BLNN1AU</t>
  </si>
  <si>
    <t>Residential Flat – SAC8400</t>
  </si>
  <si>
    <t xml:space="preserve">Controlled Load 1 (Super Economy) – SAC9000 </t>
  </si>
  <si>
    <t>Controlled Load 2 (Economy) – SAC9100</t>
  </si>
  <si>
    <t>Small Business Flat – SAC8500</t>
  </si>
  <si>
    <t>Business Single Rate – BSR</t>
  </si>
  <si>
    <t>ACIL Allen, Wholesale energy and environmental cost estimates for DMO 7 Final Determination, Table 4.13</t>
  </si>
  <si>
    <t>ACIL Allen, Wholesale energy and environmental cost estimates for DMO 7 Final Determination, Table 4.12</t>
  </si>
  <si>
    <t>ACIL Allen, Wholesale energy and environmental cost estimates for DMO 7 Final Determination, Table 4.29</t>
  </si>
  <si>
    <t>ACIL Allen, Wholesale energy and environmental cost estimates for DMO 7 Final Determination, Table 4.27</t>
  </si>
  <si>
    <t>ACIL Allen, Wholesale energy and environmental cost estimates for DMO 7 Final Determination, Table 4.9</t>
  </si>
  <si>
    <t>ACIL Allen, Wholesale energy and environmental cost estimates for DMO 7 Final Determination, Table 4.10</t>
  </si>
  <si>
    <t>ACIL Allen, Wholesale energy and environmental cost estimates for DMO 7 Final Determination, Table 4.33</t>
  </si>
  <si>
    <t>ACIL Allen, Wholesale energy and environmental cost estimates for DMO 7 Final Determination, Table 4.30</t>
  </si>
  <si>
    <t>ACIL Allen, Wholesale energy and environmental cost estimates for DMO 7 Final Determination, Table 4.31</t>
  </si>
  <si>
    <t>ACIL Allen, Wholesale energy and environmental cost estimates for DMO 7 Final Determination, Table 4.28</t>
  </si>
  <si>
    <t>ACIL Allen, Wholesale energy and environmental cost estimates for DMO 7 Final Determination, Table 4.32</t>
  </si>
  <si>
    <t>ACIL Allen, Wholesale energy and environmental cost estimates for DMO 7 Final Determination, Table 4.11</t>
  </si>
  <si>
    <t>ACIL Allen, Wholesale energy and environmental cost estimates for DMO 7 Final Determination, Section 4.3</t>
  </si>
  <si>
    <t>Small Business without Controlled 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</si>
</sst>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0.0"/>
    <numFmt numFmtId="169" formatCode="0.0%"/>
    <numFmt numFmtId="170" formatCode="&quot;$&quot;#,##0"/>
    <numFmt numFmtId="171" formatCode="#,##0.0"/>
    <numFmt numFmtId="172" formatCode="\+&quot;$&quot;0;\-&quot;$&quot;0;&quot;$&quot;0"/>
    <numFmt numFmtId="173" formatCode="\+0.00%;\-0.00%;0.00%"/>
    <numFmt numFmtId="174" formatCode="0.000000"/>
    <numFmt numFmtId="175" formatCode="_-* #,##0_-;[Red]\(#,##0\)_-;_-* &quot;-&quot;??_-;_-@_-"/>
    <numFmt numFmtId="176" formatCode="#,##0.0000"/>
    <numFmt numFmtId="177" formatCode="#,##0.00000"/>
    <numFmt numFmtId="178" formatCode="0.0000%"/>
    <numFmt numFmtId="179" formatCode="#,##0.0%;\-#,##0.0%"/>
    <numFmt numFmtId="180" formatCode="\+#,##0.0%;\-#,##0.0%"/>
    <numFmt numFmtId="181" formatCode="&quot;$&quot;#,##0.00"/>
    <numFmt numFmtId="182" formatCode="\+&quot;$&quot;0.00;\-&quot;$&quot;0.00;&quot;$&quot;0.00"/>
    <numFmt numFmtId="183" formatCode="#,##0.000"/>
    <numFmt numFmtId="184" formatCode="\+#,##0.0;\-#,##0.0"/>
    <numFmt numFmtId="185" formatCode="#,##0.0%;[Red]\-#,##0.0%"/>
    <numFmt numFmtId="186" formatCode="&quot;$&quot;#,##0.000"/>
  </numFmts>
  <fonts count="87" x14ac:knownFonts="1">
    <font>
      <sz val="11"/>
      <color theme="1"/>
      <name val="Calibri"/>
      <family val="2"/>
      <scheme val="minor"/>
    </font>
    <font>
      <b/>
      <sz val="11"/>
      <color theme="0"/>
      <name val="Calibri"/>
      <family val="2"/>
      <scheme val="minor"/>
    </font>
    <font>
      <b/>
      <sz val="11"/>
      <color theme="1"/>
      <name val="Calibri"/>
      <family val="2"/>
      <scheme val="minor"/>
    </font>
    <font>
      <sz val="10"/>
      <color rgb="FF000000"/>
      <name val="Times New Roman"/>
      <family val="1"/>
    </font>
    <font>
      <sz val="10"/>
      <color theme="1"/>
      <name val="Arial"/>
      <family val="2"/>
    </font>
    <font>
      <b/>
      <sz val="10"/>
      <color theme="1"/>
      <name val="Arial"/>
      <family val="2"/>
    </font>
    <font>
      <u/>
      <sz val="11"/>
      <color theme="10"/>
      <name val="Calibri"/>
      <family val="2"/>
      <scheme val="minor"/>
    </font>
    <font>
      <b/>
      <sz val="28"/>
      <color theme="1"/>
      <name val="Calibri"/>
      <family val="2"/>
      <scheme val="minor"/>
    </font>
    <font>
      <b/>
      <sz val="18"/>
      <color theme="1"/>
      <name val="Calibri"/>
      <family val="2"/>
      <scheme val="minor"/>
    </font>
    <font>
      <b/>
      <sz val="12"/>
      <color rgb="FF076A92"/>
      <name val="Arial"/>
      <family val="2"/>
    </font>
    <font>
      <b/>
      <sz val="14"/>
      <color theme="1"/>
      <name val="Calibri"/>
      <family val="2"/>
      <scheme val="minor"/>
    </font>
    <font>
      <b/>
      <sz val="14"/>
      <color theme="1"/>
      <name val="Arial"/>
      <family val="2"/>
    </font>
    <font>
      <u/>
      <sz val="8"/>
      <color theme="10"/>
      <name val="Calibri"/>
      <family val="2"/>
      <scheme val="minor"/>
    </font>
    <font>
      <sz val="11"/>
      <color theme="1"/>
      <name val="Calibri"/>
      <family val="2"/>
      <scheme val="minor"/>
    </font>
    <font>
      <b/>
      <sz val="11"/>
      <color rgb="FFFF0000"/>
      <name val="Calibri"/>
      <family val="2"/>
      <scheme val="minor"/>
    </font>
    <font>
      <b/>
      <sz val="10"/>
      <color theme="0"/>
      <name val="Calibri"/>
      <family val="2"/>
      <scheme val="minor"/>
    </font>
    <font>
      <sz val="10"/>
      <color rgb="FF076A92"/>
      <name val="Calibri"/>
      <family val="2"/>
      <scheme val="minor"/>
    </font>
    <font>
      <b/>
      <sz val="12"/>
      <color theme="1"/>
      <name val="Calibri"/>
      <family val="2"/>
      <scheme val="minor"/>
    </font>
    <font>
      <sz val="11"/>
      <color rgb="FFFFFF00"/>
      <name val="Calibri"/>
      <family val="2"/>
      <scheme val="minor"/>
    </font>
    <font>
      <b/>
      <sz val="11"/>
      <color theme="1" tint="0.34998626667073579"/>
      <name val="Calibri"/>
      <family val="2"/>
      <scheme val="minor"/>
    </font>
    <font>
      <b/>
      <sz val="10"/>
      <color rgb="FF076A92"/>
      <name val="Calibri"/>
      <family val="2"/>
      <scheme val="minor"/>
    </font>
    <font>
      <b/>
      <sz val="12"/>
      <color rgb="FF076A92"/>
      <name val="Calibri"/>
      <family val="2"/>
      <scheme val="minor"/>
    </font>
    <font>
      <sz val="12"/>
      <color theme="1"/>
      <name val="Calibri"/>
      <family val="2"/>
      <scheme val="minor"/>
    </font>
    <font>
      <b/>
      <sz val="16"/>
      <color theme="0"/>
      <name val="Calibri"/>
      <family val="2"/>
      <scheme val="minor"/>
    </font>
    <font>
      <b/>
      <sz val="10"/>
      <name val="Calibri"/>
      <family val="2"/>
      <scheme val="minor"/>
    </font>
    <font>
      <sz val="10"/>
      <name val="Calibri"/>
      <family val="2"/>
      <scheme val="minor"/>
    </font>
    <font>
      <sz val="11"/>
      <color rgb="FF076A92"/>
      <name val="Calibri"/>
      <family val="2"/>
      <scheme val="minor"/>
    </font>
    <font>
      <b/>
      <sz val="10"/>
      <color theme="1" tint="0.34998626667073579"/>
      <name val="Calibri"/>
      <family val="2"/>
      <scheme val="minor"/>
    </font>
    <font>
      <sz val="11"/>
      <name val="Calibri"/>
      <family val="2"/>
      <scheme val="minor"/>
    </font>
    <font>
      <sz val="11"/>
      <color theme="0"/>
      <name val="Calibri"/>
      <family val="2"/>
      <scheme val="minor"/>
    </font>
    <font>
      <b/>
      <sz val="11"/>
      <name val="Calibri"/>
      <family val="2"/>
      <scheme val="minor"/>
    </font>
    <font>
      <b/>
      <sz val="12"/>
      <color theme="0"/>
      <name val="Calibri"/>
      <family val="2"/>
      <scheme val="minor"/>
    </font>
    <font>
      <b/>
      <sz val="10"/>
      <color theme="0" tint="-0.14999847407452621"/>
      <name val="Calibri"/>
      <family val="2"/>
      <scheme val="minor"/>
    </font>
    <font>
      <u/>
      <sz val="10"/>
      <color theme="10"/>
      <name val="Arial"/>
      <family val="2"/>
    </font>
    <font>
      <i/>
      <sz val="8"/>
      <color theme="1" tint="0.499984740745262"/>
      <name val="Calibri"/>
      <family val="2"/>
      <scheme val="minor"/>
    </font>
    <font>
      <i/>
      <sz val="9"/>
      <color theme="1"/>
      <name val="Calibri"/>
      <family val="2"/>
      <scheme val="minor"/>
    </font>
    <font>
      <i/>
      <sz val="9"/>
      <color theme="1" tint="0.499984740745262"/>
      <name val="Calibri"/>
      <family val="2"/>
      <scheme val="minor"/>
    </font>
    <font>
      <b/>
      <sz val="11"/>
      <color theme="4" tint="0.59999389629810485"/>
      <name val="Calibri"/>
      <family val="2"/>
      <scheme val="minor"/>
    </font>
    <font>
      <i/>
      <sz val="9"/>
      <color theme="1" tint="0.34998626667073579"/>
      <name val="Calibri"/>
      <family val="2"/>
      <scheme val="minor"/>
    </font>
    <font>
      <sz val="11"/>
      <color rgb="FF0070C0"/>
      <name val="Calibri"/>
      <family val="2"/>
      <scheme val="minor"/>
    </font>
    <font>
      <sz val="8"/>
      <color theme="1"/>
      <name val="Calibri"/>
      <family val="2"/>
      <scheme val="minor"/>
    </font>
    <font>
      <i/>
      <sz val="9"/>
      <name val="Calibri"/>
      <family val="2"/>
      <scheme val="minor"/>
    </font>
    <font>
      <i/>
      <sz val="11"/>
      <color theme="0" tint="-4.9989318521683403E-2"/>
      <name val="Calibri"/>
      <family val="2"/>
      <scheme val="minor"/>
    </font>
    <font>
      <i/>
      <sz val="10"/>
      <color theme="0" tint="-4.9989318521683403E-2"/>
      <name val="Calibri"/>
      <family val="2"/>
      <scheme val="minor"/>
    </font>
    <font>
      <i/>
      <sz val="8"/>
      <color indexed="55" tint="-0.249977111117893"/>
      <name val="Calibri"/>
      <family val="2"/>
      <scheme val="minor"/>
    </font>
    <font>
      <b/>
      <sz val="10"/>
      <color theme="9" tint="-0.249977111117893"/>
      <name val="Calibri"/>
      <family val="2"/>
      <scheme val="minor"/>
    </font>
    <font>
      <b/>
      <sz val="11"/>
      <color theme="9" tint="-0.249977111117893"/>
      <name val="Calibri"/>
      <family val="2"/>
      <scheme val="minor"/>
    </font>
    <font>
      <i/>
      <sz val="11"/>
      <color theme="0" tint="-0.34998626667073579"/>
      <name val="Calibri"/>
      <family val="2"/>
      <scheme val="minor"/>
    </font>
    <font>
      <i/>
      <sz val="9"/>
      <color rgb="FF0070C0"/>
      <name val="Calibri"/>
      <family val="2"/>
      <scheme val="minor"/>
    </font>
    <font>
      <sz val="11"/>
      <color theme="0" tint="-4.9989318521683403E-2"/>
      <name val="Calibri"/>
      <family val="2"/>
      <scheme val="minor"/>
    </font>
    <font>
      <sz val="11"/>
      <color rgb="FFFF0000"/>
      <name val="Calibri"/>
      <family val="2"/>
      <scheme val="minor"/>
    </font>
    <font>
      <sz val="9"/>
      <name val="Calibri"/>
      <family val="2"/>
      <scheme val="minor"/>
    </font>
    <font>
      <sz val="11"/>
      <color rgb="FF00B050"/>
      <name val="Calibri"/>
      <family val="2"/>
      <scheme val="minor"/>
    </font>
    <font>
      <sz val="8"/>
      <name val="Calibri"/>
      <family val="2"/>
      <scheme val="minor"/>
    </font>
    <font>
      <b/>
      <i/>
      <sz val="10"/>
      <color theme="1" tint="0.34998626667073579"/>
      <name val="Calibri"/>
      <family val="2"/>
      <scheme val="minor"/>
    </font>
    <font>
      <sz val="18"/>
      <color theme="3"/>
      <name val="Cambria"/>
      <family val="2"/>
      <scheme val="major"/>
    </font>
    <font>
      <sz val="10"/>
      <color theme="1"/>
      <name val="Calibri"/>
      <family val="2"/>
      <scheme val="minor"/>
    </font>
    <font>
      <sz val="10"/>
      <color theme="1"/>
      <name val="Arial Narrow"/>
      <family val="2"/>
    </font>
    <font>
      <b/>
      <sz val="15"/>
      <color theme="3"/>
      <name val="Arial Narrow"/>
      <family val="2"/>
    </font>
    <font>
      <b/>
      <sz val="13"/>
      <color theme="3"/>
      <name val="Arial Narrow"/>
      <family val="2"/>
    </font>
    <font>
      <b/>
      <sz val="11"/>
      <color theme="3"/>
      <name val="Arial Narrow"/>
      <family val="2"/>
    </font>
    <font>
      <sz val="10"/>
      <color rgb="FF006100"/>
      <name val="Arial Narrow"/>
      <family val="2"/>
    </font>
    <font>
      <sz val="10"/>
      <color rgb="FF9C0006"/>
      <name val="Arial Narrow"/>
      <family val="2"/>
    </font>
    <font>
      <sz val="10"/>
      <color rgb="FF9C6500"/>
      <name val="Arial Narrow"/>
      <family val="2"/>
    </font>
    <font>
      <sz val="10"/>
      <color rgb="FF3F3F76"/>
      <name val="Arial Narrow"/>
      <family val="2"/>
    </font>
    <font>
      <b/>
      <sz val="10"/>
      <color rgb="FF3F3F3F"/>
      <name val="Arial Narrow"/>
      <family val="2"/>
    </font>
    <font>
      <b/>
      <sz val="10"/>
      <color rgb="FFFA7D00"/>
      <name val="Arial Narrow"/>
      <family val="2"/>
    </font>
    <font>
      <sz val="10"/>
      <color rgb="FFFA7D00"/>
      <name val="Arial Narrow"/>
      <family val="2"/>
    </font>
    <font>
      <b/>
      <sz val="10"/>
      <color theme="0"/>
      <name val="Arial Narrow"/>
      <family val="2"/>
    </font>
    <font>
      <sz val="10"/>
      <color rgb="FFFF0000"/>
      <name val="Arial Narrow"/>
      <family val="2"/>
    </font>
    <font>
      <i/>
      <sz val="10"/>
      <color rgb="FF7F7F7F"/>
      <name val="Arial Narrow"/>
      <family val="2"/>
    </font>
    <font>
      <b/>
      <sz val="10"/>
      <color theme="1"/>
      <name val="Arial Narrow"/>
      <family val="2"/>
    </font>
    <font>
      <sz val="10"/>
      <color theme="0"/>
      <name val="Arial Narrow"/>
      <family val="2"/>
    </font>
    <font>
      <b/>
      <sz val="11"/>
      <color rgb="FF0070C0"/>
      <name val="Calibri"/>
      <family val="2"/>
      <scheme val="minor"/>
    </font>
    <font>
      <sz val="10"/>
      <color theme="9" tint="-0.249977111117893"/>
      <name val="Calibri"/>
      <family val="2"/>
      <scheme val="minor"/>
    </font>
    <font>
      <sz val="11"/>
      <color theme="9" tint="-0.249977111117893"/>
      <name val="Calibri"/>
      <family val="2"/>
      <scheme val="minor"/>
    </font>
    <font>
      <i/>
      <sz val="11"/>
      <color theme="1"/>
      <name val="Calibri"/>
      <family val="2"/>
      <scheme val="minor"/>
    </font>
    <font>
      <i/>
      <sz val="11"/>
      <color rgb="FF0070C0"/>
      <name val="Calibri"/>
      <family val="2"/>
      <scheme val="minor"/>
    </font>
    <font>
      <i/>
      <sz val="10"/>
      <color theme="1"/>
      <name val="Calibri"/>
      <family val="2"/>
      <scheme val="minor"/>
    </font>
    <font>
      <i/>
      <sz val="10"/>
      <color theme="0"/>
      <name val="Calibri"/>
      <family val="2"/>
      <scheme val="minor"/>
    </font>
    <font>
      <i/>
      <sz val="10"/>
      <name val="Calibri"/>
      <family val="2"/>
      <scheme val="minor"/>
    </font>
    <font>
      <b/>
      <u/>
      <sz val="10"/>
      <color theme="1"/>
      <name val="Arial"/>
      <family val="2"/>
    </font>
    <font>
      <b/>
      <sz val="12"/>
      <color rgb="FFFF0000"/>
      <name val="Calibri"/>
      <family val="2"/>
      <scheme val="minor"/>
    </font>
    <font>
      <b/>
      <i/>
      <sz val="10"/>
      <name val="Calibri"/>
      <family val="2"/>
      <scheme val="minor"/>
    </font>
    <font>
      <sz val="11"/>
      <color theme="1" tint="0.499984740745262"/>
      <name val="Calibri"/>
      <family val="2"/>
      <scheme val="minor"/>
    </font>
    <font>
      <b/>
      <sz val="11"/>
      <color theme="1" tint="0.499984740745262"/>
      <name val="Calibri"/>
      <family val="2"/>
      <scheme val="minor"/>
    </font>
    <font>
      <b/>
      <sz val="10"/>
      <color rgb="FFFF0000"/>
      <name val="Calibri"/>
      <family val="2"/>
      <scheme val="minor"/>
    </font>
  </fonts>
  <fills count="4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76A92"/>
        <bgColor indexed="64"/>
      </patternFill>
    </fill>
    <fill>
      <patternFill patternType="solid">
        <fgColor theme="1" tint="0.34998626667073579"/>
        <bgColor indexed="64"/>
      </patternFill>
    </fill>
    <fill>
      <patternFill patternType="solid">
        <fgColor rgb="FF595959"/>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rgb="FFFFFFCC"/>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303F51"/>
        <bgColor indexed="64"/>
      </patternFill>
    </fill>
    <fill>
      <patternFill patternType="solid">
        <fgColor rgb="FFFFFFFF"/>
        <bgColor theme="0"/>
      </patternFill>
    </fill>
    <fill>
      <patternFill patternType="solid">
        <fgColor theme="0"/>
        <bgColor theme="0"/>
      </patternFill>
    </fill>
    <fill>
      <patternFill patternType="solid">
        <fgColor rgb="FFFFFF00"/>
        <bgColor indexed="64"/>
      </patternFill>
    </fill>
    <fill>
      <patternFill patternType="solid">
        <fgColor theme="2"/>
        <bgColor indexed="64"/>
      </patternFill>
    </fill>
  </fills>
  <borders count="55">
    <border>
      <left/>
      <right/>
      <top/>
      <bottom/>
      <diagonal/>
    </border>
    <border>
      <left/>
      <right/>
      <top/>
      <bottom style="thin">
        <color theme="0"/>
      </bottom>
      <diagonal/>
    </border>
    <border>
      <left/>
      <right/>
      <top/>
      <bottom style="thick">
        <color rgb="FF076A92"/>
      </bottom>
      <diagonal/>
    </border>
    <border>
      <left/>
      <right/>
      <top/>
      <bottom style="thick">
        <color theme="0"/>
      </bottom>
      <diagonal/>
    </border>
    <border>
      <left/>
      <right/>
      <top style="thin">
        <color theme="0"/>
      </top>
      <bottom/>
      <diagonal/>
    </border>
    <border>
      <left/>
      <right/>
      <top style="thick">
        <color theme="0"/>
      </top>
      <bottom style="thin">
        <color theme="0"/>
      </bottom>
      <diagonal/>
    </border>
    <border>
      <left/>
      <right/>
      <top/>
      <bottom style="thick">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theme="0" tint="-0.24994659260841701"/>
      </left>
      <right/>
      <top/>
      <bottom/>
      <diagonal/>
    </border>
    <border>
      <left style="medium">
        <color auto="1"/>
      </left>
      <right style="thin">
        <color indexed="64"/>
      </right>
      <top style="medium">
        <color auto="1"/>
      </top>
      <bottom style="thin">
        <color theme="0" tint="-0.34998626667073579"/>
      </bottom>
      <diagonal/>
    </border>
    <border>
      <left style="thin">
        <color theme="0" tint="-0.24994659260841701"/>
      </left>
      <right/>
      <top/>
      <bottom style="medium">
        <color rgb="FF0070C0"/>
      </bottom>
      <diagonal/>
    </border>
    <border>
      <left/>
      <right style="thin">
        <color theme="0" tint="-0.24994659260841701"/>
      </right>
      <top/>
      <bottom style="medium">
        <color rgb="FF0070C0"/>
      </bottom>
      <diagonal/>
    </border>
    <border>
      <left style="thin">
        <color theme="0"/>
      </left>
      <right style="thin">
        <color theme="0" tint="-0.14996795556505021"/>
      </right>
      <top/>
      <bottom/>
      <diagonal/>
    </border>
    <border>
      <left/>
      <right/>
      <top/>
      <bottom style="medium">
        <color rgb="FF007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auto="1"/>
      </bottom>
      <diagonal/>
    </border>
  </borders>
  <cellStyleXfs count="65">
    <xf numFmtId="0" fontId="0" fillId="0" borderId="0"/>
    <xf numFmtId="0" fontId="3" fillId="0" borderId="0"/>
    <xf numFmtId="0" fontId="6" fillId="0" borderId="0" applyNumberForma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75" fontId="28" fillId="9" borderId="32" applyBorder="0">
      <alignment horizontal="right"/>
      <protection locked="0"/>
    </xf>
    <xf numFmtId="0" fontId="13" fillId="0" borderId="0"/>
    <xf numFmtId="166" fontId="13" fillId="0" borderId="0" applyFont="0" applyFill="0" applyBorder="0" applyAlignment="0" applyProtection="0"/>
    <xf numFmtId="165" fontId="13" fillId="0" borderId="0" applyFont="0" applyFill="0" applyBorder="0" applyAlignment="0" applyProtection="0"/>
    <xf numFmtId="0" fontId="55" fillId="0" borderId="0" applyNumberFormat="0" applyFill="0" applyBorder="0" applyAlignment="0" applyProtection="0"/>
    <xf numFmtId="0" fontId="13" fillId="17" borderId="44" applyNumberFormat="0" applyFont="0" applyAlignment="0" applyProtection="0"/>
    <xf numFmtId="0" fontId="56" fillId="0" borderId="0"/>
    <xf numFmtId="164" fontId="13" fillId="0" borderId="0" applyFont="0" applyFill="0" applyBorder="0" applyAlignment="0" applyProtection="0"/>
    <xf numFmtId="167" fontId="13" fillId="0" borderId="0" applyFont="0" applyFill="0" applyBorder="0" applyAlignment="0" applyProtection="0"/>
    <xf numFmtId="0" fontId="58" fillId="0" borderId="37" applyNumberFormat="0" applyFill="0" applyAlignment="0" applyProtection="0"/>
    <xf numFmtId="0" fontId="59" fillId="0" borderId="38"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61" fillId="11" borderId="0" applyNumberFormat="0" applyBorder="0" applyAlignment="0" applyProtection="0"/>
    <xf numFmtId="0" fontId="62" fillId="12" borderId="0" applyNumberFormat="0" applyBorder="0" applyAlignment="0" applyProtection="0"/>
    <xf numFmtId="0" fontId="63" fillId="13" borderId="0" applyNumberFormat="0" applyBorder="0" applyAlignment="0" applyProtection="0"/>
    <xf numFmtId="0" fontId="64" fillId="14" borderId="40" applyNumberFormat="0" applyAlignment="0" applyProtection="0"/>
    <xf numFmtId="0" fontId="65" fillId="15" borderId="41" applyNumberFormat="0" applyAlignment="0" applyProtection="0"/>
    <xf numFmtId="0" fontId="66" fillId="15" borderId="40" applyNumberFormat="0" applyAlignment="0" applyProtection="0"/>
    <xf numFmtId="0" fontId="67" fillId="0" borderId="42" applyNumberFormat="0" applyFill="0" applyAlignment="0" applyProtection="0"/>
    <xf numFmtId="0" fontId="68" fillId="16" borderId="4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45" applyNumberFormat="0" applyFill="0" applyAlignment="0" applyProtection="0"/>
    <xf numFmtId="0" fontId="72"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72" fillId="37" borderId="0" applyNumberFormat="0" applyBorder="0" applyAlignment="0" applyProtection="0"/>
    <xf numFmtId="0" fontId="72"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72" fillId="41" borderId="0" applyNumberFormat="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164"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7" fontId="13" fillId="0" borderId="0" applyFont="0" applyFill="0" applyBorder="0" applyAlignment="0" applyProtection="0"/>
  </cellStyleXfs>
  <cellXfs count="479">
    <xf numFmtId="0" fontId="0" fillId="0" borderId="0" xfId="0"/>
    <xf numFmtId="0" fontId="4" fillId="2" borderId="0" xfId="0" applyFont="1" applyFill="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8"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9" fillId="2" borderId="0" xfId="0" applyFont="1" applyFill="1" applyAlignment="1">
      <alignment horizontal="left" vertical="center"/>
    </xf>
    <xf numFmtId="0" fontId="1" fillId="5" borderId="0" xfId="0" applyFont="1" applyFill="1" applyAlignment="1">
      <alignment horizontal="center" vertical="center"/>
    </xf>
    <xf numFmtId="3" fontId="0" fillId="2" borderId="0" xfId="0" applyNumberFormat="1" applyFill="1" applyAlignment="1">
      <alignment horizontal="center" vertical="center"/>
    </xf>
    <xf numFmtId="0" fontId="0" fillId="3" borderId="0" xfId="0" applyFill="1" applyAlignment="1">
      <alignment vertical="center"/>
    </xf>
    <xf numFmtId="0" fontId="10" fillId="3" borderId="0" xfId="0" applyFont="1" applyFill="1" applyAlignment="1">
      <alignment vertical="center"/>
    </xf>
    <xf numFmtId="0" fontId="9" fillId="2" borderId="0" xfId="0" applyFont="1" applyFill="1" applyAlignment="1">
      <alignment horizontal="center" vertical="center"/>
    </xf>
    <xf numFmtId="168" fontId="4" fillId="2" borderId="0" xfId="0" applyNumberFormat="1" applyFont="1" applyFill="1" applyAlignment="1">
      <alignment horizontal="center" vertical="center"/>
    </xf>
    <xf numFmtId="0" fontId="11" fillId="3" borderId="0" xfId="0" applyFont="1" applyFill="1" applyAlignment="1">
      <alignment horizontal="left"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2" borderId="0" xfId="0" applyFill="1" applyAlignment="1">
      <alignment horizontal="left" vertical="center"/>
    </xf>
    <xf numFmtId="0" fontId="0" fillId="3" borderId="0" xfId="0" applyFill="1" applyAlignment="1">
      <alignment horizontal="left" vertical="center"/>
    </xf>
    <xf numFmtId="0" fontId="1" fillId="5" borderId="0" xfId="0" applyFont="1" applyFill="1" applyAlignment="1">
      <alignment horizontal="left" vertical="center"/>
    </xf>
    <xf numFmtId="0" fontId="2" fillId="2" borderId="0" xfId="0" applyFont="1" applyFill="1" applyAlignment="1">
      <alignment horizontal="center" vertical="center"/>
    </xf>
    <xf numFmtId="169" fontId="0" fillId="2" borderId="0" xfId="0" applyNumberFormat="1" applyFill="1" applyAlignment="1">
      <alignment horizontal="center" vertical="center"/>
    </xf>
    <xf numFmtId="0" fontId="10" fillId="3" borderId="0" xfId="0" applyFont="1" applyFill="1" applyAlignment="1">
      <alignment horizontal="left" vertical="center"/>
    </xf>
    <xf numFmtId="0" fontId="2" fillId="2" borderId="0" xfId="0" applyFont="1" applyFill="1"/>
    <xf numFmtId="0" fontId="1" fillId="5" borderId="0" xfId="0" applyFont="1" applyFill="1" applyAlignment="1">
      <alignment horizontal="left"/>
    </xf>
    <xf numFmtId="0" fontId="0" fillId="2" borderId="0" xfId="0" applyFill="1" applyAlignment="1">
      <alignment vertical="top"/>
    </xf>
    <xf numFmtId="0" fontId="0" fillId="6" borderId="0" xfId="0" applyFill="1" applyAlignment="1">
      <alignment vertical="top"/>
    </xf>
    <xf numFmtId="0" fontId="1" fillId="5" borderId="0" xfId="0" applyFont="1" applyFill="1" applyAlignment="1">
      <alignment horizontal="center" vertical="top"/>
    </xf>
    <xf numFmtId="0" fontId="17" fillId="2" borderId="0" xfId="0" applyFont="1" applyFill="1" applyAlignment="1">
      <alignment vertical="center"/>
    </xf>
    <xf numFmtId="0" fontId="18" fillId="2" borderId="0" xfId="0" applyFont="1" applyFill="1" applyAlignment="1">
      <alignment vertical="center"/>
    </xf>
    <xf numFmtId="0" fontId="1" fillId="5" borderId="0" xfId="0" applyFont="1" applyFill="1" applyAlignment="1">
      <alignment horizontal="center"/>
    </xf>
    <xf numFmtId="9" fontId="0" fillId="2" borderId="0" xfId="3" applyFont="1" applyFill="1" applyAlignment="1">
      <alignment horizontal="center" vertical="center"/>
    </xf>
    <xf numFmtId="0" fontId="2" fillId="2" borderId="0" xfId="0" applyFont="1" applyFill="1" applyAlignment="1">
      <alignment horizontal="left" vertical="center"/>
    </xf>
    <xf numFmtId="0" fontId="19" fillId="5" borderId="0" xfId="0" applyFont="1" applyFill="1" applyAlignment="1">
      <alignment horizontal="center"/>
    </xf>
    <xf numFmtId="0" fontId="1" fillId="5" borderId="1" xfId="0" applyFont="1" applyFill="1" applyBorder="1" applyAlignment="1">
      <alignment horizontal="center" vertical="center"/>
    </xf>
    <xf numFmtId="0" fontId="15" fillId="5" borderId="0" xfId="0" applyFont="1" applyFill="1" applyAlignment="1">
      <alignment horizontal="center" vertical="center"/>
    </xf>
    <xf numFmtId="0" fontId="22" fillId="2" borderId="0" xfId="0" applyFont="1" applyFill="1" applyAlignment="1">
      <alignment vertical="center"/>
    </xf>
    <xf numFmtId="0" fontId="1" fillId="5" borderId="0" xfId="0" applyFont="1" applyFill="1"/>
    <xf numFmtId="0" fontId="1" fillId="4" borderId="0" xfId="0" applyFont="1" applyFill="1" applyAlignment="1">
      <alignment horizontal="center"/>
    </xf>
    <xf numFmtId="0" fontId="1" fillId="4" borderId="0" xfId="0" applyFont="1" applyFill="1" applyAlignment="1">
      <alignment horizontal="center" vertical="top" wrapText="1"/>
    </xf>
    <xf numFmtId="0" fontId="25" fillId="2" borderId="0" xfId="0" applyFont="1" applyFill="1" applyAlignment="1">
      <alignment horizontal="left" vertical="center"/>
    </xf>
    <xf numFmtId="0" fontId="25" fillId="2" borderId="0" xfId="0" applyFont="1" applyFill="1" applyAlignment="1">
      <alignment horizontal="right" vertical="center"/>
    </xf>
    <xf numFmtId="0" fontId="21" fillId="7" borderId="0" xfId="0" applyFont="1" applyFill="1" applyAlignment="1">
      <alignment vertical="center"/>
    </xf>
    <xf numFmtId="0" fontId="20" fillId="2" borderId="0" xfId="0" applyFont="1" applyFill="1" applyAlignment="1">
      <alignment vertical="center"/>
    </xf>
    <xf numFmtId="3" fontId="20" fillId="2" borderId="0" xfId="0" applyNumberFormat="1" applyFont="1" applyFill="1" applyAlignment="1">
      <alignment horizontal="center" vertical="center"/>
    </xf>
    <xf numFmtId="0" fontId="20" fillId="7" borderId="0" xfId="0" applyFont="1" applyFill="1" applyAlignment="1">
      <alignment vertical="center"/>
    </xf>
    <xf numFmtId="3" fontId="20" fillId="7" borderId="0" xfId="0" applyNumberFormat="1" applyFont="1" applyFill="1" applyAlignment="1">
      <alignment horizontal="center" vertical="center"/>
    </xf>
    <xf numFmtId="0" fontId="16" fillId="7" borderId="0" xfId="0" applyFont="1" applyFill="1" applyAlignment="1">
      <alignment vertical="center"/>
    </xf>
    <xf numFmtId="3" fontId="16" fillId="7" borderId="0" xfId="0" applyNumberFormat="1" applyFont="1" applyFill="1" applyAlignment="1">
      <alignment horizontal="center" vertical="center"/>
    </xf>
    <xf numFmtId="0" fontId="26" fillId="2" borderId="0" xfId="0" applyFont="1" applyFill="1" applyAlignment="1">
      <alignment vertical="center"/>
    </xf>
    <xf numFmtId="0" fontId="16" fillId="7" borderId="2" xfId="0" applyFont="1" applyFill="1" applyBorder="1" applyAlignment="1">
      <alignment vertical="center"/>
    </xf>
    <xf numFmtId="0" fontId="28" fillId="2" borderId="0" xfId="0" applyFont="1" applyFill="1" applyAlignment="1">
      <alignment vertical="center"/>
    </xf>
    <xf numFmtId="0" fontId="15" fillId="4" borderId="0" xfId="0" applyFont="1" applyFill="1" applyAlignment="1">
      <alignment vertical="center"/>
    </xf>
    <xf numFmtId="0" fontId="15" fillId="4" borderId="0" xfId="0" applyFont="1" applyFill="1" applyAlignment="1">
      <alignment horizontal="center" vertical="center"/>
    </xf>
    <xf numFmtId="0" fontId="15" fillId="4" borderId="0" xfId="0" applyFont="1" applyFill="1" applyAlignment="1">
      <alignment horizontal="center" vertical="center" wrapText="1"/>
    </xf>
    <xf numFmtId="0" fontId="30" fillId="2" borderId="0" xfId="0" applyFont="1" applyFill="1" applyAlignment="1">
      <alignment vertical="center"/>
    </xf>
    <xf numFmtId="4" fontId="0" fillId="2" borderId="0" xfId="0" applyNumberFormat="1" applyFill="1" applyAlignment="1">
      <alignment horizontal="center" vertical="center"/>
    </xf>
    <xf numFmtId="4" fontId="0" fillId="3" borderId="0" xfId="0" applyNumberFormat="1" applyFill="1" applyAlignment="1">
      <alignment horizontal="center" vertical="center"/>
    </xf>
    <xf numFmtId="4" fontId="19" fillId="5" borderId="0" xfId="0" applyNumberFormat="1" applyFont="1" applyFill="1" applyAlignment="1">
      <alignment horizontal="center"/>
    </xf>
    <xf numFmtId="0" fontId="0" fillId="2" borderId="0" xfId="0" applyFill="1"/>
    <xf numFmtId="0" fontId="29" fillId="2" borderId="0" xfId="0" applyFont="1" applyFill="1" applyAlignment="1">
      <alignment vertical="center"/>
    </xf>
    <xf numFmtId="0" fontId="32" fillId="7" borderId="0" xfId="0" applyFont="1" applyFill="1" applyAlignment="1">
      <alignment vertical="center"/>
    </xf>
    <xf numFmtId="0" fontId="22" fillId="2" borderId="0" xfId="0" applyFont="1" applyFill="1"/>
    <xf numFmtId="0" fontId="15" fillId="2" borderId="0" xfId="0" applyFont="1" applyFill="1" applyAlignment="1">
      <alignment vertical="center"/>
    </xf>
    <xf numFmtId="0" fontId="33" fillId="2" borderId="0" xfId="2" applyFont="1" applyFill="1" applyAlignment="1">
      <alignment horizontal="left" vertical="center"/>
    </xf>
    <xf numFmtId="0" fontId="24" fillId="2" borderId="6" xfId="0" applyFont="1" applyFill="1" applyBorder="1" applyAlignment="1">
      <alignment horizontal="left" vertical="center"/>
    </xf>
    <xf numFmtId="2" fontId="0" fillId="2" borderId="0" xfId="0" applyNumberFormat="1" applyFill="1" applyAlignment="1">
      <alignment vertical="center"/>
    </xf>
    <xf numFmtId="0" fontId="19" fillId="5" borderId="0" xfId="0" applyFont="1" applyFill="1" applyAlignment="1">
      <alignment horizontal="center" vertical="center"/>
    </xf>
    <xf numFmtId="0" fontId="34" fillId="2" borderId="0" xfId="0" applyFont="1" applyFill="1" applyAlignment="1">
      <alignment vertical="center"/>
    </xf>
    <xf numFmtId="0" fontId="18" fillId="5" borderId="0" xfId="0" applyFont="1" applyFill="1" applyAlignment="1">
      <alignment vertical="center"/>
    </xf>
    <xf numFmtId="0" fontId="0" fillId="5" borderId="0" xfId="0" applyFill="1" applyAlignment="1">
      <alignment vertical="center"/>
    </xf>
    <xf numFmtId="0" fontId="17" fillId="2" borderId="7" xfId="0" applyFont="1" applyFill="1" applyBorder="1" applyAlignment="1">
      <alignment vertical="center"/>
    </xf>
    <xf numFmtId="0" fontId="29" fillId="2" borderId="8" xfId="0" applyFont="1"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14" fillId="2" borderId="0" xfId="0" applyFont="1" applyFill="1" applyAlignment="1">
      <alignment vertical="center"/>
    </xf>
    <xf numFmtId="0" fontId="0" fillId="2" borderId="11" xfId="0" applyFill="1" applyBorder="1" applyAlignment="1">
      <alignment vertical="center"/>
    </xf>
    <xf numFmtId="0" fontId="22" fillId="2" borderId="11" xfId="0" applyFont="1" applyFill="1" applyBorder="1" applyAlignment="1">
      <alignment vertical="center"/>
    </xf>
    <xf numFmtId="0" fontId="22" fillId="2" borderId="10" xfId="0" applyFont="1"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4" fontId="0" fillId="2" borderId="0" xfId="0" applyNumberFormat="1" applyFill="1" applyAlignment="1">
      <alignment vertical="center"/>
    </xf>
    <xf numFmtId="0" fontId="36" fillId="2" borderId="0" xfId="0" applyFont="1" applyFill="1" applyAlignment="1">
      <alignment vertical="center"/>
    </xf>
    <xf numFmtId="4" fontId="36" fillId="2" borderId="0" xfId="0" applyNumberFormat="1" applyFont="1" applyFill="1" applyAlignment="1">
      <alignment vertical="center"/>
    </xf>
    <xf numFmtId="0" fontId="35" fillId="2" borderId="0" xfId="0" applyFont="1" applyFill="1" applyAlignment="1">
      <alignment vertical="center"/>
    </xf>
    <xf numFmtId="169" fontId="16" fillId="7" borderId="2" xfId="0" applyNumberFormat="1" applyFont="1" applyFill="1" applyBorder="1" applyAlignment="1">
      <alignment horizontal="center"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9" xfId="0" applyFill="1" applyBorder="1" applyAlignment="1">
      <alignment vertical="center"/>
    </xf>
    <xf numFmtId="0" fontId="0" fillId="2" borderId="21" xfId="0" applyFill="1" applyBorder="1" applyAlignment="1">
      <alignment vertical="center"/>
    </xf>
    <xf numFmtId="0" fontId="0" fillId="2" borderId="15" xfId="0" applyFill="1" applyBorder="1" applyAlignment="1">
      <alignment vertical="center"/>
    </xf>
    <xf numFmtId="0" fontId="37" fillId="8" borderId="23" xfId="0" applyFont="1" applyFill="1" applyBorder="1" applyAlignment="1">
      <alignment vertical="center"/>
    </xf>
    <xf numFmtId="0" fontId="37" fillId="8" borderId="24" xfId="0" applyFont="1" applyFill="1" applyBorder="1" applyAlignment="1">
      <alignment vertical="center"/>
    </xf>
    <xf numFmtId="0" fontId="38" fillId="2" borderId="0" xfId="0" applyFont="1" applyFill="1" applyAlignment="1">
      <alignment vertical="center"/>
    </xf>
    <xf numFmtId="169" fontId="39" fillId="2" borderId="0" xfId="0" applyNumberFormat="1" applyFont="1" applyFill="1" applyAlignment="1">
      <alignment horizontal="center" vertical="center"/>
    </xf>
    <xf numFmtId="0" fontId="41" fillId="2" borderId="0" xfId="0" applyFont="1" applyFill="1" applyAlignment="1">
      <alignment vertical="center"/>
    </xf>
    <xf numFmtId="0" fontId="42" fillId="2" borderId="0" xfId="0" applyFont="1" applyFill="1" applyAlignment="1">
      <alignment vertical="center"/>
    </xf>
    <xf numFmtId="0" fontId="44" fillId="2" borderId="0" xfId="0" applyFont="1" applyFill="1" applyAlignment="1">
      <alignment horizontal="center" vertical="center"/>
    </xf>
    <xf numFmtId="3" fontId="40" fillId="2" borderId="0" xfId="0" applyNumberFormat="1" applyFont="1" applyFill="1" applyAlignment="1">
      <alignment horizontal="center" vertical="center"/>
    </xf>
    <xf numFmtId="0" fontId="47" fillId="2" borderId="0" xfId="0" applyFont="1" applyFill="1" applyAlignment="1">
      <alignment vertical="center"/>
    </xf>
    <xf numFmtId="0" fontId="48" fillId="2" borderId="0" xfId="0" applyFont="1" applyFill="1" applyAlignment="1">
      <alignment vertical="center"/>
    </xf>
    <xf numFmtId="3" fontId="26" fillId="7" borderId="0" xfId="0" applyNumberFormat="1" applyFont="1" applyFill="1" applyAlignment="1">
      <alignment horizontal="center" vertical="center"/>
    </xf>
    <xf numFmtId="0" fontId="31" fillId="4" borderId="26" xfId="0" applyFont="1" applyFill="1" applyBorder="1" applyAlignment="1">
      <alignment vertical="center" wrapText="1"/>
    </xf>
    <xf numFmtId="3" fontId="19" fillId="7" borderId="31" xfId="0" applyNumberFormat="1" applyFont="1" applyFill="1" applyBorder="1" applyAlignment="1">
      <alignment horizontal="center" vertical="center"/>
    </xf>
    <xf numFmtId="3" fontId="19" fillId="7" borderId="30" xfId="0" applyNumberFormat="1" applyFont="1" applyFill="1" applyBorder="1" applyAlignment="1">
      <alignment horizontal="center" vertical="center"/>
    </xf>
    <xf numFmtId="3" fontId="19" fillId="2" borderId="31" xfId="0" applyNumberFormat="1" applyFont="1" applyFill="1" applyBorder="1" applyAlignment="1">
      <alignment horizontal="center" vertical="center"/>
    </xf>
    <xf numFmtId="3" fontId="19" fillId="2" borderId="30" xfId="0" applyNumberFormat="1" applyFont="1" applyFill="1" applyBorder="1" applyAlignment="1">
      <alignment horizontal="center" vertical="center"/>
    </xf>
    <xf numFmtId="2" fontId="0" fillId="2" borderId="0" xfId="0" applyNumberFormat="1" applyFill="1" applyAlignment="1">
      <alignment horizontal="center" vertical="center"/>
    </xf>
    <xf numFmtId="0" fontId="49" fillId="2" borderId="0" xfId="0" applyFont="1" applyFill="1" applyAlignment="1">
      <alignment horizontal="center" vertical="center"/>
    </xf>
    <xf numFmtId="0" fontId="50" fillId="2" borderId="0" xfId="0" applyFont="1" applyFill="1" applyAlignment="1">
      <alignment vertical="center"/>
    </xf>
    <xf numFmtId="1" fontId="5" fillId="2" borderId="0" xfId="0" applyNumberFormat="1" applyFont="1" applyFill="1" applyAlignment="1">
      <alignment horizontal="center" vertical="center"/>
    </xf>
    <xf numFmtId="3" fontId="21" fillId="7" borderId="0" xfId="0" applyNumberFormat="1" applyFont="1" applyFill="1" applyAlignment="1">
      <alignment horizontal="center" vertical="center"/>
    </xf>
    <xf numFmtId="10" fontId="0" fillId="2" borderId="0" xfId="3" applyNumberFormat="1" applyFont="1" applyFill="1" applyAlignment="1">
      <alignment vertical="center"/>
    </xf>
    <xf numFmtId="0" fontId="19" fillId="5" borderId="28" xfId="0" applyFont="1" applyFill="1" applyBorder="1" applyAlignment="1">
      <alignment horizontal="center" vertical="center"/>
    </xf>
    <xf numFmtId="0" fontId="19" fillId="5" borderId="26" xfId="0" applyFont="1" applyFill="1" applyBorder="1" applyAlignment="1">
      <alignment horizontal="center" vertical="center"/>
    </xf>
    <xf numFmtId="0" fontId="28" fillId="2" borderId="0" xfId="0" applyFont="1" applyFill="1" applyAlignment="1">
      <alignment horizontal="left" vertical="center"/>
    </xf>
    <xf numFmtId="3" fontId="28" fillId="2" borderId="0" xfId="0" applyNumberFormat="1" applyFont="1" applyFill="1" applyAlignment="1">
      <alignment horizontal="center" vertical="center"/>
    </xf>
    <xf numFmtId="3" fontId="28" fillId="2" borderId="0" xfId="0" applyNumberFormat="1" applyFont="1" applyFill="1" applyAlignment="1">
      <alignment horizontal="left" vertical="center"/>
    </xf>
    <xf numFmtId="0" fontId="51" fillId="2" borderId="0" xfId="0" applyFont="1" applyFill="1" applyAlignment="1">
      <alignment vertical="center"/>
    </xf>
    <xf numFmtId="169" fontId="0" fillId="2" borderId="0" xfId="0" applyNumberFormat="1" applyFill="1" applyAlignment="1">
      <alignment vertical="center"/>
    </xf>
    <xf numFmtId="0" fontId="6" fillId="2" borderId="0" xfId="2" applyFill="1" applyAlignment="1">
      <alignment horizontal="left" vertical="center"/>
    </xf>
    <xf numFmtId="0" fontId="29" fillId="2" borderId="0" xfId="0" applyFont="1" applyFill="1" applyAlignment="1">
      <alignment horizontal="center" vertical="center"/>
    </xf>
    <xf numFmtId="0" fontId="1" fillId="5" borderId="0" xfId="0" applyFont="1" applyFill="1" applyAlignment="1">
      <alignment horizontal="right" vertical="center"/>
    </xf>
    <xf numFmtId="4" fontId="0" fillId="2" borderId="0" xfId="0" applyNumberFormat="1" applyFill="1" applyAlignment="1">
      <alignment horizontal="right" vertical="center" indent="1"/>
    </xf>
    <xf numFmtId="4" fontId="0" fillId="2" borderId="0" xfId="3" applyNumberFormat="1" applyFont="1" applyFill="1" applyAlignment="1">
      <alignment horizontal="right" vertical="center" indent="1"/>
    </xf>
    <xf numFmtId="4" fontId="2" fillId="2" borderId="0" xfId="0" applyNumberFormat="1" applyFont="1" applyFill="1" applyAlignment="1">
      <alignment horizontal="right" vertical="center" indent="1"/>
    </xf>
    <xf numFmtId="3" fontId="0" fillId="2" borderId="0" xfId="0" applyNumberFormat="1" applyFill="1" applyAlignment="1">
      <alignment horizontal="right" vertical="center" indent="1"/>
    </xf>
    <xf numFmtId="0" fontId="1" fillId="5" borderId="28" xfId="0" applyFont="1" applyFill="1" applyBorder="1" applyAlignment="1">
      <alignment horizontal="right" vertical="center" indent="1"/>
    </xf>
    <xf numFmtId="0" fontId="1" fillId="5" borderId="0" xfId="0" applyFont="1" applyFill="1" applyAlignment="1">
      <alignment horizontal="right" vertical="center" indent="1"/>
    </xf>
    <xf numFmtId="0" fontId="1" fillId="5" borderId="26" xfId="0" applyFont="1" applyFill="1" applyBorder="1" applyAlignment="1">
      <alignment horizontal="right" vertical="center" indent="1"/>
    </xf>
    <xf numFmtId="0" fontId="43" fillId="4" borderId="0" xfId="0" applyFont="1" applyFill="1" applyAlignment="1">
      <alignment horizontal="right" vertical="center" wrapText="1" indent="1"/>
    </xf>
    <xf numFmtId="3" fontId="28" fillId="2" borderId="0" xfId="0" applyNumberFormat="1" applyFont="1" applyFill="1" applyAlignment="1">
      <alignment horizontal="right" vertical="center" indent="1"/>
    </xf>
    <xf numFmtId="0" fontId="28" fillId="2" borderId="0" xfId="0" applyFont="1" applyFill="1" applyAlignment="1">
      <alignment horizontal="right" vertical="center" indent="1"/>
    </xf>
    <xf numFmtId="9" fontId="28" fillId="2" borderId="0" xfId="3" applyFont="1" applyFill="1" applyAlignment="1">
      <alignment horizontal="right" vertical="center" indent="1"/>
    </xf>
    <xf numFmtId="10" fontId="28" fillId="2" borderId="0" xfId="3" applyNumberFormat="1" applyFont="1" applyFill="1" applyBorder="1" applyAlignment="1">
      <alignment horizontal="right" vertical="center" indent="1"/>
    </xf>
    <xf numFmtId="9" fontId="0" fillId="2" borderId="0" xfId="3" applyFont="1" applyFill="1" applyAlignment="1">
      <alignment horizontal="right" vertical="center" indent="1"/>
    </xf>
    <xf numFmtId="9" fontId="13" fillId="2" borderId="0" xfId="3" applyFont="1" applyFill="1" applyAlignment="1">
      <alignment horizontal="right" vertical="center" indent="1"/>
    </xf>
    <xf numFmtId="10" fontId="0" fillId="2" borderId="0" xfId="3" applyNumberFormat="1" applyFont="1" applyFill="1" applyAlignment="1">
      <alignment horizontal="center" vertical="center"/>
    </xf>
    <xf numFmtId="10" fontId="0" fillId="2" borderId="0" xfId="3" applyNumberFormat="1" applyFont="1" applyFill="1" applyAlignment="1">
      <alignment horizontal="right" vertical="center" indent="1"/>
    </xf>
    <xf numFmtId="10" fontId="13" fillId="2" borderId="0" xfId="3" applyNumberFormat="1" applyFont="1" applyFill="1" applyAlignment="1">
      <alignment horizontal="right" vertical="center" indent="1"/>
    </xf>
    <xf numFmtId="10" fontId="2" fillId="2" borderId="0" xfId="3" applyNumberFormat="1" applyFont="1" applyFill="1" applyAlignment="1">
      <alignment horizontal="right" vertical="center" indent="1"/>
    </xf>
    <xf numFmtId="4" fontId="1" fillId="5" borderId="0" xfId="0" applyNumberFormat="1" applyFont="1" applyFill="1" applyAlignment="1">
      <alignment horizontal="right" vertical="center" indent="1"/>
    </xf>
    <xf numFmtId="4" fontId="1" fillId="5" borderId="0" xfId="0" applyNumberFormat="1" applyFont="1" applyFill="1" applyAlignment="1">
      <alignment horizontal="right" vertical="top" indent="1"/>
    </xf>
    <xf numFmtId="0" fontId="1" fillId="5" borderId="0" xfId="0" applyFont="1" applyFill="1" applyAlignment="1">
      <alignment horizontal="right" vertical="top" indent="1"/>
    </xf>
    <xf numFmtId="0" fontId="0" fillId="2" borderId="0" xfId="0" applyFill="1" applyAlignment="1">
      <alignment horizontal="right" vertical="center" indent="1"/>
    </xf>
    <xf numFmtId="0" fontId="2" fillId="2" borderId="0" xfId="0" applyFont="1" applyFill="1" applyAlignment="1">
      <alignment horizontal="right" vertical="center" indent="1"/>
    </xf>
    <xf numFmtId="10" fontId="0" fillId="2" borderId="0" xfId="0" applyNumberFormat="1" applyFill="1" applyAlignment="1">
      <alignment horizontal="right" vertical="center" indent="1"/>
    </xf>
    <xf numFmtId="10" fontId="2" fillId="2" borderId="0" xfId="0" applyNumberFormat="1" applyFont="1" applyFill="1" applyAlignment="1">
      <alignment horizontal="right" vertical="center" indent="1"/>
    </xf>
    <xf numFmtId="3" fontId="2" fillId="2" borderId="0" xfId="0" applyNumberFormat="1" applyFont="1" applyFill="1" applyAlignment="1">
      <alignment horizontal="right" vertical="center" indent="1"/>
    </xf>
    <xf numFmtId="0" fontId="27" fillId="5" borderId="0" xfId="0" applyFont="1" applyFill="1" applyAlignment="1">
      <alignment horizontal="right" vertical="center" indent="1"/>
    </xf>
    <xf numFmtId="0" fontId="15" fillId="5" borderId="0" xfId="0" applyFont="1" applyFill="1" applyAlignment="1">
      <alignment horizontal="right" vertical="center" indent="1"/>
    </xf>
    <xf numFmtId="0" fontId="15" fillId="5" borderId="0" xfId="0" applyFont="1" applyFill="1" applyAlignment="1">
      <alignment horizontal="right" vertical="center" wrapText="1" indent="1"/>
    </xf>
    <xf numFmtId="4" fontId="25" fillId="2" borderId="0" xfId="0" applyNumberFormat="1" applyFont="1" applyFill="1" applyAlignment="1">
      <alignment horizontal="right" vertical="center" indent="1"/>
    </xf>
    <xf numFmtId="169" fontId="25" fillId="2" borderId="0" xfId="0" applyNumberFormat="1" applyFont="1" applyFill="1" applyAlignment="1">
      <alignment horizontal="right" vertical="center" indent="1"/>
    </xf>
    <xf numFmtId="0" fontId="25" fillId="2" borderId="0" xfId="0" applyFont="1" applyFill="1" applyAlignment="1">
      <alignment horizontal="right" vertical="center" indent="1"/>
    </xf>
    <xf numFmtId="169" fontId="25" fillId="2" borderId="0" xfId="3" applyNumberFormat="1" applyFont="1" applyFill="1" applyAlignment="1">
      <alignment horizontal="right" vertical="center" indent="1"/>
    </xf>
    <xf numFmtId="4" fontId="24" fillId="2" borderId="6" xfId="0" applyNumberFormat="1" applyFont="1" applyFill="1" applyBorder="1" applyAlignment="1">
      <alignment horizontal="right" vertical="center" indent="1"/>
    </xf>
    <xf numFmtId="169" fontId="24" fillId="2" borderId="6" xfId="0" applyNumberFormat="1" applyFont="1" applyFill="1" applyBorder="1" applyAlignment="1">
      <alignment horizontal="right" vertical="center" indent="1"/>
    </xf>
    <xf numFmtId="0" fontId="24" fillId="2" borderId="6" xfId="0" applyFont="1" applyFill="1" applyBorder="1" applyAlignment="1">
      <alignment horizontal="right" vertical="center" indent="1"/>
    </xf>
    <xf numFmtId="0" fontId="1" fillId="8" borderId="24" xfId="0" applyFont="1" applyFill="1" applyBorder="1" applyAlignment="1">
      <alignment horizontal="right" vertical="center" indent="1"/>
    </xf>
    <xf numFmtId="3" fontId="0" fillId="2" borderId="17" xfId="0" applyNumberFormat="1" applyFill="1" applyBorder="1" applyAlignment="1">
      <alignment horizontal="right" vertical="center" indent="1"/>
    </xf>
    <xf numFmtId="171" fontId="0" fillId="2" borderId="0" xfId="0" applyNumberFormat="1" applyFill="1" applyAlignment="1">
      <alignment horizontal="right" vertical="center" indent="1"/>
    </xf>
    <xf numFmtId="3" fontId="0" fillId="2" borderId="15" xfId="0" applyNumberFormat="1" applyFill="1" applyBorder="1" applyAlignment="1">
      <alignment horizontal="right" vertical="center" indent="1"/>
    </xf>
    <xf numFmtId="0" fontId="28" fillId="2" borderId="15" xfId="0" applyFont="1" applyFill="1" applyBorder="1" applyAlignment="1">
      <alignment horizontal="left" vertical="center"/>
    </xf>
    <xf numFmtId="3" fontId="28" fillId="2" borderId="15" xfId="0" applyNumberFormat="1" applyFont="1" applyFill="1" applyBorder="1" applyAlignment="1">
      <alignment horizontal="center" vertical="center"/>
    </xf>
    <xf numFmtId="3" fontId="28" fillId="2" borderId="15" xfId="0" applyNumberFormat="1" applyFont="1" applyFill="1" applyBorder="1" applyAlignment="1">
      <alignment horizontal="left" vertical="center"/>
    </xf>
    <xf numFmtId="10" fontId="28" fillId="2" borderId="15" xfId="3" applyNumberFormat="1" applyFont="1" applyFill="1" applyBorder="1" applyAlignment="1">
      <alignment horizontal="right" vertical="center" indent="1"/>
    </xf>
    <xf numFmtId="0" fontId="28" fillId="2" borderId="15" xfId="0" applyFont="1" applyFill="1" applyBorder="1" applyAlignment="1">
      <alignment vertical="center"/>
    </xf>
    <xf numFmtId="0" fontId="52" fillId="3" borderId="0" xfId="0" applyFont="1" applyFill="1" applyAlignment="1">
      <alignment horizontal="left" vertical="center"/>
    </xf>
    <xf numFmtId="174" fontId="0" fillId="2" borderId="0" xfId="0" applyNumberFormat="1" applyFill="1" applyAlignment="1">
      <alignment horizontal="center" vertical="center"/>
    </xf>
    <xf numFmtId="172" fontId="0" fillId="2" borderId="0" xfId="0" applyNumberFormat="1" applyFill="1" applyAlignment="1">
      <alignment vertical="center"/>
    </xf>
    <xf numFmtId="169" fontId="0" fillId="2" borderId="0" xfId="3" applyNumberFormat="1" applyFont="1" applyFill="1" applyAlignment="1">
      <alignment vertical="center"/>
    </xf>
    <xf numFmtId="0" fontId="54" fillId="7" borderId="30" xfId="0" applyFont="1" applyFill="1" applyBorder="1" applyAlignment="1">
      <alignment horizontal="left" vertical="center" wrapText="1"/>
    </xf>
    <xf numFmtId="3" fontId="19" fillId="2" borderId="0" xfId="0" applyNumberFormat="1" applyFont="1" applyFill="1" applyAlignment="1">
      <alignment horizontal="center" vertical="center"/>
    </xf>
    <xf numFmtId="3" fontId="19" fillId="7" borderId="0" xfId="0" applyNumberFormat="1" applyFont="1" applyFill="1" applyAlignment="1">
      <alignment horizontal="center" vertical="center"/>
    </xf>
    <xf numFmtId="0" fontId="54" fillId="2" borderId="30" xfId="0" applyFont="1" applyFill="1" applyBorder="1" applyAlignment="1">
      <alignment horizontal="left" vertical="center" wrapText="1"/>
    </xf>
    <xf numFmtId="0" fontId="32" fillId="7" borderId="36" xfId="0" applyFont="1" applyFill="1" applyBorder="1" applyAlignment="1">
      <alignment vertical="center"/>
    </xf>
    <xf numFmtId="170" fontId="54" fillId="10" borderId="31" xfId="4" applyNumberFormat="1" applyFont="1" applyFill="1" applyBorder="1" applyAlignment="1">
      <alignment horizontal="center" vertical="center"/>
    </xf>
    <xf numFmtId="170" fontId="54" fillId="10" borderId="30" xfId="4" applyNumberFormat="1" applyFont="1" applyFill="1" applyBorder="1" applyAlignment="1">
      <alignment horizontal="center" vertical="center" wrapText="1"/>
    </xf>
    <xf numFmtId="170" fontId="54" fillId="2" borderId="31" xfId="4" applyNumberFormat="1" applyFont="1" applyFill="1" applyBorder="1" applyAlignment="1">
      <alignment horizontal="center" vertical="center"/>
    </xf>
    <xf numFmtId="170" fontId="54" fillId="2" borderId="30" xfId="4" applyNumberFormat="1" applyFont="1" applyFill="1" applyBorder="1" applyAlignment="1">
      <alignment horizontal="center" vertical="center"/>
    </xf>
    <xf numFmtId="170" fontId="54" fillId="2" borderId="30" xfId="4" applyNumberFormat="1" applyFont="1" applyFill="1" applyBorder="1" applyAlignment="1">
      <alignment horizontal="center" vertical="center" wrapText="1"/>
    </xf>
    <xf numFmtId="176" fontId="0" fillId="2" borderId="0" xfId="0" applyNumberFormat="1" applyFill="1" applyAlignment="1">
      <alignment vertical="center"/>
    </xf>
    <xf numFmtId="0" fontId="39" fillId="2" borderId="0" xfId="0" applyFont="1" applyFill="1" applyAlignment="1">
      <alignment horizontal="center" vertical="center"/>
    </xf>
    <xf numFmtId="178" fontId="0" fillId="2" borderId="0" xfId="0" applyNumberFormat="1" applyFill="1" applyAlignment="1">
      <alignment vertical="center"/>
    </xf>
    <xf numFmtId="9" fontId="0" fillId="2" borderId="0" xfId="3" applyNumberFormat="1" applyFont="1" applyFill="1" applyAlignment="1">
      <alignment horizontal="center" vertical="center"/>
    </xf>
    <xf numFmtId="9" fontId="0" fillId="2" borderId="0" xfId="0" applyNumberFormat="1" applyFill="1" applyAlignment="1">
      <alignment horizontal="center" vertical="center"/>
    </xf>
    <xf numFmtId="9" fontId="49" fillId="2" borderId="0" xfId="0" applyNumberFormat="1" applyFont="1" applyFill="1" applyAlignment="1">
      <alignment horizontal="center" vertical="center"/>
    </xf>
    <xf numFmtId="9" fontId="22" fillId="2" borderId="0" xfId="0" applyNumberFormat="1" applyFont="1" applyFill="1" applyAlignment="1">
      <alignment vertical="center"/>
    </xf>
    <xf numFmtId="9" fontId="0" fillId="2" borderId="15" xfId="3" applyNumberFormat="1" applyFont="1" applyFill="1" applyBorder="1" applyAlignment="1">
      <alignment horizontal="center" vertical="center"/>
    </xf>
    <xf numFmtId="0" fontId="29" fillId="2" borderId="0" xfId="0" applyFont="1" applyFill="1" applyAlignment="1">
      <alignment horizontal="center" vertical="top"/>
    </xf>
    <xf numFmtId="0" fontId="29" fillId="2" borderId="0" xfId="0" applyFont="1" applyFill="1" applyAlignment="1">
      <alignment horizontal="left"/>
    </xf>
    <xf numFmtId="4" fontId="2" fillId="2" borderId="0" xfId="0" applyNumberFormat="1" applyFont="1" applyFill="1" applyAlignment="1">
      <alignment vertical="center"/>
    </xf>
    <xf numFmtId="9" fontId="0" fillId="2" borderId="0" xfId="3" applyFont="1" applyFill="1" applyAlignment="1">
      <alignment vertical="center"/>
    </xf>
    <xf numFmtId="169" fontId="0" fillId="2" borderId="0" xfId="3" applyNumberFormat="1" applyFont="1" applyFill="1" applyAlignment="1">
      <alignment horizontal="center" vertical="center"/>
    </xf>
    <xf numFmtId="0" fontId="39" fillId="2" borderId="0" xfId="0" applyFont="1" applyFill="1" applyAlignment="1">
      <alignment horizontal="left" vertical="center"/>
    </xf>
    <xf numFmtId="0" fontId="0" fillId="3" borderId="0" xfId="0" quotePrefix="1" applyFill="1" applyAlignment="1">
      <alignment vertical="center"/>
    </xf>
    <xf numFmtId="169" fontId="0" fillId="2" borderId="0" xfId="3" applyNumberFormat="1" applyFont="1" applyFill="1" applyAlignment="1">
      <alignment horizontal="left" vertical="center"/>
    </xf>
    <xf numFmtId="0" fontId="0" fillId="2" borderId="0" xfId="0" applyFill="1" applyAlignment="1">
      <alignment vertical="center" wrapText="1"/>
    </xf>
    <xf numFmtId="0" fontId="1" fillId="4" borderId="0" xfId="0" applyFont="1" applyFill="1" applyAlignment="1">
      <alignment horizontal="left" vertical="center"/>
    </xf>
    <xf numFmtId="0" fontId="15" fillId="4" borderId="1" xfId="0" applyFont="1" applyFill="1" applyBorder="1" applyAlignment="1">
      <alignment horizontal="center" vertical="top" wrapText="1"/>
    </xf>
    <xf numFmtId="0" fontId="15" fillId="4" borderId="4" xfId="0" applyFont="1" applyFill="1" applyBorder="1" applyAlignment="1">
      <alignment horizontal="right" vertical="center" wrapText="1" indent="1"/>
    </xf>
    <xf numFmtId="0" fontId="15" fillId="4" borderId="0" xfId="0" applyFont="1" applyFill="1" applyAlignment="1">
      <alignment horizontal="right" vertical="center" wrapText="1" indent="1"/>
    </xf>
    <xf numFmtId="0" fontId="15" fillId="4" borderId="0" xfId="0" applyFont="1" applyFill="1" applyAlignment="1">
      <alignment horizontal="center"/>
    </xf>
    <xf numFmtId="179" fontId="0" fillId="2" borderId="0" xfId="3" applyNumberFormat="1" applyFont="1" applyFill="1" applyBorder="1" applyAlignment="1">
      <alignment horizontal="center" vertical="center"/>
    </xf>
    <xf numFmtId="179" fontId="0" fillId="2" borderId="15" xfId="3" applyNumberFormat="1" applyFont="1" applyFill="1" applyBorder="1" applyAlignment="1">
      <alignment horizontal="center" vertical="center"/>
    </xf>
    <xf numFmtId="180" fontId="0" fillId="2" borderId="0" xfId="3" applyNumberFormat="1" applyFont="1" applyFill="1" applyBorder="1" applyAlignment="1">
      <alignment horizontal="center" vertical="center"/>
    </xf>
    <xf numFmtId="180" fontId="49" fillId="2" borderId="0" xfId="0" applyNumberFormat="1" applyFont="1" applyFill="1" applyAlignment="1">
      <alignment horizontal="center" vertical="center"/>
    </xf>
    <xf numFmtId="180" fontId="0" fillId="2" borderId="15" xfId="3" applyNumberFormat="1" applyFont="1" applyFill="1" applyBorder="1" applyAlignment="1">
      <alignment horizontal="center" vertical="center"/>
    </xf>
    <xf numFmtId="180" fontId="13" fillId="2" borderId="0" xfId="3" applyNumberFormat="1" applyFont="1" applyFill="1" applyAlignment="1">
      <alignment horizontal="center" vertical="center"/>
    </xf>
    <xf numFmtId="180" fontId="13" fillId="2" borderId="15" xfId="3" applyNumberFormat="1" applyFont="1" applyFill="1" applyBorder="1" applyAlignment="1">
      <alignment horizontal="center" vertical="center"/>
    </xf>
    <xf numFmtId="9" fontId="13" fillId="2" borderId="0" xfId="3" applyFont="1" applyFill="1" applyAlignment="1">
      <alignment horizontal="center" vertical="center"/>
    </xf>
    <xf numFmtId="173" fontId="49" fillId="2" borderId="0" xfId="0" applyNumberFormat="1" applyFont="1" applyFill="1" applyAlignment="1">
      <alignment horizontal="center" vertical="center"/>
    </xf>
    <xf numFmtId="9" fontId="13" fillId="2" borderId="0" xfId="3" applyFont="1" applyFill="1" applyBorder="1" applyAlignment="1">
      <alignment horizontal="center" vertical="center"/>
    </xf>
    <xf numFmtId="9" fontId="13" fillId="2" borderId="15" xfId="3" applyFont="1" applyFill="1" applyBorder="1" applyAlignment="1">
      <alignment horizontal="center" vertical="center"/>
    </xf>
    <xf numFmtId="0" fontId="0" fillId="0" borderId="0" xfId="0" applyAlignment="1">
      <alignment vertical="center"/>
    </xf>
    <xf numFmtId="3" fontId="0" fillId="2" borderId="0" xfId="0" applyNumberFormat="1" applyFill="1" applyAlignment="1">
      <alignment vertical="center"/>
    </xf>
    <xf numFmtId="3" fontId="39" fillId="2" borderId="0" xfId="0" applyNumberFormat="1" applyFont="1" applyFill="1" applyAlignment="1">
      <alignment horizontal="right" vertical="center" indent="1"/>
    </xf>
    <xf numFmtId="0" fontId="39" fillId="2" borderId="0" xfId="0" applyFont="1" applyFill="1" applyAlignment="1">
      <alignment horizontal="right" vertical="center" indent="1"/>
    </xf>
    <xf numFmtId="0" fontId="0" fillId="2" borderId="0" xfId="0" applyFill="1" applyAlignment="1">
      <alignment horizontal="right" vertical="center"/>
    </xf>
    <xf numFmtId="182" fontId="0" fillId="2" borderId="0" xfId="0" applyNumberFormat="1" applyFill="1" applyAlignment="1">
      <alignment vertical="center"/>
    </xf>
    <xf numFmtId="4" fontId="1" fillId="5" borderId="0" xfId="0" applyNumberFormat="1" applyFont="1" applyFill="1" applyAlignment="1">
      <alignment horizontal="center"/>
    </xf>
    <xf numFmtId="0" fontId="0" fillId="2" borderId="0" xfId="0" applyFont="1" applyFill="1" applyAlignment="1">
      <alignment vertical="center"/>
    </xf>
    <xf numFmtId="2" fontId="73" fillId="2" borderId="0" xfId="0" applyNumberFormat="1" applyFont="1" applyFill="1" applyAlignment="1">
      <alignment horizontal="right" vertical="center" indent="1"/>
    </xf>
    <xf numFmtId="2" fontId="73" fillId="2" borderId="15" xfId="0" applyNumberFormat="1" applyFont="1" applyFill="1" applyBorder="1" applyAlignment="1">
      <alignment horizontal="right" vertical="center" indent="1"/>
    </xf>
    <xf numFmtId="0" fontId="73" fillId="2" borderId="0" xfId="0" applyFont="1" applyFill="1" applyAlignment="1">
      <alignment horizontal="right" vertical="center"/>
    </xf>
    <xf numFmtId="169" fontId="73" fillId="2" borderId="0" xfId="0" applyNumberFormat="1" applyFont="1" applyFill="1" applyAlignment="1">
      <alignment horizontal="right" vertical="center"/>
    </xf>
    <xf numFmtId="3" fontId="73" fillId="2" borderId="0" xfId="0" applyNumberFormat="1" applyFont="1" applyFill="1" applyAlignment="1">
      <alignment horizontal="right" vertical="center" indent="1"/>
    </xf>
    <xf numFmtId="0" fontId="73" fillId="2" borderId="0" xfId="0" applyFont="1" applyFill="1" applyAlignment="1">
      <alignment horizontal="right" vertical="center" indent="1"/>
    </xf>
    <xf numFmtId="9" fontId="39" fillId="2" borderId="0" xfId="3" applyFont="1" applyFill="1" applyAlignment="1">
      <alignment horizontal="right" vertical="center" indent="1"/>
    </xf>
    <xf numFmtId="9" fontId="73" fillId="2" borderId="0" xfId="3" applyFont="1" applyFill="1" applyAlignment="1">
      <alignment horizontal="right" vertical="center" indent="1"/>
    </xf>
    <xf numFmtId="2" fontId="73" fillId="2" borderId="0" xfId="0" applyNumberFormat="1" applyFont="1" applyFill="1" applyBorder="1" applyAlignment="1">
      <alignment horizontal="right" vertical="center" indent="1"/>
    </xf>
    <xf numFmtId="0" fontId="74" fillId="7" borderId="30" xfId="0" applyFont="1" applyFill="1" applyBorder="1" applyAlignment="1">
      <alignment horizontal="right" vertical="center"/>
    </xf>
    <xf numFmtId="172" fontId="75" fillId="7" borderId="31" xfId="3" applyNumberFormat="1" applyFont="1" applyFill="1" applyBorder="1" applyAlignment="1">
      <alignment horizontal="right" vertical="center"/>
    </xf>
    <xf numFmtId="169" fontId="75" fillId="7" borderId="30" xfId="3" applyNumberFormat="1" applyFont="1" applyFill="1" applyBorder="1" applyAlignment="1">
      <alignment horizontal="left" vertical="center"/>
    </xf>
    <xf numFmtId="169" fontId="75" fillId="7" borderId="0" xfId="3" applyNumberFormat="1" applyFont="1" applyFill="1" applyBorder="1" applyAlignment="1">
      <alignment horizontal="left" vertical="center"/>
    </xf>
    <xf numFmtId="0" fontId="74" fillId="2" borderId="30" xfId="0" applyFont="1" applyFill="1" applyBorder="1" applyAlignment="1">
      <alignment horizontal="right" vertical="center"/>
    </xf>
    <xf numFmtId="172" fontId="75" fillId="2" borderId="31" xfId="3" applyNumberFormat="1" applyFont="1" applyFill="1" applyBorder="1" applyAlignment="1">
      <alignment horizontal="right" vertical="center"/>
    </xf>
    <xf numFmtId="169" fontId="75" fillId="2" borderId="30" xfId="3" applyNumberFormat="1" applyFont="1" applyFill="1" applyBorder="1" applyAlignment="1">
      <alignment horizontal="left" vertical="center"/>
    </xf>
    <xf numFmtId="169" fontId="75" fillId="2" borderId="0" xfId="3" applyNumberFormat="1" applyFont="1" applyFill="1" applyBorder="1" applyAlignment="1">
      <alignment horizontal="left" vertical="center"/>
    </xf>
    <xf numFmtId="176" fontId="0" fillId="2" borderId="0" xfId="0" applyNumberFormat="1" applyFill="1" applyAlignment="1">
      <alignment horizontal="right" vertical="center" indent="1"/>
    </xf>
    <xf numFmtId="177" fontId="0" fillId="2" borderId="0" xfId="0" applyNumberFormat="1" applyFill="1" applyAlignment="1">
      <alignment horizontal="right" vertical="center" indent="1"/>
    </xf>
    <xf numFmtId="9" fontId="28" fillId="2" borderId="0" xfId="3" applyFont="1" applyFill="1" applyAlignment="1">
      <alignment vertical="center"/>
    </xf>
    <xf numFmtId="2" fontId="28" fillId="2" borderId="0" xfId="0" applyNumberFormat="1" applyFont="1" applyFill="1" applyAlignment="1">
      <alignment vertical="center"/>
    </xf>
    <xf numFmtId="169" fontId="28" fillId="2" borderId="0" xfId="3" applyNumberFormat="1" applyFont="1" applyFill="1" applyAlignment="1">
      <alignment vertical="center"/>
    </xf>
    <xf numFmtId="2" fontId="28" fillId="2" borderId="15" xfId="0" applyNumberFormat="1" applyFont="1" applyFill="1" applyBorder="1" applyAlignment="1">
      <alignment vertical="center"/>
    </xf>
    <xf numFmtId="9" fontId="28" fillId="2" borderId="0" xfId="3" applyFont="1" applyFill="1" applyBorder="1" applyAlignment="1">
      <alignment vertical="center"/>
    </xf>
    <xf numFmtId="9" fontId="28" fillId="2" borderId="15" xfId="3" applyFont="1" applyFill="1" applyBorder="1" applyAlignment="1">
      <alignment vertical="center"/>
    </xf>
    <xf numFmtId="183" fontId="0" fillId="2" borderId="0" xfId="0" applyNumberFormat="1" applyFill="1" applyAlignment="1">
      <alignment horizontal="right" vertical="center" indent="1"/>
    </xf>
    <xf numFmtId="2" fontId="73" fillId="42" borderId="0" xfId="0" applyNumberFormat="1" applyFont="1" applyFill="1" applyAlignment="1">
      <alignment horizontal="right" vertical="center" indent="1"/>
    </xf>
    <xf numFmtId="169" fontId="75" fillId="7" borderId="36" xfId="3" applyNumberFormat="1" applyFont="1" applyFill="1" applyBorder="1" applyAlignment="1">
      <alignment horizontal="left" vertical="center"/>
    </xf>
    <xf numFmtId="169" fontId="0" fillId="2" borderId="0" xfId="3" applyNumberFormat="1" applyFont="1" applyFill="1" applyAlignment="1">
      <alignment horizontal="right" vertical="center" indent="1"/>
    </xf>
    <xf numFmtId="0" fontId="14" fillId="3" borderId="0" xfId="0" applyFont="1" applyFill="1" applyAlignment="1">
      <alignment horizontal="center" vertical="center"/>
    </xf>
    <xf numFmtId="171" fontId="25" fillId="2" borderId="0" xfId="0" applyNumberFormat="1" applyFont="1" applyFill="1" applyAlignment="1">
      <alignment horizontal="right" vertical="center" indent="1"/>
    </xf>
    <xf numFmtId="171" fontId="24" fillId="2" borderId="6" xfId="0" applyNumberFormat="1" applyFont="1" applyFill="1" applyBorder="1" applyAlignment="1">
      <alignment horizontal="right" vertical="center" indent="1"/>
    </xf>
    <xf numFmtId="0" fontId="22" fillId="2" borderId="0" xfId="0" applyFont="1" applyFill="1" applyAlignment="1">
      <alignment horizontal="center" vertical="center"/>
    </xf>
    <xf numFmtId="181" fontId="0" fillId="2" borderId="0" xfId="0" applyNumberFormat="1" applyFill="1" applyAlignment="1">
      <alignment horizontal="center" vertical="center"/>
    </xf>
    <xf numFmtId="181" fontId="22" fillId="2" borderId="0" xfId="0" applyNumberFormat="1" applyFont="1" applyFill="1" applyAlignment="1">
      <alignment horizontal="center" vertical="center"/>
    </xf>
    <xf numFmtId="4" fontId="76" fillId="2" borderId="0" xfId="0" applyNumberFormat="1" applyFont="1" applyFill="1" applyAlignment="1">
      <alignment horizontal="right" vertical="center" indent="1"/>
    </xf>
    <xf numFmtId="0" fontId="45" fillId="7" borderId="30" xfId="0" applyFont="1" applyFill="1" applyBorder="1" applyAlignment="1">
      <alignment horizontal="right" vertical="center"/>
    </xf>
    <xf numFmtId="172" fontId="46" fillId="7" borderId="31" xfId="3" applyNumberFormat="1" applyFont="1" applyFill="1" applyBorder="1" applyAlignment="1">
      <alignment horizontal="right" vertical="center"/>
    </xf>
    <xf numFmtId="169" fontId="46" fillId="7" borderId="30" xfId="3" applyNumberFormat="1" applyFont="1" applyFill="1" applyBorder="1" applyAlignment="1">
      <alignment horizontal="left" vertical="center"/>
    </xf>
    <xf numFmtId="169" fontId="46" fillId="7" borderId="0" xfId="3" applyNumberFormat="1" applyFont="1" applyFill="1" applyBorder="1" applyAlignment="1">
      <alignment horizontal="left" vertical="center"/>
    </xf>
    <xf numFmtId="0" fontId="45" fillId="2" borderId="30" xfId="0" applyFont="1" applyFill="1" applyBorder="1" applyAlignment="1">
      <alignment horizontal="right" vertical="center"/>
    </xf>
    <xf numFmtId="172" fontId="46" fillId="2" borderId="31" xfId="3" applyNumberFormat="1" applyFont="1" applyFill="1" applyBorder="1" applyAlignment="1">
      <alignment horizontal="right" vertical="center"/>
    </xf>
    <xf numFmtId="169" fontId="46" fillId="2" borderId="30" xfId="3" applyNumberFormat="1" applyFont="1" applyFill="1" applyBorder="1" applyAlignment="1">
      <alignment horizontal="left" vertical="center"/>
    </xf>
    <xf numFmtId="169" fontId="46" fillId="2" borderId="0" xfId="3" applyNumberFormat="1" applyFont="1" applyFill="1" applyBorder="1" applyAlignment="1">
      <alignment horizontal="left" vertical="center"/>
    </xf>
    <xf numFmtId="10" fontId="46" fillId="7" borderId="0" xfId="3" applyNumberFormat="1" applyFont="1" applyFill="1" applyBorder="1" applyAlignment="1">
      <alignment horizontal="left" vertical="center"/>
    </xf>
    <xf numFmtId="0" fontId="74" fillId="7" borderId="34" xfId="0" applyFont="1" applyFill="1" applyBorder="1" applyAlignment="1">
      <alignment horizontal="right" vertical="center"/>
    </xf>
    <xf numFmtId="4" fontId="2" fillId="43" borderId="0" xfId="0" applyNumberFormat="1" applyFont="1" applyFill="1" applyAlignment="1">
      <alignment horizontal="right" vertical="center" indent="1"/>
    </xf>
    <xf numFmtId="4" fontId="0" fillId="2" borderId="0" xfId="0" applyNumberFormat="1" applyFont="1" applyFill="1" applyAlignment="1">
      <alignment horizontal="center" vertical="center"/>
    </xf>
    <xf numFmtId="4" fontId="0" fillId="3" borderId="0" xfId="0" applyNumberFormat="1" applyFont="1" applyFill="1" applyAlignment="1">
      <alignment horizontal="center" vertical="center"/>
    </xf>
    <xf numFmtId="4" fontId="0" fillId="2" borderId="0" xfId="0" applyNumberFormat="1" applyFont="1" applyFill="1" applyAlignment="1">
      <alignment horizontal="right" vertical="center" indent="1"/>
    </xf>
    <xf numFmtId="10" fontId="0" fillId="2" borderId="0" xfId="3" applyNumberFormat="1" applyFont="1" applyFill="1" applyAlignment="1">
      <alignment horizontal="left" vertical="center"/>
    </xf>
    <xf numFmtId="0" fontId="0" fillId="2" borderId="0" xfId="0" applyFill="1" applyAlignment="1">
      <alignment horizontal="center" vertical="center"/>
    </xf>
    <xf numFmtId="10" fontId="0" fillId="2" borderId="0" xfId="0" applyNumberFormat="1" applyFill="1" applyAlignment="1">
      <alignment vertical="center"/>
    </xf>
    <xf numFmtId="0" fontId="30" fillId="0" borderId="0" xfId="0" applyFont="1"/>
    <xf numFmtId="0" fontId="0" fillId="2" borderId="0" xfId="0" applyFill="1" applyAlignment="1">
      <alignment horizontal="center" vertical="center"/>
    </xf>
    <xf numFmtId="169" fontId="73" fillId="2" borderId="0" xfId="3" applyNumberFormat="1" applyFont="1" applyFill="1" applyBorder="1" applyAlignment="1">
      <alignment horizontal="right" vertical="center" indent="1"/>
    </xf>
    <xf numFmtId="0" fontId="76" fillId="2" borderId="0" xfId="0" applyFont="1" applyFill="1" applyAlignment="1">
      <alignment vertical="center"/>
    </xf>
    <xf numFmtId="10" fontId="77" fillId="2" borderId="0" xfId="0" applyNumberFormat="1" applyFont="1" applyFill="1" applyAlignment="1">
      <alignment horizontal="right" vertical="center"/>
    </xf>
    <xf numFmtId="171" fontId="0" fillId="2" borderId="15" xfId="0" applyNumberFormat="1" applyFill="1" applyBorder="1" applyAlignment="1">
      <alignment horizontal="right" vertical="center" indent="1"/>
    </xf>
    <xf numFmtId="3" fontId="25" fillId="2" borderId="0" xfId="0" applyNumberFormat="1" applyFont="1" applyFill="1" applyAlignment="1">
      <alignment horizontal="right" vertical="center" indent="1"/>
    </xf>
    <xf numFmtId="169" fontId="54" fillId="10" borderId="30" xfId="3" applyNumberFormat="1" applyFont="1" applyFill="1" applyBorder="1" applyAlignment="1">
      <alignment horizontal="center" vertical="center"/>
    </xf>
    <xf numFmtId="0" fontId="21" fillId="7" borderId="30" xfId="0" applyFont="1" applyFill="1" applyBorder="1" applyAlignment="1">
      <alignment vertical="center"/>
    </xf>
    <xf numFmtId="0" fontId="21" fillId="2" borderId="0" xfId="0" applyFont="1" applyFill="1" applyAlignment="1">
      <alignment vertical="center"/>
    </xf>
    <xf numFmtId="0" fontId="21" fillId="2" borderId="30" xfId="0" applyFont="1" applyFill="1" applyBorder="1" applyAlignment="1">
      <alignment vertical="center"/>
    </xf>
    <xf numFmtId="0" fontId="29" fillId="3" borderId="0" xfId="0" applyFont="1" applyFill="1" applyAlignment="1">
      <alignment horizontal="center" vertical="center"/>
    </xf>
    <xf numFmtId="169" fontId="75" fillId="7" borderId="34" xfId="3" applyNumberFormat="1" applyFont="1" applyFill="1" applyBorder="1" applyAlignment="1">
      <alignment horizontal="left" vertical="center"/>
    </xf>
    <xf numFmtId="10" fontId="46" fillId="7" borderId="30" xfId="3" applyNumberFormat="1" applyFont="1" applyFill="1" applyBorder="1" applyAlignment="1">
      <alignment horizontal="left" vertical="center"/>
    </xf>
    <xf numFmtId="3" fontId="19" fillId="7" borderId="31" xfId="0" applyNumberFormat="1" applyFont="1" applyFill="1" applyBorder="1" applyAlignment="1">
      <alignment horizontal="center" vertical="center"/>
    </xf>
    <xf numFmtId="3" fontId="19" fillId="7" borderId="0" xfId="0" applyNumberFormat="1" applyFont="1" applyFill="1" applyAlignment="1">
      <alignment horizontal="center" vertical="center"/>
    </xf>
    <xf numFmtId="3" fontId="19" fillId="7" borderId="30" xfId="0" applyNumberFormat="1" applyFont="1" applyFill="1" applyBorder="1" applyAlignment="1">
      <alignment horizontal="center" vertical="center"/>
    </xf>
    <xf numFmtId="3" fontId="19" fillId="2" borderId="31" xfId="0" applyNumberFormat="1" applyFont="1" applyFill="1" applyBorder="1" applyAlignment="1">
      <alignment horizontal="center" vertical="center"/>
    </xf>
    <xf numFmtId="3" fontId="19" fillId="2" borderId="30" xfId="0" applyNumberFormat="1" applyFont="1" applyFill="1" applyBorder="1" applyAlignment="1">
      <alignment horizontal="center" vertical="center"/>
    </xf>
    <xf numFmtId="3" fontId="19" fillId="2" borderId="0" xfId="0" applyNumberFormat="1" applyFont="1" applyFill="1" applyAlignment="1">
      <alignment horizontal="center" vertical="center"/>
    </xf>
    <xf numFmtId="172" fontId="75" fillId="7" borderId="33" xfId="3" applyNumberFormat="1" applyFont="1" applyFill="1" applyBorder="1" applyAlignment="1">
      <alignment horizontal="right" vertical="center"/>
    </xf>
    <xf numFmtId="10" fontId="28" fillId="2" borderId="0" xfId="0" applyNumberFormat="1" applyFont="1" applyFill="1" applyAlignment="1">
      <alignment horizontal="right" vertical="center"/>
    </xf>
    <xf numFmtId="170" fontId="54" fillId="7" borderId="31" xfId="4" applyNumberFormat="1" applyFont="1" applyFill="1" applyBorder="1" applyAlignment="1">
      <alignment horizontal="center" vertical="center"/>
    </xf>
    <xf numFmtId="170" fontId="54" fillId="7" borderId="30" xfId="4" applyNumberFormat="1" applyFont="1" applyFill="1" applyBorder="1" applyAlignment="1">
      <alignment horizontal="center" vertical="center"/>
    </xf>
    <xf numFmtId="170" fontId="54" fillId="7" borderId="30" xfId="4" applyNumberFormat="1"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center" vertical="center"/>
    </xf>
    <xf numFmtId="9" fontId="46" fillId="2" borderId="30" xfId="3" applyNumberFormat="1" applyFont="1" applyFill="1" applyBorder="1" applyAlignment="1">
      <alignment horizontal="left" vertical="center"/>
    </xf>
    <xf numFmtId="17" fontId="0" fillId="2" borderId="0" xfId="0" applyNumberFormat="1" applyFill="1" applyAlignment="1">
      <alignment horizontal="center" vertical="center" wrapText="1"/>
    </xf>
    <xf numFmtId="17" fontId="0" fillId="2" borderId="0" xfId="0" applyNumberFormat="1" applyFill="1" applyAlignment="1">
      <alignment vertical="center" wrapText="1"/>
    </xf>
    <xf numFmtId="17" fontId="0" fillId="2" borderId="0" xfId="0" applyNumberFormat="1" applyFill="1" applyAlignment="1">
      <alignment horizontal="right" vertical="center"/>
    </xf>
    <xf numFmtId="10" fontId="73" fillId="2" borderId="0" xfId="0" applyNumberFormat="1" applyFont="1" applyFill="1" applyAlignment="1">
      <alignment horizontal="center" vertical="center"/>
    </xf>
    <xf numFmtId="10" fontId="73" fillId="2" borderId="0" xfId="3" applyNumberFormat="1" applyFont="1" applyFill="1" applyAlignment="1">
      <alignment horizontal="right" vertical="center" indent="1"/>
    </xf>
    <xf numFmtId="4" fontId="0" fillId="2" borderId="17" xfId="0" applyNumberFormat="1" applyFill="1" applyBorder="1" applyAlignment="1">
      <alignment horizontal="right" vertical="center" indent="1"/>
    </xf>
    <xf numFmtId="4" fontId="0" fillId="2" borderId="18" xfId="0" applyNumberFormat="1" applyFill="1" applyBorder="1" applyAlignment="1">
      <alignment horizontal="right" vertical="center" indent="1"/>
    </xf>
    <xf numFmtId="169" fontId="0" fillId="2" borderId="20" xfId="3" applyNumberFormat="1" applyFont="1" applyFill="1" applyBorder="1" applyAlignment="1">
      <alignment horizontal="right" vertical="center" indent="1"/>
    </xf>
    <xf numFmtId="169" fontId="0" fillId="2" borderId="18" xfId="3" applyNumberFormat="1" applyFont="1" applyFill="1" applyBorder="1" applyAlignment="1">
      <alignment horizontal="right" vertical="center" indent="1"/>
    </xf>
    <xf numFmtId="169" fontId="0" fillId="2" borderId="22" xfId="3" applyNumberFormat="1" applyFont="1" applyFill="1" applyBorder="1" applyAlignment="1">
      <alignment horizontal="right" vertical="center" indent="1"/>
    </xf>
    <xf numFmtId="0" fontId="28" fillId="2" borderId="0" xfId="0" applyFont="1" applyFill="1" applyAlignment="1">
      <alignment horizontal="center" vertical="center"/>
    </xf>
    <xf numFmtId="184" fontId="0" fillId="2" borderId="0" xfId="0" applyNumberFormat="1" applyFill="1" applyAlignment="1">
      <alignment horizontal="right" vertical="center" indent="1"/>
    </xf>
    <xf numFmtId="184" fontId="0" fillId="2" borderId="15" xfId="0" applyNumberFormat="1" applyFill="1" applyBorder="1" applyAlignment="1">
      <alignment horizontal="right" vertical="center" indent="1"/>
    </xf>
    <xf numFmtId="184" fontId="0" fillId="2" borderId="17" xfId="0" applyNumberFormat="1" applyFill="1" applyBorder="1" applyAlignment="1">
      <alignment horizontal="right" vertical="center" indent="1"/>
    </xf>
    <xf numFmtId="9" fontId="73" fillId="2" borderId="0" xfId="3" applyNumberFormat="1" applyFont="1" applyFill="1" applyBorder="1" applyAlignment="1">
      <alignment horizontal="right" vertical="center" indent="1"/>
    </xf>
    <xf numFmtId="0" fontId="14" fillId="3" borderId="0" xfId="0" applyFont="1" applyFill="1" applyAlignment="1">
      <alignment horizontal="left" vertical="center"/>
    </xf>
    <xf numFmtId="0" fontId="10" fillId="3" borderId="0" xfId="0" applyFont="1" applyFill="1" applyAlignment="1">
      <alignment horizontal="center" vertical="center"/>
    </xf>
    <xf numFmtId="0" fontId="0" fillId="2" borderId="0" xfId="0" applyFill="1" applyAlignment="1">
      <alignment horizontal="center"/>
    </xf>
    <xf numFmtId="0" fontId="15" fillId="2" borderId="0" xfId="0" applyFont="1" applyFill="1" applyAlignment="1">
      <alignment horizontal="left" vertical="top"/>
    </xf>
    <xf numFmtId="0" fontId="15" fillId="44" borderId="7" xfId="0" applyFont="1" applyFill="1" applyBorder="1" applyAlignment="1">
      <alignment horizontal="left" vertical="top" wrapText="1"/>
    </xf>
    <xf numFmtId="0" fontId="78" fillId="2" borderId="0" xfId="0" applyFont="1" applyFill="1"/>
    <xf numFmtId="0" fontId="79" fillId="44" borderId="12" xfId="0" applyFont="1" applyFill="1" applyBorder="1" applyAlignment="1">
      <alignment vertical="center" wrapText="1"/>
    </xf>
    <xf numFmtId="0" fontId="79" fillId="44" borderId="48" xfId="0" applyFont="1" applyFill="1" applyBorder="1" applyAlignment="1">
      <alignment vertical="center" wrapText="1"/>
    </xf>
    <xf numFmtId="0" fontId="79" fillId="44" borderId="13" xfId="0" applyFont="1" applyFill="1" applyBorder="1" applyAlignment="1">
      <alignment horizontal="center" vertical="center" wrapText="1"/>
    </xf>
    <xf numFmtId="0" fontId="79" fillId="44" borderId="48" xfId="0" applyFont="1" applyFill="1" applyBorder="1" applyAlignment="1">
      <alignment horizontal="center" vertical="center" wrapText="1"/>
    </xf>
    <xf numFmtId="0" fontId="79" fillId="44" borderId="49" xfId="0" applyFont="1" applyFill="1" applyBorder="1" applyAlignment="1">
      <alignment horizontal="center" vertical="center" wrapText="1"/>
    </xf>
    <xf numFmtId="0" fontId="79" fillId="44" borderId="14" xfId="0" applyFont="1" applyFill="1" applyBorder="1" applyAlignment="1">
      <alignment horizontal="center" vertical="center" wrapText="1"/>
    </xf>
    <xf numFmtId="0" fontId="56" fillId="2" borderId="0" xfId="0" applyFont="1" applyFill="1"/>
    <xf numFmtId="4" fontId="24" fillId="45" borderId="10" xfId="0" applyNumberFormat="1" applyFont="1" applyFill="1" applyBorder="1" applyAlignment="1">
      <alignment vertical="center"/>
    </xf>
    <xf numFmtId="4" fontId="25" fillId="45" borderId="20" xfId="0" applyNumberFormat="1" applyFont="1" applyFill="1" applyBorder="1" applyAlignment="1">
      <alignment vertical="center"/>
    </xf>
    <xf numFmtId="4" fontId="25" fillId="46" borderId="20" xfId="0" applyNumberFormat="1" applyFont="1" applyFill="1" applyBorder="1" applyAlignment="1">
      <alignment vertical="center"/>
    </xf>
    <xf numFmtId="4" fontId="25" fillId="46" borderId="19" xfId="0" applyNumberFormat="1" applyFont="1" applyFill="1" applyBorder="1" applyAlignment="1">
      <alignment vertical="center"/>
    </xf>
    <xf numFmtId="40" fontId="25" fillId="46" borderId="19" xfId="0" applyNumberFormat="1" applyFont="1" applyFill="1" applyBorder="1" applyAlignment="1">
      <alignment vertical="center"/>
    </xf>
    <xf numFmtId="185" fontId="25" fillId="46" borderId="11" xfId="3" applyNumberFormat="1" applyFont="1" applyFill="1" applyBorder="1" applyAlignment="1">
      <alignment vertical="center"/>
    </xf>
    <xf numFmtId="169" fontId="80" fillId="46" borderId="20" xfId="3" applyNumberFormat="1" applyFont="1" applyFill="1" applyBorder="1" applyAlignment="1">
      <alignment vertical="center"/>
    </xf>
    <xf numFmtId="4" fontId="80" fillId="45" borderId="10" xfId="0" applyNumberFormat="1" applyFont="1" applyFill="1" applyBorder="1" applyAlignment="1">
      <alignment vertical="center"/>
    </xf>
    <xf numFmtId="4" fontId="24" fillId="45" borderId="50" xfId="0" applyNumberFormat="1" applyFont="1" applyFill="1" applyBorder="1" applyAlignment="1">
      <alignment vertical="center"/>
    </xf>
    <xf numFmtId="4" fontId="45" fillId="46" borderId="51" xfId="0" applyNumberFormat="1" applyFont="1" applyFill="1" applyBorder="1" applyAlignment="1">
      <alignment vertical="center"/>
    </xf>
    <xf numFmtId="3" fontId="24" fillId="46" borderId="52" xfId="0" applyNumberFormat="1" applyFont="1" applyFill="1" applyBorder="1" applyAlignment="1">
      <alignment vertical="center"/>
    </xf>
    <xf numFmtId="0" fontId="35" fillId="2" borderId="0" xfId="0" applyFont="1" applyFill="1" applyAlignment="1">
      <alignment vertical="top"/>
    </xf>
    <xf numFmtId="3" fontId="0" fillId="2" borderId="0" xfId="0" applyNumberFormat="1" applyFill="1" applyAlignment="1">
      <alignment horizontal="center"/>
    </xf>
    <xf numFmtId="0" fontId="81" fillId="2" borderId="0" xfId="0" applyFont="1" applyFill="1"/>
    <xf numFmtId="0" fontId="5" fillId="2" borderId="0" xfId="0" applyFont="1" applyFill="1" applyAlignment="1">
      <alignment horizontal="center"/>
    </xf>
    <xf numFmtId="0" fontId="4" fillId="2" borderId="0" xfId="0" applyFont="1" applyFill="1"/>
    <xf numFmtId="0" fontId="4" fillId="2" borderId="0" xfId="0" applyFont="1" applyFill="1" applyAlignment="1">
      <alignment horizontal="center" vertical="center" wrapText="1"/>
    </xf>
    <xf numFmtId="0" fontId="4" fillId="2" borderId="0" xfId="0" applyFont="1" applyFill="1" applyAlignment="1">
      <alignment wrapText="1"/>
    </xf>
    <xf numFmtId="3" fontId="4" fillId="2" borderId="0" xfId="0" applyNumberFormat="1" applyFont="1" applyFill="1"/>
    <xf numFmtId="185" fontId="5" fillId="2" borderId="0" xfId="3" applyNumberFormat="1" applyFont="1" applyFill="1" applyAlignment="1">
      <alignment horizontal="right"/>
    </xf>
    <xf numFmtId="185" fontId="5" fillId="2" borderId="0" xfId="0" applyNumberFormat="1" applyFont="1" applyFill="1" applyAlignment="1">
      <alignment horizontal="right"/>
    </xf>
    <xf numFmtId="0" fontId="4" fillId="2" borderId="0" xfId="0" applyFont="1" applyFill="1" applyAlignment="1">
      <alignment horizontal="right"/>
    </xf>
    <xf numFmtId="185" fontId="4" fillId="2" borderId="0" xfId="3" applyNumberFormat="1" applyFont="1" applyFill="1" applyAlignment="1">
      <alignment horizontal="right"/>
    </xf>
    <xf numFmtId="185" fontId="4" fillId="2" borderId="0" xfId="0" applyNumberFormat="1" applyFont="1" applyFill="1" applyAlignment="1">
      <alignment horizontal="right"/>
    </xf>
    <xf numFmtId="0" fontId="76" fillId="2" borderId="0" xfId="0" applyFont="1" applyFill="1"/>
    <xf numFmtId="0" fontId="46" fillId="2" borderId="0" xfId="0" applyFont="1" applyFill="1"/>
    <xf numFmtId="0" fontId="82" fillId="2" borderId="0" xfId="0" applyFont="1" applyFill="1" applyAlignment="1">
      <alignment vertical="center"/>
    </xf>
    <xf numFmtId="0" fontId="0" fillId="2" borderId="0" xfId="0" applyFill="1" applyBorder="1" applyAlignment="1">
      <alignment vertical="center"/>
    </xf>
    <xf numFmtId="40" fontId="25" fillId="46" borderId="0" xfId="0" applyNumberFormat="1" applyFont="1" applyFill="1" applyBorder="1" applyAlignment="1">
      <alignment vertical="center"/>
    </xf>
    <xf numFmtId="3" fontId="24" fillId="46" borderId="52" xfId="0" applyNumberFormat="1" applyFont="1" applyFill="1" applyBorder="1" applyAlignment="1">
      <alignment horizontal="right" vertical="center"/>
    </xf>
    <xf numFmtId="169" fontId="4" fillId="2" borderId="0" xfId="3" applyNumberFormat="1" applyFont="1" applyFill="1"/>
    <xf numFmtId="0" fontId="1" fillId="5" borderId="0" xfId="0" applyFont="1" applyFill="1" applyBorder="1" applyAlignment="1">
      <alignment horizontal="center"/>
    </xf>
    <xf numFmtId="3" fontId="0" fillId="2" borderId="0" xfId="0" applyNumberFormat="1" applyFont="1" applyFill="1" applyAlignment="1">
      <alignment horizontal="left" vertical="center"/>
    </xf>
    <xf numFmtId="2" fontId="73" fillId="48" borderId="0" xfId="0" applyNumberFormat="1" applyFont="1" applyFill="1" applyAlignment="1">
      <alignment horizontal="right" vertical="center" indent="1"/>
    </xf>
    <xf numFmtId="0" fontId="84" fillId="2" borderId="0" xfId="0" applyFont="1" applyFill="1" applyAlignment="1">
      <alignment horizontal="left" vertical="center"/>
    </xf>
    <xf numFmtId="0" fontId="84" fillId="3" borderId="0" xfId="0" applyFont="1" applyFill="1" applyAlignment="1">
      <alignment horizontal="left" vertical="center"/>
    </xf>
    <xf numFmtId="0" fontId="85" fillId="5" borderId="0" xfId="0" applyFont="1" applyFill="1" applyBorder="1" applyAlignment="1">
      <alignment horizontal="left"/>
    </xf>
    <xf numFmtId="0" fontId="85" fillId="5" borderId="0" xfId="0" applyFont="1" applyFill="1" applyAlignment="1">
      <alignment horizontal="left"/>
    </xf>
    <xf numFmtId="0" fontId="85" fillId="5" borderId="0" xfId="0" applyFont="1" applyFill="1" applyAlignment="1">
      <alignment horizontal="left" vertical="center" indent="1"/>
    </xf>
    <xf numFmtId="0" fontId="85" fillId="5" borderId="0" xfId="0" applyFont="1" applyFill="1" applyAlignment="1">
      <alignment horizontal="left" vertical="top" indent="1"/>
    </xf>
    <xf numFmtId="10" fontId="84" fillId="2" borderId="0" xfId="3" applyNumberFormat="1" applyFont="1" applyFill="1" applyAlignment="1">
      <alignment horizontal="left" vertical="center" indent="1"/>
    </xf>
    <xf numFmtId="1" fontId="84" fillId="2" borderId="0" xfId="3" applyNumberFormat="1" applyFont="1" applyFill="1" applyAlignment="1">
      <alignment horizontal="left" vertical="center" indent="1"/>
    </xf>
    <xf numFmtId="10" fontId="85" fillId="2" borderId="0" xfId="3" applyNumberFormat="1" applyFont="1" applyFill="1" applyAlignment="1">
      <alignment horizontal="left" vertical="center" indent="1"/>
    </xf>
    <xf numFmtId="3" fontId="28" fillId="47" borderId="0" xfId="0" applyNumberFormat="1" applyFont="1" applyFill="1" applyAlignment="1">
      <alignment horizontal="left" vertical="center"/>
    </xf>
    <xf numFmtId="0" fontId="28" fillId="0" borderId="0" xfId="0" applyFont="1" applyFill="1"/>
    <xf numFmtId="0" fontId="28" fillId="0" borderId="15" xfId="0" applyFont="1" applyFill="1" applyBorder="1"/>
    <xf numFmtId="3" fontId="19" fillId="2" borderId="0" xfId="0" applyNumberFormat="1" applyFont="1" applyFill="1" applyBorder="1" applyAlignment="1">
      <alignment horizontal="center" vertical="center"/>
    </xf>
    <xf numFmtId="170" fontId="21" fillId="2" borderId="0" xfId="0" applyNumberFormat="1" applyFont="1" applyFill="1" applyBorder="1" applyAlignment="1">
      <alignment vertical="center"/>
    </xf>
    <xf numFmtId="3" fontId="19" fillId="2" borderId="0" xfId="0" applyNumberFormat="1" applyFont="1" applyFill="1" applyBorder="1" applyAlignment="1">
      <alignment vertical="center"/>
    </xf>
    <xf numFmtId="10" fontId="46" fillId="2" borderId="0" xfId="3" applyNumberFormat="1" applyFont="1" applyFill="1" applyBorder="1" applyAlignment="1">
      <alignment horizontal="left" vertical="center"/>
    </xf>
    <xf numFmtId="0" fontId="1" fillId="2" borderId="0" xfId="0" applyFont="1" applyFill="1" applyBorder="1" applyAlignment="1">
      <alignment wrapText="1"/>
    </xf>
    <xf numFmtId="0" fontId="31" fillId="2" borderId="0" xfId="0" applyFont="1" applyFill="1" applyBorder="1" applyAlignment="1">
      <alignment vertical="center" wrapText="1"/>
    </xf>
    <xf numFmtId="0" fontId="1" fillId="2" borderId="0" xfId="0" applyFont="1" applyFill="1" applyBorder="1" applyAlignment="1"/>
    <xf numFmtId="0" fontId="0" fillId="2" borderId="0" xfId="0" applyFill="1" applyBorder="1"/>
    <xf numFmtId="0" fontId="28" fillId="2" borderId="0" xfId="0" applyFont="1" applyFill="1" applyBorder="1" applyAlignment="1">
      <alignment vertical="center"/>
    </xf>
    <xf numFmtId="0" fontId="1" fillId="2" borderId="0" xfId="0" applyFont="1" applyFill="1" applyBorder="1" applyAlignment="1">
      <alignment vertical="top" wrapText="1"/>
    </xf>
    <xf numFmtId="0" fontId="21" fillId="2" borderId="0" xfId="0" applyFont="1" applyFill="1" applyBorder="1" applyAlignment="1">
      <alignment vertical="center"/>
    </xf>
    <xf numFmtId="186" fontId="0" fillId="2" borderId="0" xfId="0" applyNumberFormat="1" applyFill="1" applyBorder="1"/>
    <xf numFmtId="0" fontId="32" fillId="2" borderId="0" xfId="0" applyFont="1" applyFill="1" applyBorder="1" applyAlignment="1">
      <alignment vertical="center"/>
    </xf>
    <xf numFmtId="0" fontId="27" fillId="2" borderId="0" xfId="0" applyFont="1" applyFill="1" applyBorder="1" applyAlignment="1">
      <alignment vertical="center" wrapText="1"/>
    </xf>
    <xf numFmtId="3" fontId="19" fillId="2" borderId="0" xfId="0" applyNumberFormat="1" applyFont="1" applyFill="1" applyBorder="1" applyAlignment="1">
      <alignment vertical="center" wrapText="1"/>
    </xf>
    <xf numFmtId="10" fontId="0" fillId="2" borderId="0" xfId="3" applyNumberFormat="1" applyFont="1" applyFill="1" applyBorder="1"/>
    <xf numFmtId="0" fontId="54" fillId="2" borderId="0" xfId="0" applyFont="1" applyFill="1" applyBorder="1" applyAlignment="1">
      <alignment horizontal="left" vertical="center" wrapText="1"/>
    </xf>
    <xf numFmtId="170" fontId="54" fillId="2" borderId="0" xfId="4" applyNumberFormat="1" applyFont="1" applyFill="1" applyBorder="1" applyAlignment="1">
      <alignment horizontal="center" vertical="center"/>
    </xf>
    <xf numFmtId="169" fontId="54" fillId="2" borderId="0" xfId="3" applyNumberFormat="1" applyFont="1" applyFill="1" applyBorder="1" applyAlignment="1">
      <alignment horizontal="center" vertical="center"/>
    </xf>
    <xf numFmtId="170" fontId="54" fillId="2" borderId="0" xfId="4" applyNumberFormat="1" applyFont="1" applyFill="1" applyBorder="1" applyAlignment="1">
      <alignment horizontal="center" vertical="center" wrapText="1"/>
    </xf>
    <xf numFmtId="0" fontId="45" fillId="2" borderId="0" xfId="0" applyFont="1" applyFill="1" applyBorder="1" applyAlignment="1">
      <alignment horizontal="right" vertical="center"/>
    </xf>
    <xf numFmtId="172" fontId="46" fillId="2" borderId="0" xfId="3" applyNumberFormat="1" applyFont="1" applyFill="1" applyBorder="1" applyAlignment="1">
      <alignment horizontal="right" vertical="center"/>
    </xf>
    <xf numFmtId="0" fontId="74" fillId="2" borderId="0" xfId="0" applyFont="1" applyFill="1" applyBorder="1" applyAlignment="1">
      <alignment horizontal="right" vertical="center"/>
    </xf>
    <xf numFmtId="172" fontId="75" fillId="2" borderId="0" xfId="3" applyNumberFormat="1" applyFont="1" applyFill="1" applyBorder="1" applyAlignment="1">
      <alignment horizontal="right" vertical="center"/>
    </xf>
    <xf numFmtId="0" fontId="15" fillId="2" borderId="0" xfId="0" applyFont="1" applyFill="1" applyBorder="1" applyAlignment="1">
      <alignment vertical="center"/>
    </xf>
    <xf numFmtId="9" fontId="46" fillId="2" borderId="0" xfId="3" applyFont="1" applyFill="1" applyBorder="1" applyAlignment="1">
      <alignment horizontal="left" vertical="center"/>
    </xf>
    <xf numFmtId="0" fontId="29" fillId="2" borderId="0" xfId="0" applyFont="1" applyFill="1" applyBorder="1" applyAlignment="1">
      <alignment horizontal="center" vertical="center"/>
    </xf>
    <xf numFmtId="4" fontId="25" fillId="46" borderId="0" xfId="0" applyNumberFormat="1" applyFont="1" applyFill="1" applyBorder="1" applyAlignment="1">
      <alignment horizontal="right" vertical="center"/>
    </xf>
    <xf numFmtId="4" fontId="25" fillId="46" borderId="0" xfId="0" applyNumberFormat="1" applyFont="1" applyFill="1" applyBorder="1" applyAlignment="1">
      <alignment vertical="center"/>
    </xf>
    <xf numFmtId="3" fontId="83" fillId="46" borderId="51" xfId="3" applyNumberFormat="1" applyFont="1" applyFill="1" applyBorder="1" applyAlignment="1">
      <alignment vertical="center"/>
    </xf>
    <xf numFmtId="185" fontId="24" fillId="46" borderId="53" xfId="3" applyNumberFormat="1" applyFont="1" applyFill="1" applyBorder="1" applyAlignment="1">
      <alignment vertical="center"/>
    </xf>
    <xf numFmtId="0" fontId="15" fillId="44" borderId="46" xfId="0" applyFont="1" applyFill="1" applyBorder="1" applyAlignment="1">
      <alignment horizontal="left" vertical="top" wrapText="1"/>
    </xf>
    <xf numFmtId="0" fontId="2" fillId="2" borderId="0" xfId="3" applyNumberFormat="1" applyFont="1" applyFill="1" applyAlignment="1">
      <alignment horizontal="right" vertical="center" indent="1"/>
    </xf>
    <xf numFmtId="4" fontId="25" fillId="46" borderId="46" xfId="0" applyNumberFormat="1" applyFont="1" applyFill="1" applyBorder="1" applyAlignment="1">
      <alignment vertical="center"/>
    </xf>
    <xf numFmtId="40" fontId="25" fillId="46" borderId="47" xfId="0" applyNumberFormat="1" applyFont="1" applyFill="1" applyBorder="1" applyAlignment="1">
      <alignment vertical="center"/>
    </xf>
    <xf numFmtId="185" fontId="25" fillId="46" borderId="46" xfId="3" applyNumberFormat="1" applyFont="1" applyFill="1" applyBorder="1" applyAlignment="1">
      <alignment vertical="center"/>
    </xf>
    <xf numFmtId="185" fontId="25" fillId="46" borderId="20" xfId="3" applyNumberFormat="1" applyFont="1" applyFill="1" applyBorder="1" applyAlignment="1">
      <alignment vertical="center"/>
    </xf>
    <xf numFmtId="185" fontId="24" fillId="46" borderId="51" xfId="3" applyNumberFormat="1" applyFont="1" applyFill="1" applyBorder="1" applyAlignment="1">
      <alignment vertical="center"/>
    </xf>
    <xf numFmtId="40" fontId="25" fillId="46" borderId="21" xfId="0" applyNumberFormat="1" applyFont="1" applyFill="1" applyBorder="1" applyAlignment="1">
      <alignment vertical="center"/>
    </xf>
    <xf numFmtId="185" fontId="25" fillId="46" borderId="54" xfId="3" applyNumberFormat="1" applyFont="1" applyFill="1" applyBorder="1" applyAlignment="1">
      <alignment vertical="center"/>
    </xf>
    <xf numFmtId="0" fontId="0" fillId="2" borderId="13" xfId="0" applyFill="1" applyBorder="1" applyAlignment="1">
      <alignment horizontal="center"/>
    </xf>
    <xf numFmtId="180" fontId="28" fillId="2" borderId="0" xfId="0" applyNumberFormat="1" applyFont="1" applyFill="1" applyAlignment="1">
      <alignment horizontal="center" vertical="center"/>
    </xf>
    <xf numFmtId="0" fontId="39" fillId="0" borderId="0" xfId="0" applyFont="1"/>
    <xf numFmtId="0" fontId="39" fillId="0" borderId="15" xfId="0" applyFont="1" applyBorder="1"/>
    <xf numFmtId="3" fontId="86" fillId="46" borderId="52" xfId="0" applyNumberFormat="1" applyFont="1" applyFill="1" applyBorder="1" applyAlignment="1">
      <alignment vertical="center"/>
    </xf>
    <xf numFmtId="2" fontId="0" fillId="2" borderId="0" xfId="3" applyNumberFormat="1" applyFont="1" applyFill="1" applyAlignment="1">
      <alignment horizontal="right" vertical="center" indent="1"/>
    </xf>
    <xf numFmtId="179" fontId="0" fillId="2" borderId="0" xfId="0" applyNumberFormat="1" applyFill="1" applyBorder="1" applyAlignment="1">
      <alignment vertical="center"/>
    </xf>
    <xf numFmtId="0" fontId="12" fillId="2" borderId="0" xfId="2" applyFont="1" applyFill="1" applyAlignment="1">
      <alignment horizontal="left" vertical="center"/>
    </xf>
    <xf numFmtId="0" fontId="0" fillId="0" borderId="0" xfId="0" applyAlignment="1">
      <alignment horizontal="left" vertical="center"/>
    </xf>
    <xf numFmtId="3" fontId="19" fillId="2" borderId="31" xfId="0" applyNumberFormat="1" applyFont="1" applyFill="1" applyBorder="1" applyAlignment="1">
      <alignment horizontal="center" vertical="center"/>
    </xf>
    <xf numFmtId="3" fontId="19" fillId="2" borderId="0" xfId="0" applyNumberFormat="1" applyFont="1" applyFill="1" applyAlignment="1">
      <alignment horizontal="center" vertical="center"/>
    </xf>
    <xf numFmtId="170" fontId="21" fillId="2" borderId="29" xfId="0" applyNumberFormat="1" applyFont="1" applyFill="1" applyBorder="1" applyAlignment="1">
      <alignment horizontal="center" vertical="center"/>
    </xf>
    <xf numFmtId="170" fontId="21" fillId="2" borderId="31" xfId="0" applyNumberFormat="1" applyFont="1" applyFill="1" applyBorder="1" applyAlignment="1">
      <alignment horizontal="center" vertical="center"/>
    </xf>
    <xf numFmtId="170" fontId="21" fillId="2" borderId="0" xfId="0" applyNumberFormat="1" applyFont="1" applyFill="1" applyAlignment="1">
      <alignment horizontal="center" vertical="center"/>
    </xf>
    <xf numFmtId="0" fontId="1" fillId="4" borderId="27" xfId="0" applyFont="1" applyFill="1" applyBorder="1" applyAlignment="1">
      <alignment horizontal="center"/>
    </xf>
    <xf numFmtId="0" fontId="1" fillId="4" borderId="35" xfId="0" applyFont="1" applyFill="1" applyBorder="1" applyAlignment="1">
      <alignment horizontal="center"/>
    </xf>
    <xf numFmtId="0" fontId="1" fillId="4" borderId="27" xfId="0" applyFont="1" applyFill="1" applyBorder="1" applyAlignment="1">
      <alignment horizontal="center" vertical="top" wrapText="1"/>
    </xf>
    <xf numFmtId="0" fontId="1" fillId="4" borderId="35" xfId="0" applyFont="1" applyFill="1" applyBorder="1" applyAlignment="1">
      <alignment horizontal="center" vertical="top" wrapText="1"/>
    </xf>
    <xf numFmtId="3" fontId="19" fillId="7" borderId="29" xfId="0" applyNumberFormat="1" applyFont="1" applyFill="1" applyBorder="1" applyAlignment="1">
      <alignment horizontal="center" vertical="center"/>
    </xf>
    <xf numFmtId="170" fontId="21" fillId="7" borderId="29" xfId="0" applyNumberFormat="1" applyFont="1" applyFill="1" applyBorder="1" applyAlignment="1">
      <alignment horizontal="center" vertical="center"/>
    </xf>
    <xf numFmtId="0" fontId="27" fillId="7" borderId="30" xfId="0" applyFont="1" applyFill="1" applyBorder="1" applyAlignment="1">
      <alignment horizontal="left" vertical="center" wrapText="1"/>
    </xf>
    <xf numFmtId="0" fontId="27" fillId="2" borderId="30" xfId="0" applyFont="1" applyFill="1" applyBorder="1" applyAlignment="1">
      <alignment horizontal="left" vertical="center" wrapText="1"/>
    </xf>
    <xf numFmtId="0" fontId="0" fillId="0" borderId="30" xfId="0" applyBorder="1" applyAlignment="1">
      <alignment horizontal="left" vertical="center" wrapText="1"/>
    </xf>
    <xf numFmtId="3" fontId="19" fillId="2" borderId="30" xfId="0" applyNumberFormat="1" applyFont="1" applyFill="1" applyBorder="1" applyAlignment="1">
      <alignment horizontal="center" vertical="center"/>
    </xf>
    <xf numFmtId="0" fontId="1" fillId="4" borderId="0" xfId="0" applyFont="1" applyFill="1" applyAlignment="1">
      <alignment wrapText="1"/>
    </xf>
    <xf numFmtId="3" fontId="19" fillId="2" borderId="31" xfId="0" applyNumberFormat="1" applyFont="1" applyFill="1" applyBorder="1" applyAlignment="1">
      <alignment horizontal="center" vertical="center" wrapText="1"/>
    </xf>
    <xf numFmtId="3" fontId="19" fillId="2" borderId="30" xfId="0" applyNumberFormat="1" applyFont="1" applyFill="1" applyBorder="1" applyAlignment="1">
      <alignment horizontal="center" vertical="center" wrapText="1"/>
    </xf>
    <xf numFmtId="3" fontId="19" fillId="7" borderId="31" xfId="0" applyNumberFormat="1" applyFont="1" applyFill="1" applyBorder="1" applyAlignment="1">
      <alignment horizontal="center" vertical="center" wrapText="1"/>
    </xf>
    <xf numFmtId="3" fontId="19" fillId="7" borderId="30" xfId="0" applyNumberFormat="1" applyFont="1" applyFill="1" applyBorder="1" applyAlignment="1">
      <alignment horizontal="center" vertical="center" wrapText="1"/>
    </xf>
    <xf numFmtId="0" fontId="1" fillId="4" borderId="0" xfId="0" applyFont="1" applyFill="1" applyAlignment="1">
      <alignment horizontal="center" vertical="center" wrapText="1"/>
    </xf>
    <xf numFmtId="3" fontId="19" fillId="7" borderId="31" xfId="0" applyNumberFormat="1" applyFont="1" applyFill="1" applyBorder="1" applyAlignment="1">
      <alignment horizontal="center" vertical="center"/>
    </xf>
    <xf numFmtId="3" fontId="19" fillId="7" borderId="0" xfId="0" applyNumberFormat="1" applyFont="1" applyFill="1" applyAlignment="1">
      <alignment horizontal="center" vertical="center"/>
    </xf>
    <xf numFmtId="170" fontId="21" fillId="7" borderId="31" xfId="0" applyNumberFormat="1" applyFont="1" applyFill="1" applyBorder="1" applyAlignment="1">
      <alignment horizontal="center" vertical="center"/>
    </xf>
    <xf numFmtId="170" fontId="21" fillId="7" borderId="0" xfId="0" applyNumberFormat="1" applyFont="1" applyFill="1" applyAlignment="1">
      <alignment horizontal="center" vertical="center"/>
    </xf>
    <xf numFmtId="3" fontId="19" fillId="7" borderId="30" xfId="0" applyNumberFormat="1" applyFont="1" applyFill="1" applyBorder="1" applyAlignment="1">
      <alignment horizontal="center" vertical="center"/>
    </xf>
    <xf numFmtId="0" fontId="15" fillId="44" borderId="47" xfId="0" applyFont="1" applyFill="1" applyBorder="1" applyAlignment="1">
      <alignment horizontal="left" vertical="top" wrapText="1"/>
    </xf>
    <xf numFmtId="0" fontId="15" fillId="44" borderId="46" xfId="0" applyFont="1" applyFill="1" applyBorder="1" applyAlignment="1">
      <alignment horizontal="left" vertical="top" wrapText="1"/>
    </xf>
    <xf numFmtId="0" fontId="15" fillId="44" borderId="8" xfId="0" applyFont="1" applyFill="1" applyBorder="1" applyAlignment="1">
      <alignment horizontal="left" vertical="top" wrapText="1"/>
    </xf>
    <xf numFmtId="0" fontId="15" fillId="44" borderId="9" xfId="0" applyFont="1" applyFill="1" applyBorder="1" applyAlignment="1">
      <alignment horizontal="left" vertical="top" wrapText="1"/>
    </xf>
    <xf numFmtId="0" fontId="5" fillId="2" borderId="0" xfId="0" applyFont="1" applyFill="1" applyAlignment="1">
      <alignment horizontal="center"/>
    </xf>
    <xf numFmtId="0" fontId="1" fillId="8" borderId="24" xfId="0" applyFont="1" applyFill="1" applyBorder="1" applyAlignment="1">
      <alignment horizontal="center" vertical="center"/>
    </xf>
    <xf numFmtId="0" fontId="1" fillId="8" borderId="25" xfId="0" applyFont="1" applyFill="1" applyBorder="1" applyAlignment="1">
      <alignment horizontal="center" vertical="center"/>
    </xf>
    <xf numFmtId="0" fontId="15" fillId="5" borderId="0" xfId="0" applyFont="1" applyFill="1" applyAlignment="1">
      <alignment horizontal="center" vertical="center"/>
    </xf>
    <xf numFmtId="0" fontId="15" fillId="5" borderId="3" xfId="0" applyFont="1" applyFill="1" applyBorder="1" applyAlignment="1">
      <alignment horizontal="center" vertical="center"/>
    </xf>
    <xf numFmtId="0" fontId="15" fillId="5" borderId="5" xfId="0" applyFont="1" applyFill="1" applyBorder="1" applyAlignment="1">
      <alignment horizontal="center" vertical="center"/>
    </xf>
    <xf numFmtId="0" fontId="23" fillId="4" borderId="0" xfId="0" applyFont="1" applyFill="1" applyAlignment="1">
      <alignment vertical="center"/>
    </xf>
    <xf numFmtId="0" fontId="15" fillId="5" borderId="0" xfId="0" applyFont="1" applyFill="1" applyAlignment="1">
      <alignment horizontal="left" vertical="center"/>
    </xf>
    <xf numFmtId="0" fontId="1" fillId="5" borderId="1" xfId="0" applyFont="1" applyFill="1" applyBorder="1" applyAlignment="1">
      <alignment horizontal="center"/>
    </xf>
    <xf numFmtId="0" fontId="1" fillId="5" borderId="28" xfId="0" applyFont="1" applyFill="1" applyBorder="1" applyAlignment="1">
      <alignment horizontal="center" vertical="center" wrapText="1"/>
    </xf>
    <xf numFmtId="0" fontId="0" fillId="0" borderId="28" xfId="0" applyBorder="1" applyAlignment="1">
      <alignment horizontal="center" vertical="center" wrapText="1"/>
    </xf>
    <xf numFmtId="0" fontId="1" fillId="5" borderId="27" xfId="0" applyFont="1" applyFill="1" applyBorder="1" applyAlignment="1">
      <alignment horizontal="center" vertical="center" wrapText="1"/>
    </xf>
    <xf numFmtId="0" fontId="0" fillId="0" borderId="27" xfId="0" applyBorder="1" applyAlignment="1">
      <alignment horizontal="center" vertical="center" wrapText="1"/>
    </xf>
    <xf numFmtId="0" fontId="1" fillId="5" borderId="28"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0" xfId="0" applyFont="1" applyFill="1" applyAlignment="1">
      <alignment horizontal="center" vertical="center"/>
    </xf>
  </cellXfs>
  <cellStyles count="65">
    <cellStyle name="20% - Accent1 2" xfId="30" xr:uid="{21B6A3AB-050B-429A-A9E2-AF22ACAFCC21}"/>
    <cellStyle name="20% - Accent2 2" xfId="34" xr:uid="{E74FB4EC-2174-47CD-8343-208E69D4CC44}"/>
    <cellStyle name="20% - Accent3 2" xfId="38" xr:uid="{9853197C-3900-46E8-8927-0427B51CE16D}"/>
    <cellStyle name="20% - Accent4 2" xfId="42" xr:uid="{AB9B20FB-8817-4D0D-B8F8-780B44D6F485}"/>
    <cellStyle name="20% - Accent5 2" xfId="46" xr:uid="{C35F5D2A-2414-4AD8-A0E0-78DA7EB28D22}"/>
    <cellStyle name="20% - Accent6 2" xfId="50" xr:uid="{736690DE-46B2-435F-A398-A82BF5E81AA2}"/>
    <cellStyle name="40% - Accent1 2" xfId="31" xr:uid="{56EA35B6-716D-4E32-B2A5-C007B6C5906E}"/>
    <cellStyle name="40% - Accent2 2" xfId="35" xr:uid="{316110E8-D269-4560-AE7A-1A8E078CC1DE}"/>
    <cellStyle name="40% - Accent3 2" xfId="39" xr:uid="{9AA3EF94-029A-47CF-89B2-0A0F08AC5F06}"/>
    <cellStyle name="40% - Accent4 2" xfId="43" xr:uid="{11A3A30A-B16E-4ED8-839A-93F47E36EC3C}"/>
    <cellStyle name="40% - Accent5 2" xfId="47" xr:uid="{BED8DAD8-0FC0-48CA-AE32-CFBACCD28828}"/>
    <cellStyle name="40% - Accent6 2" xfId="51" xr:uid="{6309B1F6-7C4B-4696-B540-9100C00A9F69}"/>
    <cellStyle name="60% - Accent1 2" xfId="32" xr:uid="{0A1AF8A6-F78D-419C-8E48-5A8613AA9CEA}"/>
    <cellStyle name="60% - Accent2 2" xfId="36" xr:uid="{95F4470A-CD52-4EFB-B432-CDFFD49D82FF}"/>
    <cellStyle name="60% - Accent3 2" xfId="40" xr:uid="{BC90B960-56DE-4280-A83D-FD6A645FF666}"/>
    <cellStyle name="60% - Accent4 2" xfId="44" xr:uid="{6C39D7C8-4F2A-4000-9CCD-739AA2199C5D}"/>
    <cellStyle name="60% - Accent5 2" xfId="48" xr:uid="{E8A5659A-1FD5-4CA3-B62C-012BD0805EE5}"/>
    <cellStyle name="60% - Accent6 2" xfId="52" xr:uid="{A825B52E-338D-435C-A134-BC69F090E69A}"/>
    <cellStyle name="Accent1 2" xfId="29" xr:uid="{2B047AEC-D964-4177-975D-D57BFC7CE921}"/>
    <cellStyle name="Accent2 2" xfId="33" xr:uid="{97ADB351-5779-4339-979C-6C68F0F8790E}"/>
    <cellStyle name="Accent3 2" xfId="37" xr:uid="{11766CEF-4B61-4A55-87E0-7E916BAB52D9}"/>
    <cellStyle name="Accent4 2" xfId="41" xr:uid="{C1BC497A-2BD1-4F79-AA3A-2BF83B362216}"/>
    <cellStyle name="Accent5 2" xfId="45" xr:uid="{7056A060-286C-424B-8B09-D8AE25181159}"/>
    <cellStyle name="Accent6 2" xfId="49" xr:uid="{24B71E2E-63A9-41D8-A264-815D7ACCA078}"/>
    <cellStyle name="Bad 2" xfId="19" xr:uid="{BE7A0AF5-B058-4120-82F3-FE7DDCAC9AA2}"/>
    <cellStyle name="Calculation 2" xfId="23" xr:uid="{81A19796-4F35-479C-A434-F4497B6C37D5}"/>
    <cellStyle name="Check Cell 2" xfId="25" xr:uid="{1838C58B-ED8B-4ACA-8768-8F40DDA98A2C}"/>
    <cellStyle name="Comma [0]" xfId="7" builtinId="6" customBuiltin="1"/>
    <cellStyle name="Comma [0] 2" xfId="60" xr:uid="{0E7BA506-9AEF-4162-9DDC-F5A7533ED711}"/>
    <cellStyle name="Comma 2" xfId="12" xr:uid="{6420F009-738B-4445-A025-DB7FCA110149}"/>
    <cellStyle name="Comma 3" xfId="58" xr:uid="{E7DF8F41-E733-49A8-A973-FC9684A8D3ED}"/>
    <cellStyle name="Comma 4" xfId="59" xr:uid="{7382F3C5-F93A-4968-8382-A57B3F4128CD}"/>
    <cellStyle name="Comma 5" xfId="63" xr:uid="{99B1C000-5D79-49F3-A8EA-2B8273E96908}"/>
    <cellStyle name="Currency" xfId="4" builtinId="4"/>
    <cellStyle name="Currency [0]" xfId="8" builtinId="7" customBuiltin="1"/>
    <cellStyle name="Currency [0] 2" xfId="62" xr:uid="{081458F4-D262-439F-8343-F478A60EBDC3}"/>
    <cellStyle name="Currency 2" xfId="13" xr:uid="{A5D81D97-6EB6-47A9-B276-83246E57DAB1}"/>
    <cellStyle name="Currency 3" xfId="61" xr:uid="{3C8A76C1-1185-4B90-A3DE-BBEB50A6BAA0}"/>
    <cellStyle name="Currency 4" xfId="64" xr:uid="{DD52EB5A-1E0B-48DB-A8B6-5E764C1BA0FE}"/>
    <cellStyle name="dms_NUM 2" xfId="5" xr:uid="{FE2F55E6-1BDA-4D0A-A06C-516968D585DB}"/>
    <cellStyle name="Explanatory Text 2" xfId="27" xr:uid="{379B564B-0F27-49D9-A755-02001C9ED720}"/>
    <cellStyle name="Good 2" xfId="18" xr:uid="{607731C0-D52F-4EAA-AE5A-D8125FBFB2EA}"/>
    <cellStyle name="Heading 1 2" xfId="14" xr:uid="{6887BE66-F828-4F67-B001-7D55574E2F33}"/>
    <cellStyle name="Heading 2 2" xfId="15" xr:uid="{6682124F-7DE1-4035-BBB2-798BD28FE362}"/>
    <cellStyle name="Heading 3 2" xfId="16" xr:uid="{9EA1C73F-B189-4CC9-B826-83EAD277B489}"/>
    <cellStyle name="Heading 4 2" xfId="17" xr:uid="{3D0A0B64-3FBC-4FE1-B483-38458E94EDFE}"/>
    <cellStyle name="Hyperlink" xfId="2" builtinId="8"/>
    <cellStyle name="Input 2" xfId="21" xr:uid="{5CA80B96-5552-48C7-B881-F26406BFD878}"/>
    <cellStyle name="Linked Cell 2" xfId="24" xr:uid="{4152F064-3F1C-4798-AD93-B5C3466DC1FB}"/>
    <cellStyle name="Neutral 2" xfId="20" xr:uid="{4A56B3A6-9892-4222-A3CB-920C98E292FC}"/>
    <cellStyle name="Normal" xfId="0" builtinId="0"/>
    <cellStyle name="Normal 2" xfId="1" xr:uid="{00000000-0005-0000-0000-000002000000}"/>
    <cellStyle name="Normal 2 2" xfId="54" xr:uid="{5493F9B1-8465-49A6-B4CE-BE5D962C4889}"/>
    <cellStyle name="Normal 3" xfId="56" xr:uid="{CF870800-B086-40EA-9145-984F4093360E}"/>
    <cellStyle name="Normal 3 2" xfId="57" xr:uid="{6C1EB402-623F-4120-A110-E9A71452D6C2}"/>
    <cellStyle name="Normal 4" xfId="6" xr:uid="{175E8A08-E153-497B-85B3-4D0B33C54B80}"/>
    <cellStyle name="Normal 5" xfId="11" xr:uid="{DA771629-519E-481F-8A60-A47B7E7AC41D}"/>
    <cellStyle name="Note" xfId="10" builtinId="10" customBuiltin="1"/>
    <cellStyle name="Output 2" xfId="22" xr:uid="{CF109DD5-E47D-4B7A-BA84-78ABEF4EF6E7}"/>
    <cellStyle name="Percent" xfId="3" builtinId="5" customBuiltin="1"/>
    <cellStyle name="Percent 2" xfId="53" xr:uid="{6DA65D31-B5F4-45DB-818C-EF1C63E9767D}"/>
    <cellStyle name="Percent 3" xfId="55" xr:uid="{C5639A66-F18A-48DB-84EC-2629C3FE01BE}"/>
    <cellStyle name="Title" xfId="9" builtinId="15" customBuiltin="1"/>
    <cellStyle name="Total 2" xfId="28" xr:uid="{CBF35292-BC56-4685-8656-A41DC7DD4626}"/>
    <cellStyle name="Warning Text 2" xfId="26" xr:uid="{50038F35-98CD-48B7-81CC-CEC959100595}"/>
  </cellStyles>
  <dxfs count="36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theme="0" tint="-4.9989318521683403E-2"/>
      </font>
    </dxf>
    <dxf>
      <font>
        <color theme="0" tint="-4.9989318521683403E-2"/>
      </font>
    </dxf>
    <dxf>
      <font>
        <color theme="0"/>
      </font>
    </dxf>
    <dxf>
      <font>
        <color theme="0"/>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tint="-4.9989318521683403E-2"/>
      </font>
    </dxf>
    <dxf>
      <font>
        <color theme="0" tint="-4.9989318521683403E-2"/>
      </font>
    </dxf>
    <dxf>
      <font>
        <color theme="0"/>
      </font>
    </dxf>
    <dxf>
      <font>
        <color theme="0"/>
      </font>
    </dxf>
    <dxf>
      <font>
        <color theme="0" tint="-4.9989318521683403E-2"/>
      </font>
    </dxf>
    <dxf>
      <font>
        <color theme="0" tint="-4.9989318521683403E-2"/>
      </font>
    </dxf>
    <dxf>
      <font>
        <color theme="0"/>
      </font>
    </dxf>
    <dxf>
      <font>
        <color theme="0" tint="-4.9989318521683403E-2"/>
      </font>
    </dxf>
    <dxf>
      <font>
        <color theme="0"/>
      </font>
    </dxf>
    <dxf>
      <fill>
        <patternFill>
          <bgColor theme="0" tint="-4.9989318521683403E-2"/>
        </patternFill>
      </fill>
    </dxf>
    <dxf>
      <font>
        <color theme="0"/>
      </font>
    </dxf>
    <dxf>
      <font>
        <color theme="0" tint="-4.9989318521683403E-2"/>
      </font>
    </dxf>
    <dxf>
      <font>
        <color theme="0"/>
      </font>
    </dxf>
    <dxf>
      <font>
        <color theme="0"/>
      </font>
    </dxf>
    <dxf>
      <font>
        <color theme="0" tint="-4.9989318521683403E-2"/>
      </font>
    </dxf>
    <dxf>
      <font>
        <color theme="0" tint="-4.9989318521683403E-2"/>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font>
    </dxf>
    <dxf>
      <font>
        <color theme="0" tint="-4.9989318521683403E-2"/>
      </font>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font>
    </dxf>
    <dxf>
      <font>
        <color theme="0" tint="-4.9989318521683403E-2"/>
      </font>
    </dxf>
    <dxf>
      <font>
        <color theme="0"/>
      </font>
    </dxf>
    <dxf>
      <font>
        <color theme="0"/>
      </font>
    </dxf>
    <dxf>
      <font>
        <color theme="0" tint="-4.9989318521683403E-2"/>
      </font>
    </dxf>
    <dxf>
      <font>
        <color theme="0"/>
      </font>
    </dxf>
    <dxf>
      <font>
        <color theme="0" tint="-4.9989318521683403E-2"/>
      </font>
    </dxf>
    <dxf>
      <font>
        <color theme="0"/>
      </font>
    </dxf>
    <dxf>
      <font>
        <color theme="0" tint="-4.9989318521683403E-2"/>
      </font>
    </dxf>
    <dxf>
      <fill>
        <patternFill>
          <bgColor theme="0" tint="-4.9989318521683403E-2"/>
        </patternFill>
      </fill>
    </dxf>
    <dxf>
      <font>
        <color theme="0"/>
      </font>
    </dxf>
    <dxf>
      <font>
        <color theme="0" tint="-4.9989318521683403E-2"/>
      </font>
    </dxf>
    <dxf>
      <font>
        <color theme="0" tint="-4.9989318521683403E-2"/>
      </font>
    </dxf>
    <dxf>
      <font>
        <color theme="0"/>
      </font>
    </dxf>
    <dxf>
      <font>
        <color theme="0" tint="-4.9989318521683403E-2"/>
      </font>
    </dxf>
    <dxf>
      <font>
        <color theme="0"/>
      </font>
    </dxf>
    <dxf>
      <font>
        <color theme="0"/>
      </font>
    </dxf>
    <dxf>
      <font>
        <color theme="0" tint="-4.9989318521683403E-2"/>
      </font>
    </dxf>
    <dxf>
      <font>
        <color rgb="FF92D050"/>
      </font>
    </dxf>
    <dxf>
      <font>
        <color rgb="FFC00000"/>
      </font>
    </dxf>
    <dxf>
      <font>
        <color rgb="FF92D050"/>
      </font>
    </dxf>
    <dxf>
      <font>
        <color rgb="FFC00000"/>
      </font>
    </dxf>
    <dxf>
      <font>
        <color theme="0"/>
      </font>
    </dxf>
    <dxf>
      <font>
        <color theme="0" tint="-0.14996795556505021"/>
      </font>
    </dxf>
    <dxf>
      <font>
        <color theme="0"/>
      </font>
    </dxf>
    <dxf>
      <font>
        <color theme="0" tint="-0.14996795556505021"/>
      </font>
    </dxf>
    <dxf>
      <font>
        <color rgb="FF92D050"/>
      </font>
    </dxf>
    <dxf>
      <font>
        <color rgb="FFC00000"/>
      </font>
    </dxf>
    <dxf>
      <fill>
        <patternFill>
          <bgColor theme="0" tint="-0.14996795556505021"/>
        </patternFill>
      </fill>
    </dxf>
    <dxf>
      <font>
        <color theme="0"/>
      </font>
    </dxf>
    <dxf>
      <font>
        <color theme="0" tint="-0.14996795556505021"/>
      </font>
    </dxf>
    <dxf>
      <font>
        <color theme="0"/>
      </font>
    </dxf>
    <dxf>
      <font>
        <color theme="0" tint="-0.14996795556505021"/>
      </font>
    </dxf>
    <dxf>
      <font>
        <color rgb="FF92D050"/>
      </font>
    </dxf>
    <dxf>
      <font>
        <color rgb="FFC00000"/>
      </font>
    </dxf>
    <dxf>
      <font>
        <color rgb="FF92D050"/>
      </font>
    </dxf>
    <dxf>
      <font>
        <color rgb="FFC00000"/>
      </font>
    </dxf>
    <dxf>
      <font>
        <color theme="0"/>
      </font>
    </dxf>
    <dxf>
      <font>
        <color theme="0" tint="-0.14996795556505021"/>
      </font>
    </dxf>
    <dxf>
      <font>
        <color theme="0"/>
      </font>
    </dxf>
    <dxf>
      <font>
        <color theme="0" tint="-0.14996795556505021"/>
      </font>
    </dxf>
    <dxf>
      <font>
        <color rgb="FF92D050"/>
      </font>
    </dxf>
    <dxf>
      <font>
        <color rgb="FFC00000"/>
      </font>
    </dxf>
    <dxf>
      <fill>
        <patternFill>
          <bgColor theme="0" tint="-0.14996795556505021"/>
        </patternFill>
      </fill>
    </dxf>
    <dxf>
      <font>
        <color theme="0"/>
      </font>
    </dxf>
    <dxf>
      <font>
        <color theme="0" tint="-0.14996795556505021"/>
      </font>
    </dxf>
    <dxf>
      <font>
        <color theme="0"/>
      </font>
    </dxf>
    <dxf>
      <font>
        <color theme="0" tint="-0.14996795556505021"/>
      </font>
    </dxf>
    <dxf>
      <font>
        <color rgb="FF92D050"/>
      </font>
    </dxf>
    <dxf>
      <font>
        <color rgb="FFC00000"/>
      </font>
    </dxf>
    <dxf>
      <font>
        <color rgb="FF92D050"/>
      </font>
    </dxf>
    <dxf>
      <font>
        <color rgb="FFC00000"/>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rgb="FF92D050"/>
      </font>
    </dxf>
    <dxf>
      <font>
        <color rgb="FFC00000"/>
      </font>
    </dxf>
    <dxf>
      <fill>
        <patternFill>
          <bgColor theme="0" tint="-0.14996795556505021"/>
        </patternFill>
      </fill>
    </dxf>
    <dxf>
      <font>
        <color theme="0"/>
      </font>
    </dxf>
    <dxf>
      <font>
        <color theme="0" tint="-0.14996795556505021"/>
      </font>
    </dxf>
    <dxf>
      <font>
        <color theme="0"/>
      </font>
    </dxf>
    <dxf>
      <font>
        <color theme="0" tint="-0.14996795556505021"/>
      </font>
    </dxf>
    <dxf>
      <font>
        <color rgb="FF92D050"/>
      </font>
    </dxf>
    <dxf>
      <font>
        <color rgb="FFC00000"/>
      </font>
    </dxf>
    <dxf>
      <font>
        <color rgb="FF92D050"/>
      </font>
    </dxf>
    <dxf>
      <font>
        <color rgb="FFC00000"/>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rgb="FF92D050"/>
      </font>
    </dxf>
    <dxf>
      <font>
        <color rgb="FFC00000"/>
      </font>
    </dxf>
    <dxf>
      <fill>
        <patternFill>
          <bgColor theme="0" tint="-0.14996795556505021"/>
        </patternFill>
      </fill>
    </dxf>
    <dxf>
      <font>
        <color theme="0"/>
      </font>
    </dxf>
    <dxf>
      <font>
        <color theme="0" tint="-0.14996795556505021"/>
      </font>
    </dxf>
    <dxf>
      <font>
        <color theme="0"/>
      </font>
    </dxf>
    <dxf>
      <font>
        <color theme="0" tint="-0.14996795556505021"/>
      </font>
    </dxf>
    <dxf>
      <font>
        <color rgb="FF92D050"/>
      </font>
    </dxf>
    <dxf>
      <font>
        <color rgb="FFC00000"/>
      </font>
    </dxf>
    <dxf>
      <font>
        <color rgb="FF92D050"/>
      </font>
    </dxf>
    <dxf>
      <font>
        <color rgb="FFC00000"/>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rgb="FF92D050"/>
      </font>
    </dxf>
    <dxf>
      <font>
        <color rgb="FFC00000"/>
      </font>
    </dxf>
    <dxf>
      <fill>
        <patternFill>
          <bgColor theme="0" tint="-0.14996795556505021"/>
        </patternFill>
      </fill>
    </dxf>
    <dxf>
      <font>
        <color theme="0"/>
      </font>
    </dxf>
    <dxf>
      <font>
        <color theme="0" tint="-0.14996795556505021"/>
      </font>
    </dxf>
    <dxf>
      <font>
        <color theme="0"/>
      </font>
    </dxf>
    <dxf>
      <font>
        <color theme="0" tint="-0.14996795556505021"/>
      </font>
    </dxf>
    <dxf>
      <font>
        <color rgb="FF92D050"/>
      </font>
    </dxf>
    <dxf>
      <font>
        <color rgb="FFC00000"/>
      </font>
    </dxf>
    <dxf>
      <fill>
        <patternFill>
          <bgColor theme="0" tint="-4.9989318521683403E-2"/>
        </patternFill>
      </fill>
    </dxf>
    <dxf>
      <font>
        <color rgb="FF92D050"/>
      </font>
    </dxf>
    <dxf>
      <font>
        <color rgb="FFC00000"/>
      </font>
    </dxf>
    <dxf>
      <fill>
        <patternFill>
          <bgColor theme="0" tint="-4.9989318521683403E-2"/>
        </patternFill>
      </fill>
    </dxf>
    <dxf>
      <font>
        <color rgb="FF92D050"/>
      </font>
    </dxf>
    <dxf>
      <font>
        <color rgb="FFC00000"/>
      </font>
    </dxf>
    <dxf>
      <fill>
        <patternFill>
          <bgColor theme="0" tint="-4.9989318521683403E-2"/>
        </patternFill>
      </fill>
    </dxf>
    <dxf>
      <font>
        <color rgb="FFFFFFFF"/>
      </font>
    </dxf>
    <dxf>
      <font>
        <color rgb="FFD9D9D9"/>
      </font>
    </dxf>
    <dxf>
      <fill>
        <patternFill>
          <bgColor rgb="FFD9D9D9"/>
        </patternFill>
      </fill>
    </dxf>
    <dxf>
      <font>
        <color rgb="FFFFFFFF"/>
      </font>
    </dxf>
    <dxf>
      <font>
        <color rgb="FFD9D9D9"/>
      </font>
    </dxf>
    <dxf>
      <fill>
        <patternFill>
          <bgColor rgb="FFD9D9D9"/>
        </patternFill>
      </fill>
    </dxf>
    <dxf>
      <font>
        <color rgb="FFFFFFFF"/>
      </font>
    </dxf>
    <dxf>
      <font>
        <color rgb="FFD9D9D9"/>
      </font>
    </dxf>
    <dxf>
      <fill>
        <patternFill>
          <bgColor rgb="FFD9D9D9"/>
        </patternFill>
      </fill>
    </dxf>
    <dxf>
      <fill>
        <patternFill>
          <bgColor theme="0" tint="-4.9989318521683403E-2"/>
        </patternFill>
      </fill>
    </dxf>
    <dxf>
      <fill>
        <patternFill>
          <bgColor theme="0" tint="-4.9989318521683403E-2"/>
        </patternFill>
      </fill>
    </dxf>
    <dxf>
      <font>
        <color auto="1"/>
      </font>
      <fill>
        <patternFill>
          <bgColor theme="6" tint="0.39994506668294322"/>
        </patternFill>
      </fill>
    </dxf>
    <dxf>
      <font>
        <color rgb="FF9C0006"/>
      </font>
      <fill>
        <patternFill>
          <bgColor rgb="FFFFC7CE"/>
        </patternFill>
      </fill>
    </dxf>
  </dxfs>
  <tableStyles count="0" defaultTableStyle="TableStyleMedium2" defaultPivotStyle="PivotStyleLight16"/>
  <colors>
    <mruColors>
      <color rgb="FF5F9E88"/>
      <color rgb="FFF0B9B3"/>
      <color rgb="FFE06026"/>
      <color rgb="FF89B3CE"/>
      <color rgb="FF303F51"/>
      <color rgb="FFF2F2F2"/>
      <color rgb="FFA80000"/>
      <color rgb="FF0AAC00"/>
      <color rgb="FFC0504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22775995573632E-2"/>
          <c:y val="2.7475129927288951E-2"/>
          <c:w val="0.89482234548796413"/>
          <c:h val="0.71470336478210494"/>
        </c:manualLayout>
      </c:layout>
      <c:barChart>
        <c:barDir val="col"/>
        <c:grouping val="clustered"/>
        <c:varyColors val="0"/>
        <c:ser>
          <c:idx val="0"/>
          <c:order val="0"/>
          <c:tx>
            <c:strRef>
              <c:f>'Summary Chart'!$B$4</c:f>
              <c:strCache>
                <c:ptCount val="1"/>
                <c:pt idx="0">
                  <c:v>Default market offer (DMO)</c:v>
                </c:pt>
              </c:strCache>
            </c:strRef>
          </c:tx>
          <c:spPr>
            <a:solidFill>
              <a:schemeClr val="bg1">
                <a:lumMod val="8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C6E-43A2-82BD-8F77A3D5343B}"/>
                </c:ext>
              </c:extLst>
            </c:dLbl>
            <c:dLbl>
              <c:idx val="1"/>
              <c:tx>
                <c:rich>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B610935-9938-45B1-BE73-A105E6B4BAE1}" type="CELLRANGE">
                      <a:rPr lang="en-US"/>
                      <a:pPr>
                        <a:defRPr b="1">
                          <a:latin typeface="Arial" panose="020B0604020202020204" pitchFamily="34" charset="0"/>
                          <a:cs typeface="Arial" panose="020B0604020202020204" pitchFamily="34" charset="0"/>
                        </a:defRPr>
                      </a:pPr>
                      <a:t>[CELLRANGE]</a:t>
                    </a:fld>
                    <a:endParaRPr lang="en-AU"/>
                  </a:p>
                </c:rich>
              </c:tx>
              <c:spPr>
                <a:solidFill>
                  <a:schemeClr val="bg1"/>
                </a:solidFill>
                <a:ln>
                  <a:solidFill>
                    <a:schemeClr val="tx1"/>
                  </a:solid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4.4999097613755278E-2"/>
                      <c:h val="9.1837792863947124E-2"/>
                    </c:manualLayout>
                  </c15:layout>
                  <c15:dlblFieldTable/>
                  <c15:showDataLabelsRange val="1"/>
                </c:ext>
                <c:ext xmlns:c16="http://schemas.microsoft.com/office/drawing/2014/chart" uri="{C3380CC4-5D6E-409C-BE32-E72D297353CC}">
                  <c16:uniqueId val="{00000001-6C6E-43A2-82BD-8F77A3D5343B}"/>
                </c:ext>
              </c:extLst>
            </c:dLbl>
            <c:dLbl>
              <c:idx val="2"/>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6C6E-43A2-82BD-8F77A3D5343B}"/>
                </c:ext>
              </c:extLst>
            </c:dLbl>
            <c:dLbl>
              <c:idx val="3"/>
              <c:delete val="1"/>
              <c:extLst>
                <c:ext xmlns:c15="http://schemas.microsoft.com/office/drawing/2012/chart" uri="{CE6537A1-D6FC-4f65-9D91-7224C49458BB}"/>
                <c:ext xmlns:c16="http://schemas.microsoft.com/office/drawing/2014/chart" uri="{C3380CC4-5D6E-409C-BE32-E72D297353CC}">
                  <c16:uniqueId val="{00000003-6C6E-43A2-82BD-8F77A3D5343B}"/>
                </c:ext>
              </c:extLst>
            </c:dLbl>
            <c:dLbl>
              <c:idx val="4"/>
              <c:tx>
                <c:rich>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F0BF8E9-3DDE-4F10-893E-5A47842FB661}" type="CELLRANGE">
                      <a:rPr lang="en-US"/>
                      <a:pPr>
                        <a:defRPr b="1">
                          <a:latin typeface="Arial" panose="020B0604020202020204" pitchFamily="34" charset="0"/>
                          <a:cs typeface="Arial" panose="020B0604020202020204" pitchFamily="34" charset="0"/>
                        </a:defRPr>
                      </a:pPr>
                      <a:t>[CELLRANGE]</a:t>
                    </a:fld>
                    <a:endParaRPr lang="en-AU"/>
                  </a:p>
                </c:rich>
              </c:tx>
              <c:spPr>
                <a:solidFill>
                  <a:schemeClr val="bg1"/>
                </a:solidFill>
                <a:ln>
                  <a:solidFill>
                    <a:schemeClr val="tx1"/>
                  </a:solid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4.877347674471684E-2"/>
                      <c:h val="9.4900580000241153E-2"/>
                    </c:manualLayout>
                  </c15:layout>
                  <c15:dlblFieldTable/>
                  <c15:showDataLabelsRange val="1"/>
                </c:ext>
                <c:ext xmlns:c16="http://schemas.microsoft.com/office/drawing/2014/chart" uri="{C3380CC4-5D6E-409C-BE32-E72D297353CC}">
                  <c16:uniqueId val="{00000004-6C6E-43A2-82BD-8F77A3D5343B}"/>
                </c:ext>
              </c:extLst>
            </c:dLbl>
            <c:dLbl>
              <c:idx val="5"/>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6C6E-43A2-82BD-8F77A3D5343B}"/>
                </c:ext>
              </c:extLst>
            </c:dLbl>
            <c:dLbl>
              <c:idx val="6"/>
              <c:delete val="1"/>
              <c:extLst>
                <c:ext xmlns:c15="http://schemas.microsoft.com/office/drawing/2012/chart" uri="{CE6537A1-D6FC-4f65-9D91-7224C49458BB}"/>
                <c:ext xmlns:c16="http://schemas.microsoft.com/office/drawing/2014/chart" uri="{C3380CC4-5D6E-409C-BE32-E72D297353CC}">
                  <c16:uniqueId val="{00000006-6C6E-43A2-82BD-8F77A3D5343B}"/>
                </c:ext>
              </c:extLst>
            </c:dLbl>
            <c:dLbl>
              <c:idx val="7"/>
              <c:tx>
                <c:rich>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190791A-4A16-47D9-A2F0-87A3A8BE72F6}" type="CELLRANGE">
                      <a:rPr lang="en-US"/>
                      <a:pPr>
                        <a:defRPr b="1">
                          <a:latin typeface="Arial" panose="020B0604020202020204" pitchFamily="34" charset="0"/>
                          <a:cs typeface="Arial" panose="020B0604020202020204" pitchFamily="34" charset="0"/>
                        </a:defRPr>
                      </a:pPr>
                      <a:t>[CELLRANGE]</a:t>
                    </a:fld>
                    <a:endParaRPr lang="en-AU"/>
                  </a:p>
                </c:rich>
              </c:tx>
              <c:spPr>
                <a:solidFill>
                  <a:schemeClr val="bg1"/>
                </a:solidFill>
                <a:ln>
                  <a:solidFill>
                    <a:schemeClr val="tx1"/>
                  </a:solid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4.7373147237260139E-2"/>
                      <c:h val="7.9586644318771022E-2"/>
                    </c:manualLayout>
                  </c15:layout>
                  <c15:dlblFieldTable/>
                  <c15:showDataLabelsRange val="1"/>
                </c:ext>
                <c:ext xmlns:c16="http://schemas.microsoft.com/office/drawing/2014/chart" uri="{C3380CC4-5D6E-409C-BE32-E72D297353CC}">
                  <c16:uniqueId val="{00000007-6C6E-43A2-82BD-8F77A3D5343B}"/>
                </c:ext>
              </c:extLst>
            </c:dLbl>
            <c:dLbl>
              <c:idx val="8"/>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6C6E-43A2-82BD-8F77A3D5343B}"/>
                </c:ext>
              </c:extLst>
            </c:dLbl>
            <c:dLbl>
              <c:idx val="9"/>
              <c:delete val="1"/>
              <c:extLst>
                <c:ext xmlns:c15="http://schemas.microsoft.com/office/drawing/2012/chart" uri="{CE6537A1-D6FC-4f65-9D91-7224C49458BB}"/>
                <c:ext xmlns:c16="http://schemas.microsoft.com/office/drawing/2014/chart" uri="{C3380CC4-5D6E-409C-BE32-E72D297353CC}">
                  <c16:uniqueId val="{00000009-6C6E-43A2-82BD-8F77A3D5343B}"/>
                </c:ext>
              </c:extLst>
            </c:dLbl>
            <c:dLbl>
              <c:idx val="10"/>
              <c:tx>
                <c:rich>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8F683CE-7088-41DF-AAA6-9922792AD1A4}" type="CELLRANGE">
                      <a:rPr lang="en-US"/>
                      <a:pPr>
                        <a:defRPr b="1">
                          <a:latin typeface="Arial" panose="020B0604020202020204" pitchFamily="34" charset="0"/>
                          <a:cs typeface="Arial" panose="020B0604020202020204" pitchFamily="34" charset="0"/>
                        </a:defRPr>
                      </a:pPr>
                      <a:t>[CELLRANGE]</a:t>
                    </a:fld>
                    <a:endParaRPr lang="en-AU"/>
                  </a:p>
                </c:rich>
              </c:tx>
              <c:spPr>
                <a:solidFill>
                  <a:schemeClr val="bg1"/>
                </a:solidFill>
                <a:ln>
                  <a:solidFill>
                    <a:schemeClr val="tx1"/>
                  </a:solid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4.6228786545736894E-2"/>
                      <c:h val="8.2649431455065051E-2"/>
                    </c:manualLayout>
                  </c15:layout>
                  <c15:dlblFieldTable/>
                  <c15:showDataLabelsRange val="1"/>
                </c:ext>
                <c:ext xmlns:c16="http://schemas.microsoft.com/office/drawing/2014/chart" uri="{C3380CC4-5D6E-409C-BE32-E72D297353CC}">
                  <c16:uniqueId val="{0000000A-6C6E-43A2-82BD-8F77A3D5343B}"/>
                </c:ext>
              </c:extLst>
            </c:dLbl>
            <c:dLbl>
              <c:idx val="11"/>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6C6E-43A2-82BD-8F77A3D5343B}"/>
                </c:ext>
              </c:extLst>
            </c:dLbl>
            <c:dLbl>
              <c:idx val="12"/>
              <c:delete val="1"/>
              <c:extLst>
                <c:ext xmlns:c15="http://schemas.microsoft.com/office/drawing/2012/chart" uri="{CE6537A1-D6FC-4f65-9D91-7224C49458BB}"/>
                <c:ext xmlns:c16="http://schemas.microsoft.com/office/drawing/2014/chart" uri="{C3380CC4-5D6E-409C-BE32-E72D297353CC}">
                  <c16:uniqueId val="{0000000C-6C6E-43A2-82BD-8F77A3D5343B}"/>
                </c:ext>
              </c:extLst>
            </c:dLbl>
            <c:dLbl>
              <c:idx val="13"/>
              <c:tx>
                <c:rich>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C1BB6CC-F403-45AD-9120-BE0C3FD498FD}" type="CELLRANGE">
                      <a:rPr lang="en-US"/>
                      <a:pPr>
                        <a:defRPr b="1">
                          <a:latin typeface="Arial" panose="020B0604020202020204" pitchFamily="34" charset="0"/>
                          <a:cs typeface="Arial" panose="020B0604020202020204" pitchFamily="34" charset="0"/>
                        </a:defRPr>
                      </a:pPr>
                      <a:t>[CELLRANGE]</a:t>
                    </a:fld>
                    <a:endParaRPr lang="en-AU"/>
                  </a:p>
                </c:rich>
              </c:tx>
              <c:spPr>
                <a:solidFill>
                  <a:schemeClr val="bg1"/>
                </a:solidFill>
                <a:ln>
                  <a:solidFill>
                    <a:schemeClr val="tx1"/>
                  </a:solid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4.877347674471684E-2"/>
                      <c:h val="9.7963367136535182E-2"/>
                    </c:manualLayout>
                  </c15:layout>
                  <c15:dlblFieldTable/>
                  <c15:showDataLabelsRange val="1"/>
                </c:ext>
                <c:ext xmlns:c16="http://schemas.microsoft.com/office/drawing/2014/chart" uri="{C3380CC4-5D6E-409C-BE32-E72D297353CC}">
                  <c16:uniqueId val="{0000000D-6C6E-43A2-82BD-8F77A3D5343B}"/>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'Summary Chart'!$C$2:$P$3</c:f>
              <c:multiLvlStrCache>
                <c:ptCount val="14"/>
                <c:lvl>
                  <c:pt idx="0">
                    <c:v>DMO 6   (2024–25)</c:v>
                  </c:pt>
                  <c:pt idx="1">
                    <c:v>DMO 7   (2025–26)</c:v>
                  </c:pt>
                  <c:pt idx="3">
                    <c:v>DMO 6   (2024–25)</c:v>
                  </c:pt>
                  <c:pt idx="4">
                    <c:v>DMO 7   (2025–26)</c:v>
                  </c:pt>
                  <c:pt idx="6">
                    <c:v>DMO 6   (2024–25)</c:v>
                  </c:pt>
                  <c:pt idx="7">
                    <c:v>DMO 7   (2025–26)</c:v>
                  </c:pt>
                  <c:pt idx="9">
                    <c:v>DMO 6   (2024–25)</c:v>
                  </c:pt>
                  <c:pt idx="10">
                    <c:v>DMO 7   (2025–26)</c:v>
                  </c:pt>
                  <c:pt idx="12">
                    <c:v>DMO 6   (2024–25)</c:v>
                  </c:pt>
                  <c:pt idx="13">
                    <c:v>DMO 7   (2025–26)</c:v>
                  </c:pt>
                </c:lvl>
                <c:lvl>
                  <c:pt idx="0">
                    <c:v>Ausgrid</c:v>
                  </c:pt>
                  <c:pt idx="2">
                    <c:v> </c:v>
                  </c:pt>
                  <c:pt idx="3">
                    <c:v>Endeavour Energy</c:v>
                  </c:pt>
                  <c:pt idx="5">
                    <c:v> </c:v>
                  </c:pt>
                  <c:pt idx="6">
                    <c:v>Essential Energy</c:v>
                  </c:pt>
                  <c:pt idx="8">
                    <c:v> </c:v>
                  </c:pt>
                  <c:pt idx="9">
                    <c:v>Energex</c:v>
                  </c:pt>
                  <c:pt idx="11">
                    <c:v> </c:v>
                  </c:pt>
                  <c:pt idx="12">
                    <c:v>SA Power Networks</c:v>
                  </c:pt>
                </c:lvl>
              </c:multiLvlStrCache>
            </c:multiLvlStrRef>
          </c:cat>
          <c:val>
            <c:numRef>
              <c:f>'Summary Chart'!$C$4:$P$4</c:f>
              <c:numCache>
                <c:formatCode>#,##0</c:formatCode>
                <c:ptCount val="14"/>
                <c:pt idx="0">
                  <c:v>1810</c:v>
                </c:pt>
                <c:pt idx="1">
                  <c:v>1965</c:v>
                </c:pt>
                <c:pt idx="3">
                  <c:v>2223</c:v>
                </c:pt>
                <c:pt idx="4">
                  <c:v>2411</c:v>
                </c:pt>
                <c:pt idx="6">
                  <c:v>2513</c:v>
                </c:pt>
                <c:pt idx="7">
                  <c:v>2741</c:v>
                </c:pt>
                <c:pt idx="9">
                  <c:v>2066</c:v>
                </c:pt>
                <c:pt idx="10">
                  <c:v>2143</c:v>
                </c:pt>
                <c:pt idx="12">
                  <c:v>2230</c:v>
                </c:pt>
                <c:pt idx="13">
                  <c:v>2301</c:v>
                </c:pt>
              </c:numCache>
            </c:numRef>
          </c:val>
          <c:extLst>
            <c:ext xmlns:c15="http://schemas.microsoft.com/office/drawing/2012/chart" uri="{02D57815-91ED-43cb-92C2-25804820EDAC}">
              <c15:datalabelsRange>
                <c15:f>'Summary Chart'!$C$10:$P$10</c15:f>
                <c15:dlblRangeCache>
                  <c:ptCount val="14"/>
                  <c:pt idx="1">
                    <c:v>$1,965▲8.6%</c:v>
                  </c:pt>
                  <c:pt idx="2">
                    <c:v> </c:v>
                  </c:pt>
                  <c:pt idx="4">
                    <c:v>$2,411▲8.5%</c:v>
                  </c:pt>
                  <c:pt idx="5">
                    <c:v> </c:v>
                  </c:pt>
                  <c:pt idx="7">
                    <c:v>$2,741▲9.1%</c:v>
                  </c:pt>
                  <c:pt idx="8">
                    <c:v> </c:v>
                  </c:pt>
                  <c:pt idx="10">
                    <c:v>$2,143▲3.7%</c:v>
                  </c:pt>
                  <c:pt idx="11">
                    <c:v> </c:v>
                  </c:pt>
                  <c:pt idx="13">
                    <c:v>$2,301▲3.2%</c:v>
                  </c:pt>
                </c15:dlblRangeCache>
              </c15:datalabelsRange>
            </c:ext>
            <c:ext xmlns:c16="http://schemas.microsoft.com/office/drawing/2014/chart" uri="{C3380CC4-5D6E-409C-BE32-E72D297353CC}">
              <c16:uniqueId val="{0000000E-6C6E-43A2-82BD-8F77A3D5343B}"/>
            </c:ext>
          </c:extLst>
        </c:ser>
        <c:dLbls>
          <c:showLegendKey val="0"/>
          <c:showVal val="0"/>
          <c:showCatName val="0"/>
          <c:showSerName val="0"/>
          <c:showPercent val="0"/>
          <c:showBubbleSize val="0"/>
        </c:dLbls>
        <c:gapWidth val="20"/>
        <c:axId val="1207454248"/>
        <c:axId val="868328856"/>
      </c:barChart>
      <c:lineChart>
        <c:grouping val="standard"/>
        <c:varyColors val="0"/>
        <c:ser>
          <c:idx val="2"/>
          <c:order val="1"/>
          <c:tx>
            <c:strRef>
              <c:f>'Summary Chart'!$B$6</c:f>
              <c:strCache>
                <c:ptCount val="1"/>
                <c:pt idx="0">
                  <c:v>Network cost component</c:v>
                </c:pt>
              </c:strCache>
            </c:strRef>
          </c:tx>
          <c:spPr>
            <a:ln w="19050" cap="rnd">
              <a:solidFill>
                <a:srgbClr val="89B3CE"/>
              </a:solidFill>
              <a:round/>
            </a:ln>
            <a:effectLst/>
          </c:spPr>
          <c:marker>
            <c:symbol val="none"/>
          </c:marker>
          <c:dPt>
            <c:idx val="1"/>
            <c:marker>
              <c:symbol val="circle"/>
              <c:size val="5"/>
              <c:spPr>
                <a:solidFill>
                  <a:schemeClr val="bg1"/>
                </a:solidFill>
                <a:ln w="19050">
                  <a:solidFill>
                    <a:srgbClr val="89B3CE"/>
                  </a:solidFill>
                </a:ln>
                <a:effectLst/>
              </c:spPr>
            </c:marker>
            <c:bubble3D val="0"/>
            <c:extLst>
              <c:ext xmlns:c16="http://schemas.microsoft.com/office/drawing/2014/chart" uri="{C3380CC4-5D6E-409C-BE32-E72D297353CC}">
                <c16:uniqueId val="{0000000F-6C6E-43A2-82BD-8F77A3D5343B}"/>
              </c:ext>
            </c:extLst>
          </c:dPt>
          <c:dPt>
            <c:idx val="4"/>
            <c:marker>
              <c:symbol val="circle"/>
              <c:size val="5"/>
              <c:spPr>
                <a:solidFill>
                  <a:schemeClr val="bg1"/>
                </a:solidFill>
                <a:ln w="19050">
                  <a:solidFill>
                    <a:srgbClr val="89B3CE"/>
                  </a:solidFill>
                </a:ln>
                <a:effectLst/>
              </c:spPr>
            </c:marker>
            <c:bubble3D val="0"/>
            <c:extLst>
              <c:ext xmlns:c16="http://schemas.microsoft.com/office/drawing/2014/chart" uri="{C3380CC4-5D6E-409C-BE32-E72D297353CC}">
                <c16:uniqueId val="{00000010-6C6E-43A2-82BD-8F77A3D5343B}"/>
              </c:ext>
            </c:extLst>
          </c:dPt>
          <c:dPt>
            <c:idx val="7"/>
            <c:marker>
              <c:symbol val="circle"/>
              <c:size val="5"/>
              <c:spPr>
                <a:solidFill>
                  <a:schemeClr val="bg1"/>
                </a:solidFill>
                <a:ln w="19050">
                  <a:solidFill>
                    <a:srgbClr val="89B3CE"/>
                  </a:solidFill>
                </a:ln>
                <a:effectLst/>
              </c:spPr>
            </c:marker>
            <c:bubble3D val="0"/>
            <c:extLst>
              <c:ext xmlns:c16="http://schemas.microsoft.com/office/drawing/2014/chart" uri="{C3380CC4-5D6E-409C-BE32-E72D297353CC}">
                <c16:uniqueId val="{00000011-6C6E-43A2-82BD-8F77A3D5343B}"/>
              </c:ext>
            </c:extLst>
          </c:dPt>
          <c:dPt>
            <c:idx val="10"/>
            <c:marker>
              <c:symbol val="circle"/>
              <c:size val="5"/>
              <c:spPr>
                <a:solidFill>
                  <a:schemeClr val="bg1"/>
                </a:solidFill>
                <a:ln w="19050">
                  <a:solidFill>
                    <a:srgbClr val="89B3CE"/>
                  </a:solidFill>
                </a:ln>
                <a:effectLst/>
              </c:spPr>
            </c:marker>
            <c:bubble3D val="0"/>
            <c:extLst>
              <c:ext xmlns:c16="http://schemas.microsoft.com/office/drawing/2014/chart" uri="{C3380CC4-5D6E-409C-BE32-E72D297353CC}">
                <c16:uniqueId val="{00000012-6C6E-43A2-82BD-8F77A3D5343B}"/>
              </c:ext>
            </c:extLst>
          </c:dPt>
          <c:dPt>
            <c:idx val="13"/>
            <c:marker>
              <c:symbol val="circle"/>
              <c:size val="5"/>
              <c:spPr>
                <a:solidFill>
                  <a:schemeClr val="bg1"/>
                </a:solidFill>
                <a:ln w="19050">
                  <a:solidFill>
                    <a:srgbClr val="89B3CE"/>
                  </a:solidFill>
                </a:ln>
                <a:effectLst/>
              </c:spPr>
            </c:marker>
            <c:bubble3D val="0"/>
            <c:extLst>
              <c:ext xmlns:c16="http://schemas.microsoft.com/office/drawing/2014/chart" uri="{C3380CC4-5D6E-409C-BE32-E72D297353CC}">
                <c16:uniqueId val="{00000013-6C6E-43A2-82BD-8F77A3D5343B}"/>
              </c:ext>
            </c:extLst>
          </c:dPt>
          <c:dLbls>
            <c:dLbl>
              <c:idx val="0"/>
              <c:delete val="1"/>
              <c:extLst>
                <c:ext xmlns:c15="http://schemas.microsoft.com/office/drawing/2012/chart" uri="{CE6537A1-D6FC-4f65-9D91-7224C49458BB}"/>
                <c:ext xmlns:c16="http://schemas.microsoft.com/office/drawing/2014/chart" uri="{C3380CC4-5D6E-409C-BE32-E72D297353CC}">
                  <c16:uniqueId val="{00000014-6C6E-43A2-82BD-8F77A3D5343B}"/>
                </c:ext>
              </c:extLst>
            </c:dLbl>
            <c:dLbl>
              <c:idx val="1"/>
              <c:layout>
                <c:manualLayout>
                  <c:x val="-8.4034598371268864E-6"/>
                  <c:y val="2.7724152673542425E-2"/>
                </c:manualLayout>
              </c:layout>
              <c:tx>
                <c:rich>
                  <a:bodyPr/>
                  <a:lstStyle/>
                  <a:p>
                    <a:fld id="{E71D1899-F131-4979-9241-9F3D8E7384AA}"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layout>
                    <c:manualLayout>
                      <c:w val="4.1994521386473568E-2"/>
                      <c:h val="4.1906229708711468E-2"/>
                    </c:manualLayout>
                  </c15:layout>
                  <c15:dlblFieldTable/>
                  <c15:showDataLabelsRange val="1"/>
                </c:ext>
                <c:ext xmlns:c16="http://schemas.microsoft.com/office/drawing/2014/chart" uri="{C3380CC4-5D6E-409C-BE32-E72D297353CC}">
                  <c16:uniqueId val="{0000000F-6C6E-43A2-82BD-8F77A3D5343B}"/>
                </c:ext>
              </c:extLst>
            </c:dLbl>
            <c:dLbl>
              <c:idx val="2"/>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6C6E-43A2-82BD-8F77A3D5343B}"/>
                </c:ext>
              </c:extLst>
            </c:dLbl>
            <c:dLbl>
              <c:idx val="3"/>
              <c:delete val="1"/>
              <c:extLst>
                <c:ext xmlns:c15="http://schemas.microsoft.com/office/drawing/2012/chart" uri="{CE6537A1-D6FC-4f65-9D91-7224C49458BB}"/>
                <c:ext xmlns:c16="http://schemas.microsoft.com/office/drawing/2014/chart" uri="{C3380CC4-5D6E-409C-BE32-E72D297353CC}">
                  <c16:uniqueId val="{00000016-6C6E-43A2-82BD-8F77A3D5343B}"/>
                </c:ext>
              </c:extLst>
            </c:dLbl>
            <c:dLbl>
              <c:idx val="4"/>
              <c:layout>
                <c:manualLayout>
                  <c:x val="-8.8457471969485714E-6"/>
                  <c:y val="2.803666211135104E-2"/>
                </c:manualLayout>
              </c:layout>
              <c:tx>
                <c:rich>
                  <a:bodyPr/>
                  <a:lstStyle/>
                  <a:p>
                    <a:fld id="{2DC5C2A0-EDFD-4F64-AAE1-E0A107F846D5}"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6C6E-43A2-82BD-8F77A3D5343B}"/>
                </c:ext>
              </c:extLst>
            </c:dLbl>
            <c:dLbl>
              <c:idx val="5"/>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6C6E-43A2-82BD-8F77A3D5343B}"/>
                </c:ext>
              </c:extLst>
            </c:dLbl>
            <c:dLbl>
              <c:idx val="6"/>
              <c:delete val="1"/>
              <c:extLst>
                <c:ext xmlns:c15="http://schemas.microsoft.com/office/drawing/2012/chart" uri="{CE6537A1-D6FC-4f65-9D91-7224C49458BB}"/>
                <c:ext xmlns:c16="http://schemas.microsoft.com/office/drawing/2014/chart" uri="{C3380CC4-5D6E-409C-BE32-E72D297353CC}">
                  <c16:uniqueId val="{00000018-6C6E-43A2-82BD-8F77A3D5343B}"/>
                </c:ext>
              </c:extLst>
            </c:dLbl>
            <c:dLbl>
              <c:idx val="7"/>
              <c:layout>
                <c:manualLayout>
                  <c:x val="-1.4126658273526868E-3"/>
                  <c:y val="-7.3737598719478678E-3"/>
                </c:manualLayout>
              </c:layout>
              <c:tx>
                <c:rich>
                  <a:bodyPr/>
                  <a:lstStyle/>
                  <a:p>
                    <a:fld id="{F0593477-1F15-426B-855B-9D470530C7FB}"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6C6E-43A2-82BD-8F77A3D5343B}"/>
                </c:ext>
              </c:extLst>
            </c:dLbl>
            <c:dLbl>
              <c:idx val="8"/>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6C6E-43A2-82BD-8F77A3D5343B}"/>
                </c:ext>
              </c:extLst>
            </c:dLbl>
            <c:dLbl>
              <c:idx val="9"/>
              <c:delete val="1"/>
              <c:extLst>
                <c:ext xmlns:c15="http://schemas.microsoft.com/office/drawing/2012/chart" uri="{CE6537A1-D6FC-4f65-9D91-7224C49458BB}"/>
                <c:ext xmlns:c16="http://schemas.microsoft.com/office/drawing/2014/chart" uri="{C3380CC4-5D6E-409C-BE32-E72D297353CC}">
                  <c16:uniqueId val="{0000001A-6C6E-43A2-82BD-8F77A3D5343B}"/>
                </c:ext>
              </c:extLst>
            </c:dLbl>
            <c:dLbl>
              <c:idx val="10"/>
              <c:layout>
                <c:manualLayout>
                  <c:x val="-2.107133293270148E-2"/>
                  <c:y val="3.9709971293651329E-2"/>
                </c:manualLayout>
              </c:layout>
              <c:tx>
                <c:rich>
                  <a:bodyPr/>
                  <a:lstStyle/>
                  <a:p>
                    <a:fld id="{623834A8-1D2D-41CE-B1FE-696E4B378A91}"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6C6E-43A2-82BD-8F77A3D5343B}"/>
                </c:ext>
              </c:extLst>
            </c:dLbl>
            <c:dLbl>
              <c:idx val="11"/>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6C6E-43A2-82BD-8F77A3D5343B}"/>
                </c:ext>
              </c:extLst>
            </c:dLbl>
            <c:dLbl>
              <c:idx val="12"/>
              <c:delete val="1"/>
              <c:extLst>
                <c:ext xmlns:c15="http://schemas.microsoft.com/office/drawing/2012/chart" uri="{CE6537A1-D6FC-4f65-9D91-7224C49458BB}"/>
                <c:ext xmlns:c16="http://schemas.microsoft.com/office/drawing/2014/chart" uri="{C3380CC4-5D6E-409C-BE32-E72D297353CC}">
                  <c16:uniqueId val="{0000001C-6C6E-43A2-82BD-8F77A3D5343B}"/>
                </c:ext>
              </c:extLst>
            </c:dLbl>
            <c:dLbl>
              <c:idx val="13"/>
              <c:layout>
                <c:manualLayout>
                  <c:x val="-2.0368955168278097E-2"/>
                  <c:y val="-4.467371770535780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BCB58A00-67BE-478E-AD74-456E705703CC}" type="CELLRANGE">
                      <a:rPr lang="en-US"/>
                      <a:pPr>
                        <a:defRPr>
                          <a:latin typeface="Arial" panose="020B0604020202020204" pitchFamily="34" charset="0"/>
                          <a:cs typeface="Arial" panose="020B0604020202020204" pitchFamily="34" charset="0"/>
                        </a:defRPr>
                      </a:pPr>
                      <a:t>[CELLRANGE]</a:t>
                    </a:fld>
                    <a:endParaRPr lang="en-AU"/>
                  </a:p>
                </c:rich>
              </c:tx>
              <c:spPr>
                <a:solidFill>
                  <a:schemeClr val="bg1"/>
                </a:solidFill>
                <a:ln w="15875">
                  <a:solidFill>
                    <a:srgbClr val="89B3CE"/>
                  </a:solid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4.0604403255979971E-2"/>
                      <c:h val="4.2969628386063261E-2"/>
                    </c:manualLayout>
                  </c15:layout>
                  <c15:dlblFieldTable/>
                  <c15:showDataLabelsRange val="1"/>
                </c:ext>
                <c:ext xmlns:c16="http://schemas.microsoft.com/office/drawing/2014/chart" uri="{C3380CC4-5D6E-409C-BE32-E72D297353CC}">
                  <c16:uniqueId val="{00000013-6C6E-43A2-82BD-8F77A3D5343B}"/>
                </c:ext>
              </c:extLst>
            </c:dLbl>
            <c:spPr>
              <a:solidFill>
                <a:schemeClr val="bg1"/>
              </a:solidFill>
              <a:ln w="15875">
                <a:solidFill>
                  <a:srgbClr val="89B3CE"/>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'Summary Chart'!$C$2:$P$3</c:f>
              <c:multiLvlStrCache>
                <c:ptCount val="14"/>
                <c:lvl>
                  <c:pt idx="0">
                    <c:v>DMO 6   (2024–25)</c:v>
                  </c:pt>
                  <c:pt idx="1">
                    <c:v>DMO 7   (2025–26)</c:v>
                  </c:pt>
                  <c:pt idx="3">
                    <c:v>DMO 6   (2024–25)</c:v>
                  </c:pt>
                  <c:pt idx="4">
                    <c:v>DMO 7   (2025–26)</c:v>
                  </c:pt>
                  <c:pt idx="6">
                    <c:v>DMO 6   (2024–25)</c:v>
                  </c:pt>
                  <c:pt idx="7">
                    <c:v>DMO 7   (2025–26)</c:v>
                  </c:pt>
                  <c:pt idx="9">
                    <c:v>DMO 6   (2024–25)</c:v>
                  </c:pt>
                  <c:pt idx="10">
                    <c:v>DMO 7   (2025–26)</c:v>
                  </c:pt>
                  <c:pt idx="12">
                    <c:v>DMO 6   (2024–25)</c:v>
                  </c:pt>
                  <c:pt idx="13">
                    <c:v>DMO 7   (2025–26)</c:v>
                  </c:pt>
                </c:lvl>
                <c:lvl>
                  <c:pt idx="0">
                    <c:v>Ausgrid</c:v>
                  </c:pt>
                  <c:pt idx="2">
                    <c:v> </c:v>
                  </c:pt>
                  <c:pt idx="3">
                    <c:v>Endeavour Energy</c:v>
                  </c:pt>
                  <c:pt idx="5">
                    <c:v> </c:v>
                  </c:pt>
                  <c:pt idx="6">
                    <c:v>Essential Energy</c:v>
                  </c:pt>
                  <c:pt idx="8">
                    <c:v> </c:v>
                  </c:pt>
                  <c:pt idx="9">
                    <c:v>Energex</c:v>
                  </c:pt>
                  <c:pt idx="11">
                    <c:v> </c:v>
                  </c:pt>
                  <c:pt idx="12">
                    <c:v>SA Power Networks</c:v>
                  </c:pt>
                </c:lvl>
              </c:multiLvlStrCache>
            </c:multiLvlStrRef>
          </c:cat>
          <c:val>
            <c:numRef>
              <c:f>'Summary Chart'!$C$6:$P$6</c:f>
              <c:numCache>
                <c:formatCode>#,##0</c:formatCode>
                <c:ptCount val="14"/>
                <c:pt idx="0">
                  <c:v>656.75497844808194</c:v>
                </c:pt>
                <c:pt idx="1">
                  <c:v>711.92496176013196</c:v>
                </c:pt>
                <c:pt idx="3">
                  <c:v>764.81430299999988</c:v>
                </c:pt>
                <c:pt idx="4">
                  <c:v>836.50737499999991</c:v>
                </c:pt>
                <c:pt idx="6">
                  <c:v>1155.0889558312551</c:v>
                </c:pt>
                <c:pt idx="7">
                  <c:v>1248.9808649440904</c:v>
                </c:pt>
                <c:pt idx="9">
                  <c:v>767.70429999999988</c:v>
                </c:pt>
                <c:pt idx="10">
                  <c:v>778.44943700626834</c:v>
                </c:pt>
                <c:pt idx="12">
                  <c:v>922.34395000000006</c:v>
                </c:pt>
                <c:pt idx="13">
                  <c:v>896.99139399817057</c:v>
                </c:pt>
              </c:numCache>
            </c:numRef>
          </c:val>
          <c:smooth val="0"/>
          <c:extLst>
            <c:ext xmlns:c15="http://schemas.microsoft.com/office/drawing/2012/chart" uri="{02D57815-91ED-43cb-92C2-25804820EDAC}">
              <c15:datalabelsRange>
                <c15:f>'Summary Chart'!$C$12:$P$12</c15:f>
                <c15:dlblRangeCache>
                  <c:ptCount val="14"/>
                  <c:pt idx="1">
                    <c:v>▲$55</c:v>
                  </c:pt>
                  <c:pt idx="4">
                    <c:v>▲$72</c:v>
                  </c:pt>
                  <c:pt idx="7">
                    <c:v>▲$94</c:v>
                  </c:pt>
                  <c:pt idx="10">
                    <c:v>▲$11</c:v>
                  </c:pt>
                  <c:pt idx="13">
                    <c:v>▼$25</c:v>
                  </c:pt>
                </c15:dlblRangeCache>
              </c15:datalabelsRange>
            </c:ext>
            <c:ext xmlns:c16="http://schemas.microsoft.com/office/drawing/2014/chart" uri="{C3380CC4-5D6E-409C-BE32-E72D297353CC}">
              <c16:uniqueId val="{0000001D-6C6E-43A2-82BD-8F77A3D5343B}"/>
            </c:ext>
          </c:extLst>
        </c:ser>
        <c:ser>
          <c:idx val="1"/>
          <c:order val="2"/>
          <c:tx>
            <c:strRef>
              <c:f>'Summary Chart'!$B$5</c:f>
              <c:strCache>
                <c:ptCount val="1"/>
                <c:pt idx="0">
                  <c:v>Wholesale cost component</c:v>
                </c:pt>
              </c:strCache>
            </c:strRef>
          </c:tx>
          <c:spPr>
            <a:ln w="19050" cap="rnd">
              <a:solidFill>
                <a:srgbClr val="E06026"/>
              </a:solidFill>
              <a:round/>
            </a:ln>
            <a:effectLst/>
          </c:spPr>
          <c:marker>
            <c:symbol val="none"/>
          </c:marker>
          <c:dPt>
            <c:idx val="1"/>
            <c:marker>
              <c:symbol val="circle"/>
              <c:size val="5"/>
              <c:spPr>
                <a:solidFill>
                  <a:schemeClr val="bg1"/>
                </a:solidFill>
                <a:ln w="19050">
                  <a:solidFill>
                    <a:srgbClr val="E06026"/>
                  </a:solidFill>
                </a:ln>
                <a:effectLst/>
              </c:spPr>
            </c:marker>
            <c:bubble3D val="0"/>
            <c:extLst>
              <c:ext xmlns:c16="http://schemas.microsoft.com/office/drawing/2014/chart" uri="{C3380CC4-5D6E-409C-BE32-E72D297353CC}">
                <c16:uniqueId val="{0000001E-6C6E-43A2-82BD-8F77A3D5343B}"/>
              </c:ext>
            </c:extLst>
          </c:dPt>
          <c:dPt>
            <c:idx val="4"/>
            <c:marker>
              <c:symbol val="circle"/>
              <c:size val="5"/>
              <c:spPr>
                <a:solidFill>
                  <a:schemeClr val="bg1"/>
                </a:solidFill>
                <a:ln w="19050">
                  <a:solidFill>
                    <a:srgbClr val="E06026"/>
                  </a:solidFill>
                </a:ln>
                <a:effectLst/>
              </c:spPr>
            </c:marker>
            <c:bubble3D val="0"/>
            <c:extLst>
              <c:ext xmlns:c16="http://schemas.microsoft.com/office/drawing/2014/chart" uri="{C3380CC4-5D6E-409C-BE32-E72D297353CC}">
                <c16:uniqueId val="{0000001F-6C6E-43A2-82BD-8F77A3D5343B}"/>
              </c:ext>
            </c:extLst>
          </c:dPt>
          <c:dPt>
            <c:idx val="7"/>
            <c:marker>
              <c:symbol val="circle"/>
              <c:size val="5"/>
              <c:spPr>
                <a:solidFill>
                  <a:schemeClr val="bg1"/>
                </a:solidFill>
                <a:ln w="19050">
                  <a:solidFill>
                    <a:srgbClr val="E06026"/>
                  </a:solidFill>
                </a:ln>
                <a:effectLst/>
              </c:spPr>
            </c:marker>
            <c:bubble3D val="0"/>
            <c:extLst>
              <c:ext xmlns:c16="http://schemas.microsoft.com/office/drawing/2014/chart" uri="{C3380CC4-5D6E-409C-BE32-E72D297353CC}">
                <c16:uniqueId val="{00000020-6C6E-43A2-82BD-8F77A3D5343B}"/>
              </c:ext>
            </c:extLst>
          </c:dPt>
          <c:dPt>
            <c:idx val="10"/>
            <c:marker>
              <c:symbol val="circle"/>
              <c:size val="5"/>
              <c:spPr>
                <a:solidFill>
                  <a:schemeClr val="bg1"/>
                </a:solidFill>
                <a:ln w="19050">
                  <a:solidFill>
                    <a:srgbClr val="E06026"/>
                  </a:solidFill>
                </a:ln>
                <a:effectLst/>
              </c:spPr>
            </c:marker>
            <c:bubble3D val="0"/>
            <c:extLst>
              <c:ext xmlns:c16="http://schemas.microsoft.com/office/drawing/2014/chart" uri="{C3380CC4-5D6E-409C-BE32-E72D297353CC}">
                <c16:uniqueId val="{00000021-6C6E-43A2-82BD-8F77A3D5343B}"/>
              </c:ext>
            </c:extLst>
          </c:dPt>
          <c:dPt>
            <c:idx val="13"/>
            <c:marker>
              <c:symbol val="circle"/>
              <c:size val="5"/>
              <c:spPr>
                <a:solidFill>
                  <a:schemeClr val="bg1"/>
                </a:solidFill>
                <a:ln w="19050">
                  <a:solidFill>
                    <a:srgbClr val="E06026"/>
                  </a:solidFill>
                </a:ln>
                <a:effectLst/>
              </c:spPr>
            </c:marker>
            <c:bubble3D val="0"/>
            <c:extLst>
              <c:ext xmlns:c16="http://schemas.microsoft.com/office/drawing/2014/chart" uri="{C3380CC4-5D6E-409C-BE32-E72D297353CC}">
                <c16:uniqueId val="{00000022-6C6E-43A2-82BD-8F77A3D5343B}"/>
              </c:ext>
            </c:extLst>
          </c:dPt>
          <c:dLbls>
            <c:dLbl>
              <c:idx val="0"/>
              <c:delete val="1"/>
              <c:extLst>
                <c:ext xmlns:c15="http://schemas.microsoft.com/office/drawing/2012/chart" uri="{CE6537A1-D6FC-4f65-9D91-7224C49458BB}"/>
                <c:ext xmlns:c16="http://schemas.microsoft.com/office/drawing/2014/chart" uri="{C3380CC4-5D6E-409C-BE32-E72D297353CC}">
                  <c16:uniqueId val="{00000023-6C6E-43A2-82BD-8F77A3D5343B}"/>
                </c:ext>
              </c:extLst>
            </c:dLbl>
            <c:dLbl>
              <c:idx val="1"/>
              <c:layout>
                <c:manualLayout>
                  <c:x val="-2.5285599519241753E-2"/>
                  <c:y val="-3.9709971293651329E-2"/>
                </c:manualLayout>
              </c:layout>
              <c:tx>
                <c:rich>
                  <a:bodyPr/>
                  <a:lstStyle/>
                  <a:p>
                    <a:fld id="{9D6215EF-FB24-44B6-9033-4B93E60D6D91}"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6C6E-43A2-82BD-8F77A3D5343B}"/>
                </c:ext>
              </c:extLst>
            </c:dLbl>
            <c:dLbl>
              <c:idx val="2"/>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6C6E-43A2-82BD-8F77A3D5343B}"/>
                </c:ext>
              </c:extLst>
            </c:dLbl>
            <c:dLbl>
              <c:idx val="3"/>
              <c:delete val="1"/>
              <c:extLst>
                <c:ext xmlns:c15="http://schemas.microsoft.com/office/drawing/2012/chart" uri="{CE6537A1-D6FC-4f65-9D91-7224C49458BB}"/>
                <c:ext xmlns:c16="http://schemas.microsoft.com/office/drawing/2014/chart" uri="{C3380CC4-5D6E-409C-BE32-E72D297353CC}">
                  <c16:uniqueId val="{00000025-6C6E-43A2-82BD-8F77A3D5343B}"/>
                </c:ext>
              </c:extLst>
            </c:dLbl>
            <c:dLbl>
              <c:idx val="4"/>
              <c:layout>
                <c:manualLayout>
                  <c:x val="-2.3880843990395011E-2"/>
                  <c:y val="-4.1364553430886804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7BDB416A-D844-4B81-B8FF-9753C029A4D3}" type="CELLRANGE">
                      <a:rPr lang="en-US"/>
                      <a:pPr>
                        <a:defRPr>
                          <a:latin typeface="Arial" panose="020B0604020202020204" pitchFamily="34" charset="0"/>
                          <a:cs typeface="Arial" panose="020B0604020202020204" pitchFamily="34" charset="0"/>
                        </a:defRPr>
                      </a:pPr>
                      <a:t>[CELLRANGE]</a:t>
                    </a:fld>
                    <a:endParaRPr lang="en-AU"/>
                  </a:p>
                </c:rich>
              </c:tx>
              <c:spPr>
                <a:solidFill>
                  <a:schemeClr val="bg1"/>
                </a:solidFill>
                <a:ln w="15875">
                  <a:solidFill>
                    <a:srgbClr val="E06026"/>
                  </a:solid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3.9199647727133205E-2"/>
                      <c:h val="4.9587956935005145E-2"/>
                    </c:manualLayout>
                  </c15:layout>
                  <c15:dlblFieldTable/>
                  <c15:showDataLabelsRange val="1"/>
                </c:ext>
                <c:ext xmlns:c16="http://schemas.microsoft.com/office/drawing/2014/chart" uri="{C3380CC4-5D6E-409C-BE32-E72D297353CC}">
                  <c16:uniqueId val="{0000001F-6C6E-43A2-82BD-8F77A3D5343B}"/>
                </c:ext>
              </c:extLst>
            </c:dLbl>
            <c:dLbl>
              <c:idx val="5"/>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6C6E-43A2-82BD-8F77A3D5343B}"/>
                </c:ext>
              </c:extLst>
            </c:dLbl>
            <c:dLbl>
              <c:idx val="6"/>
              <c:delete val="1"/>
              <c:extLst>
                <c:ext xmlns:c15="http://schemas.microsoft.com/office/drawing/2012/chart" uri="{CE6537A1-D6FC-4f65-9D91-7224C49458BB}"/>
                <c:ext xmlns:c16="http://schemas.microsoft.com/office/drawing/2014/chart" uri="{C3380CC4-5D6E-409C-BE32-E72D297353CC}">
                  <c16:uniqueId val="{00000027-6C6E-43A2-82BD-8F77A3D5343B}"/>
                </c:ext>
              </c:extLst>
            </c:dLbl>
            <c:dLbl>
              <c:idx val="7"/>
              <c:layout>
                <c:manualLayout>
                  <c:x val="-7.4083132774444285E-6"/>
                  <c:y val="1.5738017758180692E-2"/>
                </c:manualLayout>
              </c:layout>
              <c:tx>
                <c:rich>
                  <a:bodyPr/>
                  <a:lstStyle/>
                  <a:p>
                    <a:fld id="{7531C60E-1D11-4F4F-9663-43EEBD55DE94}"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6C6E-43A2-82BD-8F77A3D5343B}"/>
                </c:ext>
              </c:extLst>
            </c:dLbl>
            <c:dLbl>
              <c:idx val="8"/>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6C6E-43A2-82BD-8F77A3D5343B}"/>
                </c:ext>
              </c:extLst>
            </c:dLbl>
            <c:dLbl>
              <c:idx val="9"/>
              <c:delete val="1"/>
              <c:extLst>
                <c:ext xmlns:c15="http://schemas.microsoft.com/office/drawing/2012/chart" uri="{CE6537A1-D6FC-4f65-9D91-7224C49458BB}"/>
                <c:ext xmlns:c16="http://schemas.microsoft.com/office/drawing/2014/chart" uri="{C3380CC4-5D6E-409C-BE32-E72D297353CC}">
                  <c16:uniqueId val="{00000029-6C6E-43A2-82BD-8F77A3D5343B}"/>
                </c:ext>
              </c:extLst>
            </c:dLbl>
            <c:dLbl>
              <c:idx val="10"/>
              <c:layout>
                <c:manualLayout>
                  <c:x val="-1.9666577403854715E-2"/>
                  <c:y val="-3.9709971293651336E-2"/>
                </c:manualLayout>
              </c:layout>
              <c:tx>
                <c:rich>
                  <a:bodyPr/>
                  <a:lstStyle/>
                  <a:p>
                    <a:fld id="{5E8B1D2D-1489-4551-BD1D-721859274275}"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layout>
                    <c:manualLayout>
                      <c:w val="3.9199647727133205E-2"/>
                      <c:h val="4.6278792660534196E-2"/>
                    </c:manualLayout>
                  </c15:layout>
                  <c15:dlblFieldTable/>
                  <c15:showDataLabelsRange val="1"/>
                </c:ext>
                <c:ext xmlns:c16="http://schemas.microsoft.com/office/drawing/2014/chart" uri="{C3380CC4-5D6E-409C-BE32-E72D297353CC}">
                  <c16:uniqueId val="{00000021-6C6E-43A2-82BD-8F77A3D5343B}"/>
                </c:ext>
              </c:extLst>
            </c:dLbl>
            <c:dLbl>
              <c:idx val="11"/>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6C6E-43A2-82BD-8F77A3D5343B}"/>
                </c:ext>
              </c:extLst>
            </c:dLbl>
            <c:dLbl>
              <c:idx val="12"/>
              <c:delete val="1"/>
              <c:extLst>
                <c:ext xmlns:c15="http://schemas.microsoft.com/office/drawing/2012/chart" uri="{CE6537A1-D6FC-4f65-9D91-7224C49458BB}"/>
                <c:ext xmlns:c16="http://schemas.microsoft.com/office/drawing/2014/chart" uri="{C3380CC4-5D6E-409C-BE32-E72D297353CC}">
                  <c16:uniqueId val="{0000002B-6C6E-43A2-82BD-8F77A3D5343B}"/>
                </c:ext>
              </c:extLst>
            </c:dLbl>
            <c:dLbl>
              <c:idx val="13"/>
              <c:layout>
                <c:manualLayout>
                  <c:x val="-2.5285599519241881E-2"/>
                  <c:y val="3.9709971293651329E-2"/>
                </c:manualLayout>
              </c:layout>
              <c:tx>
                <c:rich>
                  <a:bodyPr/>
                  <a:lstStyle/>
                  <a:p>
                    <a:fld id="{02669224-A8F6-4B46-BF0D-7B4E749BCF33}"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6C6E-43A2-82BD-8F77A3D5343B}"/>
                </c:ext>
              </c:extLst>
            </c:dLbl>
            <c:spPr>
              <a:solidFill>
                <a:schemeClr val="bg1"/>
              </a:solidFill>
              <a:ln w="15875">
                <a:solidFill>
                  <a:srgbClr val="E06026"/>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'Summary Chart'!$C$2:$P$3</c:f>
              <c:multiLvlStrCache>
                <c:ptCount val="14"/>
                <c:lvl>
                  <c:pt idx="0">
                    <c:v>DMO 6   (2024–25)</c:v>
                  </c:pt>
                  <c:pt idx="1">
                    <c:v>DMO 7   (2025–26)</c:v>
                  </c:pt>
                  <c:pt idx="3">
                    <c:v>DMO 6   (2024–25)</c:v>
                  </c:pt>
                  <c:pt idx="4">
                    <c:v>DMO 7   (2025–26)</c:v>
                  </c:pt>
                  <c:pt idx="6">
                    <c:v>DMO 6   (2024–25)</c:v>
                  </c:pt>
                  <c:pt idx="7">
                    <c:v>DMO 7   (2025–26)</c:v>
                  </c:pt>
                  <c:pt idx="9">
                    <c:v>DMO 6   (2024–25)</c:v>
                  </c:pt>
                  <c:pt idx="10">
                    <c:v>DMO 7   (2025–26)</c:v>
                  </c:pt>
                  <c:pt idx="12">
                    <c:v>DMO 6   (2024–25)</c:v>
                  </c:pt>
                  <c:pt idx="13">
                    <c:v>DMO 7   (2025–26)</c:v>
                  </c:pt>
                </c:lvl>
                <c:lvl>
                  <c:pt idx="0">
                    <c:v>Ausgrid</c:v>
                  </c:pt>
                  <c:pt idx="2">
                    <c:v> </c:v>
                  </c:pt>
                  <c:pt idx="3">
                    <c:v>Endeavour Energy</c:v>
                  </c:pt>
                  <c:pt idx="5">
                    <c:v> </c:v>
                  </c:pt>
                  <c:pt idx="6">
                    <c:v>Essential Energy</c:v>
                  </c:pt>
                  <c:pt idx="8">
                    <c:v> </c:v>
                  </c:pt>
                  <c:pt idx="9">
                    <c:v>Energex</c:v>
                  </c:pt>
                  <c:pt idx="11">
                    <c:v> </c:v>
                  </c:pt>
                  <c:pt idx="12">
                    <c:v>SA Power Networks</c:v>
                  </c:pt>
                </c:lvl>
              </c:multiLvlStrCache>
            </c:multiLvlStrRef>
          </c:cat>
          <c:val>
            <c:numRef>
              <c:f>'Summary Chart'!$C$5:$P$5</c:f>
              <c:numCache>
                <c:formatCode>#,##0</c:formatCode>
                <c:ptCount val="14"/>
                <c:pt idx="0">
                  <c:v>712.34100252857127</c:v>
                </c:pt>
                <c:pt idx="1">
                  <c:v>753.97249122143467</c:v>
                </c:pt>
                <c:pt idx="3">
                  <c:v>949.36140152857149</c:v>
                </c:pt>
                <c:pt idx="4">
                  <c:v>998.46091350140671</c:v>
                </c:pt>
                <c:pt idx="6">
                  <c:v>838.80785182857142</c:v>
                </c:pt>
                <c:pt idx="7">
                  <c:v>903.45227990993703</c:v>
                </c:pt>
                <c:pt idx="9">
                  <c:v>847.86525182857145</c:v>
                </c:pt>
                <c:pt idx="10">
                  <c:v>847.00695816791369</c:v>
                </c:pt>
                <c:pt idx="12">
                  <c:v>805.77435242857121</c:v>
                </c:pt>
                <c:pt idx="13">
                  <c:v>858.79927885285178</c:v>
                </c:pt>
              </c:numCache>
            </c:numRef>
          </c:val>
          <c:smooth val="0"/>
          <c:extLst>
            <c:ext xmlns:c15="http://schemas.microsoft.com/office/drawing/2012/chart" uri="{02D57815-91ED-43cb-92C2-25804820EDAC}">
              <c15:datalabelsRange>
                <c15:f>'Summary Chart'!$C$11:$P$11</c15:f>
                <c15:dlblRangeCache>
                  <c:ptCount val="14"/>
                  <c:pt idx="0">
                    <c:v> </c:v>
                  </c:pt>
                  <c:pt idx="1">
                    <c:v>▲$42</c:v>
                  </c:pt>
                  <c:pt idx="2">
                    <c:v> </c:v>
                  </c:pt>
                  <c:pt idx="3">
                    <c:v> </c:v>
                  </c:pt>
                  <c:pt idx="4">
                    <c:v>▲$49</c:v>
                  </c:pt>
                  <c:pt idx="5">
                    <c:v> </c:v>
                  </c:pt>
                  <c:pt idx="6">
                    <c:v> </c:v>
                  </c:pt>
                  <c:pt idx="7">
                    <c:v>▲$65</c:v>
                  </c:pt>
                  <c:pt idx="8">
                    <c:v> </c:v>
                  </c:pt>
                  <c:pt idx="9">
                    <c:v> </c:v>
                  </c:pt>
                  <c:pt idx="10">
                    <c:v>▼$1</c:v>
                  </c:pt>
                  <c:pt idx="12">
                    <c:v> </c:v>
                  </c:pt>
                  <c:pt idx="13">
                    <c:v>▲$53</c:v>
                  </c:pt>
                </c15:dlblRangeCache>
              </c15:datalabelsRange>
            </c:ext>
            <c:ext xmlns:c16="http://schemas.microsoft.com/office/drawing/2014/chart" uri="{C3380CC4-5D6E-409C-BE32-E72D297353CC}">
              <c16:uniqueId val="{0000002C-6C6E-43A2-82BD-8F77A3D5343B}"/>
            </c:ext>
          </c:extLst>
        </c:ser>
        <c:ser>
          <c:idx val="4"/>
          <c:order val="3"/>
          <c:tx>
            <c:strRef>
              <c:f>'Summary Chart'!$B$7</c:f>
              <c:strCache>
                <c:ptCount val="1"/>
                <c:pt idx="0">
                  <c:v>Environmental cost component</c:v>
                </c:pt>
              </c:strCache>
            </c:strRef>
          </c:tx>
          <c:spPr>
            <a:ln w="19050" cap="rnd">
              <a:solidFill>
                <a:srgbClr val="5F9E88"/>
              </a:solidFill>
              <a:round/>
              <a:tailEnd type="none"/>
            </a:ln>
            <a:effectLst/>
          </c:spPr>
          <c:marker>
            <c:symbol val="none"/>
          </c:marker>
          <c:dPt>
            <c:idx val="1"/>
            <c:marker>
              <c:symbol val="circle"/>
              <c:size val="5"/>
              <c:spPr>
                <a:solidFill>
                  <a:schemeClr val="bg1"/>
                </a:solidFill>
                <a:ln w="15875">
                  <a:solidFill>
                    <a:srgbClr val="5F9E88"/>
                  </a:solidFill>
                </a:ln>
                <a:effectLst/>
              </c:spPr>
            </c:marker>
            <c:bubble3D val="0"/>
            <c:extLst>
              <c:ext xmlns:c16="http://schemas.microsoft.com/office/drawing/2014/chart" uri="{C3380CC4-5D6E-409C-BE32-E72D297353CC}">
                <c16:uniqueId val="{00000029-72BA-4EC8-87F0-7B7CE4AB4E6F}"/>
              </c:ext>
            </c:extLst>
          </c:dPt>
          <c:dPt>
            <c:idx val="4"/>
            <c:marker>
              <c:symbol val="circle"/>
              <c:size val="5"/>
              <c:spPr>
                <a:solidFill>
                  <a:schemeClr val="bg1"/>
                </a:solidFill>
                <a:ln w="15875">
                  <a:solidFill>
                    <a:srgbClr val="5F9E88"/>
                  </a:solidFill>
                </a:ln>
                <a:effectLst/>
              </c:spPr>
            </c:marker>
            <c:bubble3D val="0"/>
            <c:extLst>
              <c:ext xmlns:c16="http://schemas.microsoft.com/office/drawing/2014/chart" uri="{C3380CC4-5D6E-409C-BE32-E72D297353CC}">
                <c16:uniqueId val="{0000002B-72BA-4EC8-87F0-7B7CE4AB4E6F}"/>
              </c:ext>
            </c:extLst>
          </c:dPt>
          <c:dPt>
            <c:idx val="7"/>
            <c:marker>
              <c:symbol val="circle"/>
              <c:size val="5"/>
              <c:spPr>
                <a:solidFill>
                  <a:schemeClr val="bg1"/>
                </a:solidFill>
                <a:ln w="15875">
                  <a:solidFill>
                    <a:srgbClr val="5F9E88"/>
                  </a:solidFill>
                </a:ln>
                <a:effectLst/>
              </c:spPr>
            </c:marker>
            <c:bubble3D val="0"/>
            <c:extLst>
              <c:ext xmlns:c16="http://schemas.microsoft.com/office/drawing/2014/chart" uri="{C3380CC4-5D6E-409C-BE32-E72D297353CC}">
                <c16:uniqueId val="{00000027-72BA-4EC8-87F0-7B7CE4AB4E6F}"/>
              </c:ext>
            </c:extLst>
          </c:dPt>
          <c:dPt>
            <c:idx val="10"/>
            <c:marker>
              <c:symbol val="circle"/>
              <c:size val="5"/>
              <c:spPr>
                <a:solidFill>
                  <a:schemeClr val="bg1"/>
                </a:solidFill>
                <a:ln w="15875">
                  <a:solidFill>
                    <a:srgbClr val="5F9E88"/>
                  </a:solidFill>
                </a:ln>
                <a:effectLst/>
              </c:spPr>
            </c:marker>
            <c:bubble3D val="0"/>
            <c:extLst>
              <c:ext xmlns:c16="http://schemas.microsoft.com/office/drawing/2014/chart" uri="{C3380CC4-5D6E-409C-BE32-E72D297353CC}">
                <c16:uniqueId val="{00000028-72BA-4EC8-87F0-7B7CE4AB4E6F}"/>
              </c:ext>
            </c:extLst>
          </c:dPt>
          <c:dPt>
            <c:idx val="13"/>
            <c:marker>
              <c:symbol val="circle"/>
              <c:size val="5"/>
              <c:spPr>
                <a:solidFill>
                  <a:schemeClr val="bg1"/>
                </a:solidFill>
                <a:ln w="15875">
                  <a:solidFill>
                    <a:srgbClr val="5F9E88"/>
                  </a:solidFill>
                </a:ln>
                <a:effectLst/>
              </c:spPr>
            </c:marker>
            <c:bubble3D val="0"/>
            <c:extLst>
              <c:ext xmlns:c16="http://schemas.microsoft.com/office/drawing/2014/chart" uri="{C3380CC4-5D6E-409C-BE32-E72D297353CC}">
                <c16:uniqueId val="{0000002A-72BA-4EC8-87F0-7B7CE4AB4E6F}"/>
              </c:ext>
            </c:extLst>
          </c:dPt>
          <c:cat>
            <c:multiLvlStrRef>
              <c:f>'Summary Chart'!$C$2:$P$3</c:f>
              <c:multiLvlStrCache>
                <c:ptCount val="14"/>
                <c:lvl>
                  <c:pt idx="0">
                    <c:v>DMO 6   (2024–25)</c:v>
                  </c:pt>
                  <c:pt idx="1">
                    <c:v>DMO 7   (2025–26)</c:v>
                  </c:pt>
                  <c:pt idx="3">
                    <c:v>DMO 6   (2024–25)</c:v>
                  </c:pt>
                  <c:pt idx="4">
                    <c:v>DMO 7   (2025–26)</c:v>
                  </c:pt>
                  <c:pt idx="6">
                    <c:v>DMO 6   (2024–25)</c:v>
                  </c:pt>
                  <c:pt idx="7">
                    <c:v>DMO 7   (2025–26)</c:v>
                  </c:pt>
                  <c:pt idx="9">
                    <c:v>DMO 6   (2024–25)</c:v>
                  </c:pt>
                  <c:pt idx="10">
                    <c:v>DMO 7   (2025–26)</c:v>
                  </c:pt>
                  <c:pt idx="12">
                    <c:v>DMO 6   (2024–25)</c:v>
                  </c:pt>
                  <c:pt idx="13">
                    <c:v>DMO 7   (2025–26)</c:v>
                  </c:pt>
                </c:lvl>
                <c:lvl>
                  <c:pt idx="0">
                    <c:v>Ausgrid</c:v>
                  </c:pt>
                  <c:pt idx="2">
                    <c:v> </c:v>
                  </c:pt>
                  <c:pt idx="3">
                    <c:v>Endeavour Energy</c:v>
                  </c:pt>
                  <c:pt idx="5">
                    <c:v> </c:v>
                  </c:pt>
                  <c:pt idx="6">
                    <c:v>Essential Energy</c:v>
                  </c:pt>
                  <c:pt idx="8">
                    <c:v> </c:v>
                  </c:pt>
                  <c:pt idx="9">
                    <c:v>Energex</c:v>
                  </c:pt>
                  <c:pt idx="11">
                    <c:v> </c:v>
                  </c:pt>
                  <c:pt idx="12">
                    <c:v>SA Power Networks</c:v>
                  </c:pt>
                </c:lvl>
              </c:multiLvlStrCache>
            </c:multiLvlStrRef>
          </c:cat>
          <c:val>
            <c:numRef>
              <c:f>'Summary Chart'!$C$7:$P$7</c:f>
              <c:numCache>
                <c:formatCode>#,##0</c:formatCode>
                <c:ptCount val="14"/>
                <c:pt idx="0">
                  <c:v>84.255600000000001</c:v>
                </c:pt>
                <c:pt idx="1">
                  <c:v>68.331519303463324</c:v>
                </c:pt>
                <c:pt idx="3">
                  <c:v>106.77590000000001</c:v>
                </c:pt>
                <c:pt idx="4">
                  <c:v>87.407325012464099</c:v>
                </c:pt>
                <c:pt idx="6">
                  <c:v>97.860399999999998</c:v>
                </c:pt>
                <c:pt idx="7">
                  <c:v>80.170406567593488</c:v>
                </c:pt>
                <c:pt idx="9">
                  <c:v>83.641799999999989</c:v>
                </c:pt>
                <c:pt idx="10">
                  <c:v>60.305218339699216</c:v>
                </c:pt>
                <c:pt idx="12">
                  <c:v>97.504000000000005</c:v>
                </c:pt>
                <c:pt idx="13">
                  <c:v>72.246775704569899</c:v>
                </c:pt>
              </c:numCache>
            </c:numRef>
          </c:val>
          <c:smooth val="0"/>
          <c:extLst>
            <c:ext xmlns:c16="http://schemas.microsoft.com/office/drawing/2014/chart" uri="{C3380CC4-5D6E-409C-BE32-E72D297353CC}">
              <c16:uniqueId val="{0000002D-6C6E-43A2-82BD-8F77A3D5343B}"/>
            </c:ext>
          </c:extLst>
        </c:ser>
        <c:ser>
          <c:idx val="6"/>
          <c:order val="4"/>
          <c:tx>
            <c:strRef>
              <c:f>'Summary Chart'!$B$17</c:f>
              <c:strCache>
                <c:ptCount val="1"/>
              </c:strCache>
            </c:strRef>
          </c:tx>
          <c:spPr>
            <a:ln w="28575" cap="rnd">
              <a:noFill/>
              <a:round/>
            </a:ln>
            <a:effectLst/>
          </c:spPr>
          <c:marker>
            <c:symbol val="none"/>
          </c:marker>
          <c:cat>
            <c:multiLvlStrRef>
              <c:f>'Summary Chart'!$C$2:$P$3</c:f>
              <c:multiLvlStrCache>
                <c:ptCount val="14"/>
                <c:lvl>
                  <c:pt idx="0">
                    <c:v>DMO 6   (2024–25)</c:v>
                  </c:pt>
                  <c:pt idx="1">
                    <c:v>DMO 7   (2025–26)</c:v>
                  </c:pt>
                  <c:pt idx="3">
                    <c:v>DMO 6   (2024–25)</c:v>
                  </c:pt>
                  <c:pt idx="4">
                    <c:v>DMO 7   (2025–26)</c:v>
                  </c:pt>
                  <c:pt idx="6">
                    <c:v>DMO 6   (2024–25)</c:v>
                  </c:pt>
                  <c:pt idx="7">
                    <c:v>DMO 7   (2025–26)</c:v>
                  </c:pt>
                  <c:pt idx="9">
                    <c:v>DMO 6   (2024–25)</c:v>
                  </c:pt>
                  <c:pt idx="10">
                    <c:v>DMO 7   (2025–26)</c:v>
                  </c:pt>
                  <c:pt idx="12">
                    <c:v>DMO 6   (2024–25)</c:v>
                  </c:pt>
                  <c:pt idx="13">
                    <c:v>DMO 7   (2025–26)</c:v>
                  </c:pt>
                </c:lvl>
                <c:lvl>
                  <c:pt idx="0">
                    <c:v>Ausgrid</c:v>
                  </c:pt>
                  <c:pt idx="2">
                    <c:v> </c:v>
                  </c:pt>
                  <c:pt idx="3">
                    <c:v>Endeavour Energy</c:v>
                  </c:pt>
                  <c:pt idx="5">
                    <c:v> </c:v>
                  </c:pt>
                  <c:pt idx="6">
                    <c:v>Essential Energy</c:v>
                  </c:pt>
                  <c:pt idx="8">
                    <c:v> </c:v>
                  </c:pt>
                  <c:pt idx="9">
                    <c:v>Energex</c:v>
                  </c:pt>
                  <c:pt idx="11">
                    <c:v> </c:v>
                  </c:pt>
                  <c:pt idx="12">
                    <c:v>SA Power Networks</c:v>
                  </c:pt>
                </c:lvl>
              </c:multiLvlStrCache>
            </c:multiLvlStrRef>
          </c:cat>
          <c:val>
            <c:numRef>
              <c:f>'Summary Chart'!$C$17:$P$17</c:f>
            </c:numRef>
          </c:val>
          <c:smooth val="0"/>
          <c:extLst>
            <c:ext xmlns:c16="http://schemas.microsoft.com/office/drawing/2014/chart" uri="{C3380CC4-5D6E-409C-BE32-E72D297353CC}">
              <c16:uniqueId val="{0000002E-6C6E-43A2-82BD-8F77A3D5343B}"/>
            </c:ext>
          </c:extLst>
        </c:ser>
        <c:ser>
          <c:idx val="3"/>
          <c:order val="5"/>
          <c:tx>
            <c:strRef>
              <c:f>'Summary Chart'!$B$8</c:f>
              <c:strCache>
                <c:ptCount val="1"/>
                <c:pt idx="0">
                  <c:v>Retail cost component</c:v>
                </c:pt>
              </c:strCache>
            </c:strRef>
          </c:tx>
          <c:spPr>
            <a:ln w="19050" cap="rnd">
              <a:solidFill>
                <a:srgbClr val="F0B9B3"/>
              </a:solidFill>
              <a:round/>
              <a:tailEnd type="none"/>
            </a:ln>
            <a:effectLst/>
          </c:spPr>
          <c:marker>
            <c:symbol val="none"/>
          </c:marker>
          <c:dPt>
            <c:idx val="0"/>
            <c:marker>
              <c:symbol val="none"/>
            </c:marker>
            <c:bubble3D val="0"/>
            <c:extLst>
              <c:ext xmlns:c16="http://schemas.microsoft.com/office/drawing/2014/chart" uri="{C3380CC4-5D6E-409C-BE32-E72D297353CC}">
                <c16:uniqueId val="{00000013-749B-40C5-AED5-CE6F42E2838E}"/>
              </c:ext>
            </c:extLst>
          </c:dPt>
          <c:dPt>
            <c:idx val="1"/>
            <c:marker>
              <c:symbol val="circle"/>
              <c:size val="5"/>
              <c:spPr>
                <a:solidFill>
                  <a:schemeClr val="bg1"/>
                </a:solidFill>
                <a:ln w="15875">
                  <a:solidFill>
                    <a:srgbClr val="F0B9B3"/>
                  </a:solidFill>
                </a:ln>
                <a:effectLst/>
              </c:spPr>
            </c:marker>
            <c:bubble3D val="0"/>
            <c:extLst>
              <c:ext xmlns:c16="http://schemas.microsoft.com/office/drawing/2014/chart" uri="{C3380CC4-5D6E-409C-BE32-E72D297353CC}">
                <c16:uniqueId val="{0000002F-6C6E-43A2-82BD-8F77A3D5343B}"/>
              </c:ext>
            </c:extLst>
          </c:dPt>
          <c:dPt>
            <c:idx val="3"/>
            <c:marker>
              <c:symbol val="none"/>
            </c:marker>
            <c:bubble3D val="0"/>
            <c:extLst>
              <c:ext xmlns:c16="http://schemas.microsoft.com/office/drawing/2014/chart" uri="{C3380CC4-5D6E-409C-BE32-E72D297353CC}">
                <c16:uniqueId val="{00000014-749B-40C5-AED5-CE6F42E2838E}"/>
              </c:ext>
            </c:extLst>
          </c:dPt>
          <c:dPt>
            <c:idx val="4"/>
            <c:marker>
              <c:symbol val="circle"/>
              <c:size val="5"/>
              <c:spPr>
                <a:solidFill>
                  <a:schemeClr val="bg1"/>
                </a:solidFill>
                <a:ln w="15875">
                  <a:solidFill>
                    <a:srgbClr val="F0B9B3"/>
                  </a:solidFill>
                </a:ln>
                <a:effectLst/>
              </c:spPr>
            </c:marker>
            <c:bubble3D val="0"/>
            <c:extLst>
              <c:ext xmlns:c16="http://schemas.microsoft.com/office/drawing/2014/chart" uri="{C3380CC4-5D6E-409C-BE32-E72D297353CC}">
                <c16:uniqueId val="{00000030-6C6E-43A2-82BD-8F77A3D5343B}"/>
              </c:ext>
            </c:extLst>
          </c:dPt>
          <c:dPt>
            <c:idx val="6"/>
            <c:marker>
              <c:symbol val="none"/>
            </c:marker>
            <c:bubble3D val="0"/>
            <c:extLst>
              <c:ext xmlns:c16="http://schemas.microsoft.com/office/drawing/2014/chart" uri="{C3380CC4-5D6E-409C-BE32-E72D297353CC}">
                <c16:uniqueId val="{00000015-749B-40C5-AED5-CE6F42E2838E}"/>
              </c:ext>
            </c:extLst>
          </c:dPt>
          <c:dPt>
            <c:idx val="7"/>
            <c:marker>
              <c:symbol val="circle"/>
              <c:size val="5"/>
              <c:spPr>
                <a:solidFill>
                  <a:schemeClr val="bg1"/>
                </a:solidFill>
                <a:ln w="15875">
                  <a:solidFill>
                    <a:srgbClr val="F0B9B3"/>
                  </a:solidFill>
                </a:ln>
                <a:effectLst/>
              </c:spPr>
            </c:marker>
            <c:bubble3D val="0"/>
            <c:extLst>
              <c:ext xmlns:c16="http://schemas.microsoft.com/office/drawing/2014/chart" uri="{C3380CC4-5D6E-409C-BE32-E72D297353CC}">
                <c16:uniqueId val="{00000031-6C6E-43A2-82BD-8F77A3D5343B}"/>
              </c:ext>
            </c:extLst>
          </c:dPt>
          <c:dPt>
            <c:idx val="9"/>
            <c:marker>
              <c:symbol val="none"/>
            </c:marker>
            <c:bubble3D val="0"/>
            <c:extLst>
              <c:ext xmlns:c16="http://schemas.microsoft.com/office/drawing/2014/chart" uri="{C3380CC4-5D6E-409C-BE32-E72D297353CC}">
                <c16:uniqueId val="{00000016-749B-40C5-AED5-CE6F42E2838E}"/>
              </c:ext>
            </c:extLst>
          </c:dPt>
          <c:dPt>
            <c:idx val="10"/>
            <c:marker>
              <c:symbol val="circle"/>
              <c:size val="5"/>
              <c:spPr>
                <a:solidFill>
                  <a:schemeClr val="bg1"/>
                </a:solidFill>
                <a:ln w="15875">
                  <a:solidFill>
                    <a:srgbClr val="F0B9B3"/>
                  </a:solidFill>
                </a:ln>
                <a:effectLst/>
              </c:spPr>
            </c:marker>
            <c:bubble3D val="0"/>
            <c:extLst>
              <c:ext xmlns:c16="http://schemas.microsoft.com/office/drawing/2014/chart" uri="{C3380CC4-5D6E-409C-BE32-E72D297353CC}">
                <c16:uniqueId val="{00000032-6C6E-43A2-82BD-8F77A3D5343B}"/>
              </c:ext>
            </c:extLst>
          </c:dPt>
          <c:dPt>
            <c:idx val="12"/>
            <c:marker>
              <c:symbol val="none"/>
            </c:marker>
            <c:bubble3D val="0"/>
            <c:extLst>
              <c:ext xmlns:c16="http://schemas.microsoft.com/office/drawing/2014/chart" uri="{C3380CC4-5D6E-409C-BE32-E72D297353CC}">
                <c16:uniqueId val="{00000017-749B-40C5-AED5-CE6F42E2838E}"/>
              </c:ext>
            </c:extLst>
          </c:dPt>
          <c:dPt>
            <c:idx val="13"/>
            <c:marker>
              <c:symbol val="circle"/>
              <c:size val="5"/>
              <c:spPr>
                <a:solidFill>
                  <a:schemeClr val="bg1"/>
                </a:solidFill>
                <a:ln w="15875">
                  <a:solidFill>
                    <a:srgbClr val="F0B9B3"/>
                  </a:solidFill>
                </a:ln>
                <a:effectLst/>
              </c:spPr>
            </c:marker>
            <c:bubble3D val="0"/>
            <c:extLst>
              <c:ext xmlns:c16="http://schemas.microsoft.com/office/drawing/2014/chart" uri="{C3380CC4-5D6E-409C-BE32-E72D297353CC}">
                <c16:uniqueId val="{00000033-6C6E-43A2-82BD-8F77A3D5343B}"/>
              </c:ext>
            </c:extLst>
          </c:dPt>
          <c:dLbls>
            <c:dLbl>
              <c:idx val="0"/>
              <c:delete val="1"/>
              <c:extLst>
                <c:ext xmlns:c15="http://schemas.microsoft.com/office/drawing/2012/chart" uri="{CE6537A1-D6FC-4f65-9D91-7224C49458BB}"/>
                <c:ext xmlns:c16="http://schemas.microsoft.com/office/drawing/2014/chart" uri="{C3380CC4-5D6E-409C-BE32-E72D297353CC}">
                  <c16:uniqueId val="{00000013-749B-40C5-AED5-CE6F42E2838E}"/>
                </c:ext>
              </c:extLst>
            </c:dLbl>
            <c:dLbl>
              <c:idx val="1"/>
              <c:tx>
                <c:rich>
                  <a:bodyPr/>
                  <a:lstStyle/>
                  <a:p>
                    <a:fld id="{BF2AAFB8-6AFF-4E2E-9EE9-DD03EDD8FE6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6C6E-43A2-82BD-8F77A3D5343B}"/>
                </c:ext>
              </c:extLst>
            </c:dLbl>
            <c:dLbl>
              <c:idx val="2"/>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749B-40C5-AED5-CE6F42E2838E}"/>
                </c:ext>
              </c:extLst>
            </c:dLbl>
            <c:dLbl>
              <c:idx val="3"/>
              <c:delete val="1"/>
              <c:extLst>
                <c:ext xmlns:c15="http://schemas.microsoft.com/office/drawing/2012/chart" uri="{CE6537A1-D6FC-4f65-9D91-7224C49458BB}"/>
                <c:ext xmlns:c16="http://schemas.microsoft.com/office/drawing/2014/chart" uri="{C3380CC4-5D6E-409C-BE32-E72D297353CC}">
                  <c16:uniqueId val="{00000014-749B-40C5-AED5-CE6F42E2838E}"/>
                </c:ext>
              </c:extLst>
            </c:dLbl>
            <c:dLbl>
              <c:idx val="4"/>
              <c:tx>
                <c:rich>
                  <a:bodyPr/>
                  <a:lstStyle/>
                  <a:p>
                    <a:fld id="{A7251AD1-0BE4-4EED-81B1-56831FF0BE2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6C6E-43A2-82BD-8F77A3D5343B}"/>
                </c:ext>
              </c:extLst>
            </c:dLbl>
            <c:dLbl>
              <c:idx val="5"/>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749B-40C5-AED5-CE6F42E2838E}"/>
                </c:ext>
              </c:extLst>
            </c:dLbl>
            <c:dLbl>
              <c:idx val="6"/>
              <c:delete val="1"/>
              <c:extLst>
                <c:ext xmlns:c15="http://schemas.microsoft.com/office/drawing/2012/chart" uri="{CE6537A1-D6FC-4f65-9D91-7224C49458BB}"/>
                <c:ext xmlns:c16="http://schemas.microsoft.com/office/drawing/2014/chart" uri="{C3380CC4-5D6E-409C-BE32-E72D297353CC}">
                  <c16:uniqueId val="{00000015-749B-40C5-AED5-CE6F42E2838E}"/>
                </c:ext>
              </c:extLst>
            </c:dLbl>
            <c:dLbl>
              <c:idx val="7"/>
              <c:tx>
                <c:rich>
                  <a:bodyPr/>
                  <a:lstStyle/>
                  <a:p>
                    <a:fld id="{901E6708-47AB-4B6C-90B3-DA83FF1FE21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6C6E-43A2-82BD-8F77A3D5343B}"/>
                </c:ext>
              </c:extLst>
            </c:dLbl>
            <c:dLbl>
              <c:idx val="8"/>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749B-40C5-AED5-CE6F42E2838E}"/>
                </c:ext>
              </c:extLst>
            </c:dLbl>
            <c:dLbl>
              <c:idx val="9"/>
              <c:delete val="1"/>
              <c:extLst>
                <c:ext xmlns:c15="http://schemas.microsoft.com/office/drawing/2012/chart" uri="{CE6537A1-D6FC-4f65-9D91-7224C49458BB}"/>
                <c:ext xmlns:c16="http://schemas.microsoft.com/office/drawing/2014/chart" uri="{C3380CC4-5D6E-409C-BE32-E72D297353CC}">
                  <c16:uniqueId val="{00000016-749B-40C5-AED5-CE6F42E2838E}"/>
                </c:ext>
              </c:extLst>
            </c:dLbl>
            <c:dLbl>
              <c:idx val="10"/>
              <c:tx>
                <c:rich>
                  <a:bodyPr/>
                  <a:lstStyle/>
                  <a:p>
                    <a:fld id="{4DFD766A-DA98-4D86-B002-21F94EEA0DA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6C6E-43A2-82BD-8F77A3D5343B}"/>
                </c:ext>
              </c:extLst>
            </c:dLbl>
            <c:dLbl>
              <c:idx val="11"/>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749B-40C5-AED5-CE6F42E2838E}"/>
                </c:ext>
              </c:extLst>
            </c:dLbl>
            <c:dLbl>
              <c:idx val="12"/>
              <c:delete val="1"/>
              <c:extLst>
                <c:ext xmlns:c15="http://schemas.microsoft.com/office/drawing/2012/chart" uri="{CE6537A1-D6FC-4f65-9D91-7224C49458BB}"/>
                <c:ext xmlns:c16="http://schemas.microsoft.com/office/drawing/2014/chart" uri="{C3380CC4-5D6E-409C-BE32-E72D297353CC}">
                  <c16:uniqueId val="{00000017-749B-40C5-AED5-CE6F42E2838E}"/>
                </c:ext>
              </c:extLst>
            </c:dLbl>
            <c:dLbl>
              <c:idx val="13"/>
              <c:tx>
                <c:rich>
                  <a:bodyPr/>
                  <a:lstStyle/>
                  <a:p>
                    <a:fld id="{C57FCDEF-58AB-441E-8FE2-3FBCCDD57A7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6C6E-43A2-82BD-8F77A3D5343B}"/>
                </c:ext>
              </c:extLst>
            </c:dLbl>
            <c:spPr>
              <a:solidFill>
                <a:schemeClr val="bg1"/>
              </a:solidFill>
              <a:ln w="15875">
                <a:solidFill>
                  <a:srgbClr val="F0B9B3"/>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'Summary Chart'!$C$2:$P$3</c:f>
              <c:multiLvlStrCache>
                <c:ptCount val="14"/>
                <c:lvl>
                  <c:pt idx="0">
                    <c:v>DMO 6   (2024–25)</c:v>
                  </c:pt>
                  <c:pt idx="1">
                    <c:v>DMO 7   (2025–26)</c:v>
                  </c:pt>
                  <c:pt idx="3">
                    <c:v>DMO 6   (2024–25)</c:v>
                  </c:pt>
                  <c:pt idx="4">
                    <c:v>DMO 7   (2025–26)</c:v>
                  </c:pt>
                  <c:pt idx="6">
                    <c:v>DMO 6   (2024–25)</c:v>
                  </c:pt>
                  <c:pt idx="7">
                    <c:v>DMO 7   (2025–26)</c:v>
                  </c:pt>
                  <c:pt idx="9">
                    <c:v>DMO 6   (2024–25)</c:v>
                  </c:pt>
                  <c:pt idx="10">
                    <c:v>DMO 7   (2025–26)</c:v>
                  </c:pt>
                  <c:pt idx="12">
                    <c:v>DMO 6   (2024–25)</c:v>
                  </c:pt>
                  <c:pt idx="13">
                    <c:v>DMO 7   (2025–26)</c:v>
                  </c:pt>
                </c:lvl>
                <c:lvl>
                  <c:pt idx="0">
                    <c:v>Ausgrid</c:v>
                  </c:pt>
                  <c:pt idx="2">
                    <c:v> </c:v>
                  </c:pt>
                  <c:pt idx="3">
                    <c:v>Endeavour Energy</c:v>
                  </c:pt>
                  <c:pt idx="5">
                    <c:v> </c:v>
                  </c:pt>
                  <c:pt idx="6">
                    <c:v>Essential Energy</c:v>
                  </c:pt>
                  <c:pt idx="8">
                    <c:v> </c:v>
                  </c:pt>
                  <c:pt idx="9">
                    <c:v>Energex</c:v>
                  </c:pt>
                  <c:pt idx="11">
                    <c:v> </c:v>
                  </c:pt>
                  <c:pt idx="12">
                    <c:v>SA Power Networks</c:v>
                  </c:pt>
                </c:lvl>
              </c:multiLvlStrCache>
            </c:multiLvlStrRef>
          </c:cat>
          <c:val>
            <c:numRef>
              <c:f>'Summary Chart'!$C$8:$P$8</c:f>
              <c:numCache>
                <c:formatCode>#,##0</c:formatCode>
                <c:ptCount val="14"/>
                <c:pt idx="0">
                  <c:v>248.16968193600002</c:v>
                </c:pt>
                <c:pt idx="1">
                  <c:v>312.51267628903128</c:v>
                </c:pt>
                <c:pt idx="3">
                  <c:v>268.94377382400006</c:v>
                </c:pt>
                <c:pt idx="4">
                  <c:v>344.30566121810301</c:v>
                </c:pt>
                <c:pt idx="6">
                  <c:v>270.02784441600005</c:v>
                </c:pt>
                <c:pt idx="7">
                  <c:v>343.7615024031029</c:v>
                </c:pt>
                <c:pt idx="9">
                  <c:v>242.45474457600002</c:v>
                </c:pt>
                <c:pt idx="10">
                  <c:v>328.20341084841237</c:v>
                </c:pt>
                <c:pt idx="12">
                  <c:v>270.60522984000005</c:v>
                </c:pt>
                <c:pt idx="13">
                  <c:v>334.4739968776168</c:v>
                </c:pt>
              </c:numCache>
            </c:numRef>
          </c:val>
          <c:smooth val="0"/>
          <c:extLst>
            <c:ext xmlns:c15="http://schemas.microsoft.com/office/drawing/2012/chart" uri="{02D57815-91ED-43cb-92C2-25804820EDAC}">
              <c15:datalabelsRange>
                <c15:f>'Summary Chart'!$C$14:$P$14</c15:f>
                <c15:dlblRangeCache>
                  <c:ptCount val="14"/>
                  <c:pt idx="1">
                    <c:v>▲$64</c:v>
                  </c:pt>
                  <c:pt idx="4">
                    <c:v>▲$75</c:v>
                  </c:pt>
                  <c:pt idx="7">
                    <c:v>▲$74</c:v>
                  </c:pt>
                  <c:pt idx="10">
                    <c:v>▲$86</c:v>
                  </c:pt>
                  <c:pt idx="13">
                    <c:v>▲$64</c:v>
                  </c:pt>
                </c15:dlblRangeCache>
              </c15:datalabelsRange>
            </c:ext>
            <c:ext xmlns:c16="http://schemas.microsoft.com/office/drawing/2014/chart" uri="{C3380CC4-5D6E-409C-BE32-E72D297353CC}">
              <c16:uniqueId val="{00000034-6C6E-43A2-82BD-8F77A3D5343B}"/>
            </c:ext>
          </c:extLst>
        </c:ser>
        <c:ser>
          <c:idx val="5"/>
          <c:order val="6"/>
          <c:tx>
            <c:strRef>
              <c:f>'Summary Chart'!$B$9</c:f>
              <c:strCache>
                <c:ptCount val="1"/>
                <c:pt idx="0">
                  <c:v>Retail margin component</c:v>
                </c:pt>
              </c:strCache>
            </c:strRef>
          </c:tx>
          <c:spPr>
            <a:ln w="31750" cap="rnd">
              <a:solidFill>
                <a:srgbClr val="303F51"/>
              </a:solidFill>
              <a:prstDash val="sysDot"/>
              <a:round/>
            </a:ln>
            <a:effectLst/>
          </c:spPr>
          <c:marker>
            <c:symbol val="none"/>
          </c:marker>
          <c:dPt>
            <c:idx val="1"/>
            <c:marker>
              <c:symbol val="none"/>
            </c:marker>
            <c:bubble3D val="0"/>
            <c:extLst>
              <c:ext xmlns:c16="http://schemas.microsoft.com/office/drawing/2014/chart" uri="{C3380CC4-5D6E-409C-BE32-E72D297353CC}">
                <c16:uniqueId val="{00000035-6C6E-43A2-82BD-8F77A3D5343B}"/>
              </c:ext>
            </c:extLst>
          </c:dPt>
          <c:dPt>
            <c:idx val="4"/>
            <c:marker>
              <c:symbol val="none"/>
            </c:marker>
            <c:bubble3D val="0"/>
            <c:extLst>
              <c:ext xmlns:c16="http://schemas.microsoft.com/office/drawing/2014/chart" uri="{C3380CC4-5D6E-409C-BE32-E72D297353CC}">
                <c16:uniqueId val="{00000036-6C6E-43A2-82BD-8F77A3D5343B}"/>
              </c:ext>
            </c:extLst>
          </c:dPt>
          <c:dPt>
            <c:idx val="7"/>
            <c:marker>
              <c:symbol val="none"/>
            </c:marker>
            <c:bubble3D val="0"/>
            <c:extLst>
              <c:ext xmlns:c16="http://schemas.microsoft.com/office/drawing/2014/chart" uri="{C3380CC4-5D6E-409C-BE32-E72D297353CC}">
                <c16:uniqueId val="{00000037-6C6E-43A2-82BD-8F77A3D5343B}"/>
              </c:ext>
            </c:extLst>
          </c:dPt>
          <c:dPt>
            <c:idx val="10"/>
            <c:marker>
              <c:symbol val="none"/>
            </c:marker>
            <c:bubble3D val="0"/>
            <c:extLst>
              <c:ext xmlns:c16="http://schemas.microsoft.com/office/drawing/2014/chart" uri="{C3380CC4-5D6E-409C-BE32-E72D297353CC}">
                <c16:uniqueId val="{00000038-6C6E-43A2-82BD-8F77A3D5343B}"/>
              </c:ext>
            </c:extLst>
          </c:dPt>
          <c:dLbls>
            <c:dLbl>
              <c:idx val="0"/>
              <c:layout>
                <c:manualLayout>
                  <c:x val="6.1805433100355786E-2"/>
                  <c:y val="-1.1230089768789457E-16"/>
                </c:manualLayout>
              </c:layout>
              <c:tx>
                <c:rich>
                  <a:bodyPr/>
                  <a:lstStyle/>
                  <a:p>
                    <a:fld id="{EDC352F5-97F7-4441-9749-26CB50F8C887}"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72BA-4EC8-87F0-7B7CE4AB4E6F}"/>
                </c:ext>
              </c:extLst>
            </c:dLbl>
            <c:dLbl>
              <c:idx val="1"/>
              <c:delete val="1"/>
              <c:extLst>
                <c:ext xmlns:c15="http://schemas.microsoft.com/office/drawing/2012/chart" uri="{CE6537A1-D6FC-4f65-9D91-7224C49458BB}"/>
                <c:ext xmlns:c16="http://schemas.microsoft.com/office/drawing/2014/chart" uri="{C3380CC4-5D6E-409C-BE32-E72D297353CC}">
                  <c16:uniqueId val="{00000035-6C6E-43A2-82BD-8F77A3D5343B}"/>
                </c:ext>
              </c:extLst>
            </c:dLbl>
            <c:dLbl>
              <c:idx val="2"/>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72BA-4EC8-87F0-7B7CE4AB4E6F}"/>
                </c:ext>
              </c:extLst>
            </c:dLbl>
            <c:dLbl>
              <c:idx val="3"/>
              <c:layout>
                <c:manualLayout>
                  <c:x val="6.1805433100355758E-2"/>
                  <c:y val="-1.1230089768789457E-16"/>
                </c:manualLayout>
              </c:layout>
              <c:tx>
                <c:rich>
                  <a:bodyPr/>
                  <a:lstStyle/>
                  <a:p>
                    <a:fld id="{20032F9B-494A-48B0-97FC-21B8C2E94731}"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72BA-4EC8-87F0-7B7CE4AB4E6F}"/>
                </c:ext>
              </c:extLst>
            </c:dLbl>
            <c:dLbl>
              <c:idx val="4"/>
              <c:delete val="1"/>
              <c:extLst>
                <c:ext xmlns:c15="http://schemas.microsoft.com/office/drawing/2012/chart" uri="{CE6537A1-D6FC-4f65-9D91-7224C49458BB}"/>
                <c:ext xmlns:c16="http://schemas.microsoft.com/office/drawing/2014/chart" uri="{C3380CC4-5D6E-409C-BE32-E72D297353CC}">
                  <c16:uniqueId val="{00000036-6C6E-43A2-82BD-8F77A3D5343B}"/>
                </c:ext>
              </c:extLst>
            </c:dLbl>
            <c:dLbl>
              <c:idx val="5"/>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72BA-4EC8-87F0-7B7CE4AB4E6F}"/>
                </c:ext>
              </c:extLst>
            </c:dLbl>
            <c:dLbl>
              <c:idx val="6"/>
              <c:layout>
                <c:manualLayout>
                  <c:x val="6.3120442315256903E-2"/>
                  <c:y val="3.0627871362940277E-3"/>
                </c:manualLayout>
              </c:layout>
              <c:tx>
                <c:rich>
                  <a:bodyPr/>
                  <a:lstStyle/>
                  <a:p>
                    <a:fld id="{2C18E7C5-F17A-4588-81C0-545104686C46}"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72BA-4EC8-87F0-7B7CE4AB4E6F}"/>
                </c:ext>
              </c:extLst>
            </c:dLbl>
            <c:dLbl>
              <c:idx val="7"/>
              <c:delete val="1"/>
              <c:extLst>
                <c:ext xmlns:c15="http://schemas.microsoft.com/office/drawing/2012/chart" uri="{CE6537A1-D6FC-4f65-9D91-7224C49458BB}"/>
                <c:ext xmlns:c16="http://schemas.microsoft.com/office/drawing/2014/chart" uri="{C3380CC4-5D6E-409C-BE32-E72D297353CC}">
                  <c16:uniqueId val="{00000037-6C6E-43A2-82BD-8F77A3D5343B}"/>
                </c:ext>
              </c:extLst>
            </c:dLbl>
            <c:dLbl>
              <c:idx val="8"/>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72BA-4EC8-87F0-7B7CE4AB4E6F}"/>
                </c:ext>
              </c:extLst>
            </c:dLbl>
            <c:dLbl>
              <c:idx val="9"/>
              <c:layout>
                <c:manualLayout>
                  <c:x val="6.180543310035571E-2"/>
                  <c:y val="0"/>
                </c:manualLayout>
              </c:layout>
              <c:tx>
                <c:rich>
                  <a:bodyPr/>
                  <a:lstStyle/>
                  <a:p>
                    <a:fld id="{505E2235-A34B-41F7-AD99-CF5B12A620D8}"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72BA-4EC8-87F0-7B7CE4AB4E6F}"/>
                </c:ext>
              </c:extLst>
            </c:dLbl>
            <c:dLbl>
              <c:idx val="10"/>
              <c:delete val="1"/>
              <c:extLst>
                <c:ext xmlns:c15="http://schemas.microsoft.com/office/drawing/2012/chart" uri="{CE6537A1-D6FC-4f65-9D91-7224C49458BB}"/>
                <c:ext xmlns:c16="http://schemas.microsoft.com/office/drawing/2014/chart" uri="{C3380CC4-5D6E-409C-BE32-E72D297353CC}">
                  <c16:uniqueId val="{00000038-6C6E-43A2-82BD-8F77A3D5343B}"/>
                </c:ext>
              </c:extLst>
            </c:dLbl>
            <c:dLbl>
              <c:idx val="11"/>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72BA-4EC8-87F0-7B7CE4AB4E6F}"/>
                </c:ext>
              </c:extLst>
            </c:dLbl>
            <c:dLbl>
              <c:idx val="12"/>
              <c:layout>
                <c:manualLayout>
                  <c:x val="6.1805433100355807E-2"/>
                  <c:y val="3.0627871362940277E-3"/>
                </c:manualLayout>
              </c:layout>
              <c:tx>
                <c:rich>
                  <a:bodyPr/>
                  <a:lstStyle/>
                  <a:p>
                    <a:fld id="{0F84C903-0302-404B-86E9-8B28CFBD4601}"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72BA-4EC8-87F0-7B7CE4AB4E6F}"/>
                </c:ext>
              </c:extLst>
            </c:dLbl>
            <c:dLbl>
              <c:idx val="13"/>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72BA-4EC8-87F0-7B7CE4AB4E6F}"/>
                </c:ext>
              </c:extLst>
            </c:dLbl>
            <c:spPr>
              <a:solidFill>
                <a:schemeClr val="bg1"/>
              </a:solidFill>
              <a:ln w="15875">
                <a:solidFill>
                  <a:srgbClr val="5F9E88"/>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'Summary Chart'!$C$2:$P$3</c:f>
              <c:multiLvlStrCache>
                <c:ptCount val="14"/>
                <c:lvl>
                  <c:pt idx="0">
                    <c:v>DMO 6   (2024–25)</c:v>
                  </c:pt>
                  <c:pt idx="1">
                    <c:v>DMO 7   (2025–26)</c:v>
                  </c:pt>
                  <c:pt idx="3">
                    <c:v>DMO 6   (2024–25)</c:v>
                  </c:pt>
                  <c:pt idx="4">
                    <c:v>DMO 7   (2025–26)</c:v>
                  </c:pt>
                  <c:pt idx="6">
                    <c:v>DMO 6   (2024–25)</c:v>
                  </c:pt>
                  <c:pt idx="7">
                    <c:v>DMO 7   (2025–26)</c:v>
                  </c:pt>
                  <c:pt idx="9">
                    <c:v>DMO 6   (2024–25)</c:v>
                  </c:pt>
                  <c:pt idx="10">
                    <c:v>DMO 7   (2025–26)</c:v>
                  </c:pt>
                  <c:pt idx="12">
                    <c:v>DMO 6   (2024–25)</c:v>
                  </c:pt>
                  <c:pt idx="13">
                    <c:v>DMO 7   (2025–26)</c:v>
                  </c:pt>
                </c:lvl>
                <c:lvl>
                  <c:pt idx="0">
                    <c:v>Ausgrid</c:v>
                  </c:pt>
                  <c:pt idx="2">
                    <c:v> </c:v>
                  </c:pt>
                  <c:pt idx="3">
                    <c:v>Endeavour Energy</c:v>
                  </c:pt>
                  <c:pt idx="5">
                    <c:v> </c:v>
                  </c:pt>
                  <c:pt idx="6">
                    <c:v>Essential Energy</c:v>
                  </c:pt>
                  <c:pt idx="8">
                    <c:v> </c:v>
                  </c:pt>
                  <c:pt idx="9">
                    <c:v>Energex</c:v>
                  </c:pt>
                  <c:pt idx="11">
                    <c:v> </c:v>
                  </c:pt>
                  <c:pt idx="12">
                    <c:v>SA Power Networks</c:v>
                  </c:pt>
                </c:lvl>
              </c:multiLvlStrCache>
            </c:multiLvlStrRef>
          </c:cat>
          <c:val>
            <c:numRef>
              <c:f>'Summary Chart'!$C$9:$P$9</c:f>
              <c:numCache>
                <c:formatCode>#,##0</c:formatCode>
                <c:ptCount val="14"/>
                <c:pt idx="0">
                  <c:v>108.60774018591405</c:v>
                </c:pt>
                <c:pt idx="1">
                  <c:v>117.87712650472736</c:v>
                </c:pt>
                <c:pt idx="3">
                  <c:v>133.39757734165369</c:v>
                </c:pt>
                <c:pt idx="4">
                  <c:v>144.68178349353047</c:v>
                </c:pt>
                <c:pt idx="6">
                  <c:v>150.75223736654243</c:v>
                </c:pt>
                <c:pt idx="7">
                  <c:v>164.44883322285477</c:v>
                </c:pt>
                <c:pt idx="9">
                  <c:v>123.93613381305795</c:v>
                </c:pt>
                <c:pt idx="10">
                  <c:v>128.5509590018487</c:v>
                </c:pt>
                <c:pt idx="12">
                  <c:v>133.8017573788452</c:v>
                </c:pt>
                <c:pt idx="13">
                  <c:v>138.0326454531837</c:v>
                </c:pt>
              </c:numCache>
            </c:numRef>
          </c:val>
          <c:smooth val="0"/>
          <c:extLst>
            <c:ext xmlns:c15="http://schemas.microsoft.com/office/drawing/2012/chart" uri="{02D57815-91ED-43cb-92C2-25804820EDAC}">
              <c15:datalabelsRange>
                <c15:f>'Summary Chart'!$D$13:$P$13</c15:f>
                <c15:dlblRangeCache>
                  <c:ptCount val="13"/>
                  <c:pt idx="0">
                    <c:v>▼$16</c:v>
                  </c:pt>
                  <c:pt idx="3">
                    <c:v>▼$19</c:v>
                  </c:pt>
                  <c:pt idx="6">
                    <c:v>▼$18</c:v>
                  </c:pt>
                  <c:pt idx="9">
                    <c:v>▼$23</c:v>
                  </c:pt>
                  <c:pt idx="12">
                    <c:v>▼$25</c:v>
                  </c:pt>
                </c15:dlblRangeCache>
              </c15:datalabelsRange>
            </c:ext>
            <c:ext xmlns:c16="http://schemas.microsoft.com/office/drawing/2014/chart" uri="{C3380CC4-5D6E-409C-BE32-E72D297353CC}">
              <c16:uniqueId val="{00000039-6C6E-43A2-82BD-8F77A3D5343B}"/>
            </c:ext>
          </c:extLst>
        </c:ser>
        <c:dLbls>
          <c:showLegendKey val="0"/>
          <c:showVal val="0"/>
          <c:showCatName val="0"/>
          <c:showSerName val="0"/>
          <c:showPercent val="0"/>
          <c:showBubbleSize val="0"/>
        </c:dLbls>
        <c:marker val="1"/>
        <c:smooth val="0"/>
        <c:axId val="1207454248"/>
        <c:axId val="868328856"/>
      </c:lineChart>
      <c:catAx>
        <c:axId val="1207454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8328856"/>
        <c:crosses val="autoZero"/>
        <c:auto val="1"/>
        <c:lblAlgn val="ctr"/>
        <c:lblOffset val="100"/>
        <c:noMultiLvlLbl val="0"/>
      </c:catAx>
      <c:valAx>
        <c:axId val="868328856"/>
        <c:scaling>
          <c:orientation val="minMax"/>
          <c:max val="32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 nominal</a:t>
                </a:r>
              </a:p>
            </c:rich>
          </c:tx>
          <c:layout>
            <c:manualLayout>
              <c:xMode val="edge"/>
              <c:yMode val="edge"/>
              <c:x val="8.1651134477331768E-3"/>
              <c:y val="0.359941959200441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07454248"/>
        <c:crosses val="autoZero"/>
        <c:crossBetween val="between"/>
      </c:valAx>
      <c:spPr>
        <a:solidFill>
          <a:srgbClr val="F3F3F3"/>
        </a:solidFill>
        <a:ln>
          <a:noFill/>
        </a:ln>
        <a:effectLst/>
      </c:spPr>
    </c:plotArea>
    <c:legend>
      <c:legendPos val="b"/>
      <c:layout>
        <c:manualLayout>
          <c:xMode val="edge"/>
          <c:yMode val="edge"/>
          <c:x val="4.6607340579879988E-2"/>
          <c:y val="0.90952664773589997"/>
          <c:w val="0.93578460255710083"/>
          <c:h val="8.76930718791584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CL'!$A$52</c:f>
          <c:strCache>
            <c:ptCount val="1"/>
            <c:pt idx="0">
              <c:v>Endeavour Residential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'Res wo CL'!$C$52</c:f>
              <c:strCache>
                <c:ptCount val="1"/>
                <c:pt idx="0">
                  <c:v>Base</c:v>
                </c:pt>
              </c:strCache>
            </c:strRef>
          </c:tx>
          <c:spPr>
            <a:noFill/>
            <a:ln>
              <a:noFill/>
            </a:ln>
            <a:effectLst/>
          </c:spPr>
          <c:invertIfNegative val="0"/>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CL'!$D$52:$J$52</c:f>
              <c:numCache>
                <c:formatCode>#,##0</c:formatCode>
                <c:ptCount val="7"/>
                <c:pt idx="0">
                  <c:v>0</c:v>
                </c:pt>
                <c:pt idx="1">
                  <c:v>2223.2929556942249</c:v>
                </c:pt>
                <c:pt idx="2">
                  <c:v>2294.986027694225</c:v>
                </c:pt>
                <c:pt idx="3">
                  <c:v>2324.7169646795246</c:v>
                </c:pt>
                <c:pt idx="4">
                  <c:v>2324.7169646795246</c:v>
                </c:pt>
                <c:pt idx="5">
                  <c:v>2400.0788520736278</c:v>
                </c:pt>
                <c:pt idx="6">
                  <c:v>0</c:v>
                </c:pt>
              </c:numCache>
            </c:numRef>
          </c:val>
          <c:extLst>
            <c:ext xmlns:c16="http://schemas.microsoft.com/office/drawing/2014/chart" uri="{C3380CC4-5D6E-409C-BE32-E72D297353CC}">
              <c16:uniqueId val="{00000000-10F9-4E69-A6C0-4875FB7503E8}"/>
            </c:ext>
          </c:extLst>
        </c:ser>
        <c:ser>
          <c:idx val="1"/>
          <c:order val="1"/>
          <c:tx>
            <c:strRef>
              <c:f>'Res wo CL'!$C$53</c:f>
              <c:strCache>
                <c:ptCount val="1"/>
                <c:pt idx="0">
                  <c:v>Network cost</c:v>
                </c:pt>
              </c:strCache>
            </c:strRef>
          </c:tx>
          <c:spPr>
            <a:solidFill>
              <a:srgbClr val="89B3CE"/>
            </a:solidFill>
            <a:ln>
              <a:noFill/>
            </a:ln>
            <a:effectLst/>
          </c:spPr>
          <c:invertIfNegative val="0"/>
          <c:dLbls>
            <c:dLbl>
              <c:idx val="1"/>
              <c:layout>
                <c:manualLayout>
                  <c:x val="-1.8266852445913396E-3"/>
                  <c:y val="-4.4532637754646012E-2"/>
                </c:manualLayout>
              </c:layout>
              <c:tx>
                <c:strRef>
                  <c:f>'Res wo CL'!$K$53</c:f>
                  <c:strCache>
                    <c:ptCount val="1"/>
                    <c:pt idx="0">
                      <c:v>+71.7</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{21E2A62D-0237-4B1F-82E0-87382E3464BD}</c15:txfldGUID>
                      <c15:f>'Res wo CL'!$K$53</c15:f>
                      <c15:dlblFieldTableCache>
                        <c:ptCount val="1"/>
                        <c:pt idx="0">
                          <c:v>+71.7</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CL'!$D$53:$J$53</c:f>
              <c:numCache>
                <c:formatCode>#,##0.0</c:formatCode>
                <c:ptCount val="7"/>
                <c:pt idx="0" formatCode="#,##0">
                  <c:v>764.81430299999988</c:v>
                </c:pt>
                <c:pt idx="1">
                  <c:v>71.693072000000029</c:v>
                </c:pt>
                <c:pt idx="6" formatCode="#,##0">
                  <c:v>836.50737499999991</c:v>
                </c:pt>
              </c:numCache>
            </c:numRef>
          </c:val>
          <c:extLst>
            <c:ext xmlns:c16="http://schemas.microsoft.com/office/drawing/2014/chart" uri="{C3380CC4-5D6E-409C-BE32-E72D297353CC}">
              <c16:uniqueId val="{00000001-10F9-4E69-A6C0-4875FB7503E8}"/>
            </c:ext>
          </c:extLst>
        </c:ser>
        <c:ser>
          <c:idx val="2"/>
          <c:order val="2"/>
          <c:tx>
            <c:strRef>
              <c:f>'Res wo CL'!$C$54</c:f>
              <c:strCache>
                <c:ptCount val="1"/>
                <c:pt idx="0">
                  <c:v>Wholesale cost</c:v>
                </c:pt>
              </c:strCache>
            </c:strRef>
          </c:tx>
          <c:spPr>
            <a:solidFill>
              <a:srgbClr val="E06026"/>
            </a:solidFill>
            <a:ln>
              <a:noFill/>
            </a:ln>
            <a:effectLst/>
          </c:spPr>
          <c:invertIfNegative val="0"/>
          <c:dLbls>
            <c:dLbl>
              <c:idx val="2"/>
              <c:layout>
                <c:manualLayout>
                  <c:x val="-1.8266511521067392E-3"/>
                  <c:y val="-3.7208275436158712E-2"/>
                </c:manualLayout>
              </c:layout>
              <c:tx>
                <c:strRef>
                  <c:f>'Res wo CL'!$K$54</c:f>
                  <c:strCache>
                    <c:ptCount val="1"/>
                    <c:pt idx="0">
                      <c:v>+49.1</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{AF667CD1-B607-4554-BBBD-6D9D48932BE6}</c15:txfldGUID>
                      <c15:f>'Res wo CL'!$K$54</c15:f>
                      <c15:dlblFieldTableCache>
                        <c:ptCount val="1"/>
                        <c:pt idx="0">
                          <c:v>+49.1</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CL'!$D$54:$J$54</c:f>
              <c:numCache>
                <c:formatCode>#,##0.0</c:formatCode>
                <c:ptCount val="7"/>
                <c:pt idx="0" formatCode="#,##0">
                  <c:v>949.36140152857149</c:v>
                </c:pt>
                <c:pt idx="2">
                  <c:v>49.099511972835217</c:v>
                </c:pt>
                <c:pt idx="6" formatCode="#,##0">
                  <c:v>998.46091350140671</c:v>
                </c:pt>
              </c:numCache>
            </c:numRef>
          </c:val>
          <c:extLst>
            <c:ext xmlns:c16="http://schemas.microsoft.com/office/drawing/2014/chart" uri="{C3380CC4-5D6E-409C-BE32-E72D297353CC}">
              <c16:uniqueId val="{00000002-10F9-4E69-A6C0-4875FB7503E8}"/>
            </c:ext>
          </c:extLst>
        </c:ser>
        <c:ser>
          <c:idx val="3"/>
          <c:order val="3"/>
          <c:tx>
            <c:strRef>
              <c:f>'Res wo CL'!$C$55</c:f>
              <c:strCache>
                <c:ptCount val="1"/>
                <c:pt idx="0">
                  <c:v>Environmental cost</c:v>
                </c:pt>
              </c:strCache>
            </c:strRef>
          </c:tx>
          <c:spPr>
            <a:solidFill>
              <a:srgbClr val="5F9E88"/>
            </a:solidFill>
            <a:ln>
              <a:noFill/>
            </a:ln>
            <a:effectLst/>
          </c:spPr>
          <c:invertIfNegative val="0"/>
          <c:dLbls>
            <c:dLbl>
              <c:idx val="3"/>
              <c:layout>
                <c:manualLayout>
                  <c:x val="-1.8289517089052393E-3"/>
                  <c:y val="4.3080608838702461E-2"/>
                </c:manualLayout>
              </c:layout>
              <c:tx>
                <c:strRef>
                  <c:f>'Res wo CL'!$K$55</c:f>
                  <c:strCache>
                    <c:ptCount val="1"/>
                    <c:pt idx="0">
                      <c:v>-19.4</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{757AD988-A571-4195-B9CD-48FB2A2ED57E}</c15:txfldGUID>
                      <c15:f>'Res wo CL'!$K$55</c15:f>
                      <c15:dlblFieldTableCache>
                        <c:ptCount val="1"/>
                        <c:pt idx="0">
                          <c:v>-19.4</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CL'!$D$55:$J$55</c:f>
              <c:numCache>
                <c:formatCode>#,##0.0</c:formatCode>
                <c:ptCount val="7"/>
                <c:pt idx="0" formatCode="#,##0">
                  <c:v>106.77590000000001</c:v>
                </c:pt>
                <c:pt idx="3">
                  <c:v>19.368574987535908</c:v>
                </c:pt>
                <c:pt idx="6" formatCode="#,##0">
                  <c:v>87.407325012464099</c:v>
                </c:pt>
              </c:numCache>
            </c:numRef>
          </c:val>
          <c:extLst>
            <c:ext xmlns:c16="http://schemas.microsoft.com/office/drawing/2014/chart" uri="{C3380CC4-5D6E-409C-BE32-E72D297353CC}">
              <c16:uniqueId val="{00000003-10F9-4E69-A6C0-4875FB7503E8}"/>
            </c:ext>
          </c:extLst>
        </c:ser>
        <c:ser>
          <c:idx val="4"/>
          <c:order val="4"/>
          <c:tx>
            <c:strRef>
              <c:f>'Res wo CL'!$C$56</c:f>
              <c:strCache>
                <c:ptCount val="1"/>
                <c:pt idx="0">
                  <c:v>Retail cost</c:v>
                </c:pt>
              </c:strCache>
            </c:strRef>
          </c:tx>
          <c:spPr>
            <a:solidFill>
              <a:srgbClr val="F0B9B3"/>
            </a:solidFill>
            <a:ln>
              <a:noFill/>
            </a:ln>
            <a:effectLst/>
          </c:spPr>
          <c:invertIfNegative val="0"/>
          <c:dLbls>
            <c:dLbl>
              <c:idx val="4"/>
              <c:layout>
                <c:manualLayout>
                  <c:x val="3.6430275872582933E-3"/>
                  <c:y val="-4.5963114087005735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a:t>
                    </a:r>
                    <a:fld id="{CEBA2E1D-A966-40DB-9875-26D879015424}" type="VALUE">
                      <a:rPr lang="en-US">
                        <a:latin typeface="Arial" panose="020B0604020202020204" pitchFamily="34" charset="0"/>
                        <a:cs typeface="Arial" panose="020B0604020202020204" pitchFamily="34" charset="0"/>
                      </a:rPr>
                      <a:pPr>
                        <a:defRPr>
                          <a:latin typeface="Arial" panose="020B0604020202020204" pitchFamily="34" charset="0"/>
                          <a:cs typeface="Arial" panose="020B0604020202020204" pitchFamily="34" charset="0"/>
                        </a:defRPr>
                      </a:pPr>
                      <a:t>[VALUE]</a:t>
                    </a:fld>
                    <a:endParaRPr lang="en-US">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7318388480128511E-2"/>
                      <c:h val="6.1025059494338056E-2"/>
                    </c:manualLayout>
                  </c15:layout>
                  <c15:dlblFieldTable/>
                  <c15:showDataLabelsRange val="0"/>
                </c:ext>
                <c:ext xmlns:c16="http://schemas.microsoft.com/office/drawing/2014/chart" uri="{C3380CC4-5D6E-409C-BE32-E72D297353CC}">
                  <c16:uniqueId val="{00000000-A32B-4DB7-A477-F0B98BBF22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CL'!$D$56:$J$56</c:f>
              <c:numCache>
                <c:formatCode>#,##0.0</c:formatCode>
                <c:ptCount val="7"/>
                <c:pt idx="0" formatCode="#,##0">
                  <c:v>268.94377382400006</c:v>
                </c:pt>
                <c:pt idx="4">
                  <c:v>75.361887394102951</c:v>
                </c:pt>
                <c:pt idx="6" formatCode="#,##0">
                  <c:v>344.30566121810301</c:v>
                </c:pt>
              </c:numCache>
            </c:numRef>
          </c:val>
          <c:extLst>
            <c:ext xmlns:c16="http://schemas.microsoft.com/office/drawing/2014/chart" uri="{C3380CC4-5D6E-409C-BE32-E72D297353CC}">
              <c16:uniqueId val="{00000004-10F9-4E69-A6C0-4875FB7503E8}"/>
            </c:ext>
          </c:extLst>
        </c:ser>
        <c:ser>
          <c:idx val="5"/>
          <c:order val="5"/>
          <c:tx>
            <c:strRef>
              <c:f>'Res wo CL'!$C$57</c:f>
              <c:strCache>
                <c:ptCount val="1"/>
                <c:pt idx="0">
                  <c:v>Retail margin</c:v>
                </c:pt>
              </c:strCache>
            </c:strRef>
          </c:tx>
          <c:spPr>
            <a:solidFill>
              <a:srgbClr val="303F51"/>
            </a:solidFill>
            <a:ln>
              <a:noFill/>
            </a:ln>
            <a:effectLst/>
          </c:spPr>
          <c:invertIfNegative val="0"/>
          <c:dLbls>
            <c:dLbl>
              <c:idx val="5"/>
              <c:layout>
                <c:manualLayout>
                  <c:x val="9.134718815885719E-4"/>
                  <c:y val="-3.5299228570059592E-2"/>
                </c:manualLayout>
              </c:layout>
              <c:tx>
                <c:rich>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a:t>
                    </a:r>
                    <a:fld id="{A75910C5-8076-437B-B97C-6D4E3D804087}" type="VALUE">
                      <a:rPr lang="en-US">
                        <a:solidFill>
                          <a:sysClr val="windowText" lastClr="000000"/>
                        </a:solidFill>
                        <a:latin typeface="Arial" panose="020B0604020202020204" pitchFamily="34" charset="0"/>
                        <a:cs typeface="Arial" panose="020B0604020202020204" pitchFamily="34" charset="0"/>
                      </a:rPr>
                      <a:pPr>
                        <a:defRPr>
                          <a:solidFill>
                            <a:sysClr val="windowText" lastClr="000000"/>
                          </a:solidFill>
                          <a:latin typeface="Arial" panose="020B0604020202020204" pitchFamily="34" charset="0"/>
                          <a:cs typeface="Arial" panose="020B0604020202020204" pitchFamily="34" charset="0"/>
                        </a:defRPr>
                      </a:pPr>
                      <a:t>[VALUE]</a:t>
                    </a:fld>
                    <a:endParaRPr lang="en-US">
                      <a:solidFill>
                        <a:sysClr val="windowText" lastClr="000000"/>
                      </a:solidFill>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3842098662014929E-2"/>
                      <c:h val="5.6952640901750673E-2"/>
                    </c:manualLayout>
                  </c15:layout>
                  <c15:dlblFieldTable/>
                  <c15:showDataLabelsRange val="0"/>
                </c:ext>
                <c:ext xmlns:c16="http://schemas.microsoft.com/office/drawing/2014/chart" uri="{C3380CC4-5D6E-409C-BE32-E72D297353CC}">
                  <c16:uniqueId val="{00000001-A32B-4DB7-A477-F0B98BBF22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'Res wo CL'!$D$57:$J$57</c:f>
              <c:numCache>
                <c:formatCode>#,##0.0</c:formatCode>
                <c:ptCount val="7"/>
                <c:pt idx="0" formatCode="#,##0">
                  <c:v>133.39757734165369</c:v>
                </c:pt>
                <c:pt idx="5">
                  <c:v>11.284206151876788</c:v>
                </c:pt>
                <c:pt idx="6" formatCode="#,##0">
                  <c:v>144.68178349353047</c:v>
                </c:pt>
              </c:numCache>
            </c:numRef>
          </c:val>
          <c:extLst>
            <c:ext xmlns:c16="http://schemas.microsoft.com/office/drawing/2014/chart" uri="{C3380CC4-5D6E-409C-BE32-E72D297353CC}">
              <c16:uniqueId val="{00000003-49B2-45E7-829C-440C2C7D1AEF}"/>
            </c:ext>
          </c:extLst>
        </c:ser>
        <c:ser>
          <c:idx val="6"/>
          <c:order val="6"/>
          <c:tx>
            <c:strRef>
              <c:f>'Res wo CL'!$C$58</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CL'!$D$58:$J$58</c:f>
              <c:numCache>
                <c:formatCode>#,##0</c:formatCode>
                <c:ptCount val="7"/>
                <c:pt idx="0">
                  <c:v>2223</c:v>
                </c:pt>
                <c:pt idx="6">
                  <c:v>2411</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8048"/>
        <c:crosses val="autoZero"/>
        <c:auto val="1"/>
        <c:lblAlgn val="ctr"/>
        <c:lblOffset val="100"/>
        <c:noMultiLvlLbl val="0"/>
      </c:catAx>
      <c:valAx>
        <c:axId val="616098048"/>
        <c:scaling>
          <c:orientation val="minMax"/>
          <c:max val="27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solidFill>
          <a:srgbClr val="F2F2F2"/>
        </a:solidFill>
        <a:ln>
          <a:noFill/>
        </a:ln>
        <a:effectLst/>
      </c:spPr>
    </c:plotArea>
    <c:legend>
      <c:legendPos val="r"/>
      <c:legendEntry>
        <c:idx val="0"/>
        <c:delete val="1"/>
      </c:legendEntry>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CL'!$A$59</c:f>
          <c:strCache>
            <c:ptCount val="1"/>
            <c:pt idx="0">
              <c:v>Essential Residential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1463414634146343E-2"/>
          <c:y val="0.14156862745098039"/>
          <c:w val="0.7959503744958708"/>
          <c:h val="0.748705882352941"/>
        </c:manualLayout>
      </c:layout>
      <c:barChart>
        <c:barDir val="col"/>
        <c:grouping val="stacked"/>
        <c:varyColors val="0"/>
        <c:ser>
          <c:idx val="0"/>
          <c:order val="0"/>
          <c:tx>
            <c:strRef>
              <c:f>'Res wo CL'!$C$59</c:f>
              <c:strCache>
                <c:ptCount val="1"/>
                <c:pt idx="0">
                  <c:v>Base</c:v>
                </c:pt>
              </c:strCache>
            </c:strRef>
          </c:tx>
          <c:spPr>
            <a:noFill/>
            <a:ln>
              <a:noFill/>
            </a:ln>
            <a:effectLst/>
          </c:spPr>
          <c:invertIfNegative val="0"/>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CL'!$D$59:$J$59</c:f>
              <c:numCache>
                <c:formatCode>#,##0</c:formatCode>
                <c:ptCount val="7"/>
                <c:pt idx="0">
                  <c:v>0</c:v>
                </c:pt>
                <c:pt idx="1">
                  <c:v>2512.537289442369</c:v>
                </c:pt>
                <c:pt idx="2">
                  <c:v>2606.4291985552045</c:v>
                </c:pt>
                <c:pt idx="3">
                  <c:v>2653.3836332041637</c:v>
                </c:pt>
                <c:pt idx="4">
                  <c:v>2653.3836332041637</c:v>
                </c:pt>
                <c:pt idx="5">
                  <c:v>2727.1172911912668</c:v>
                </c:pt>
                <c:pt idx="6">
                  <c:v>0</c:v>
                </c:pt>
              </c:numCache>
            </c:numRef>
          </c:val>
          <c:extLst>
            <c:ext xmlns:c16="http://schemas.microsoft.com/office/drawing/2014/chart" uri="{C3380CC4-5D6E-409C-BE32-E72D297353CC}">
              <c16:uniqueId val="{00000000-10F9-4E69-A6C0-4875FB7503E8}"/>
            </c:ext>
          </c:extLst>
        </c:ser>
        <c:ser>
          <c:idx val="1"/>
          <c:order val="1"/>
          <c:tx>
            <c:strRef>
              <c:f>'Res wo CL'!$C$60</c:f>
              <c:strCache>
                <c:ptCount val="1"/>
                <c:pt idx="0">
                  <c:v>Network cost</c:v>
                </c:pt>
              </c:strCache>
            </c:strRef>
          </c:tx>
          <c:spPr>
            <a:solidFill>
              <a:srgbClr val="89B3CE"/>
            </a:solidFill>
            <a:ln>
              <a:noFill/>
            </a:ln>
            <a:effectLst/>
          </c:spPr>
          <c:invertIfNegative val="0"/>
          <c:dLbls>
            <c:dLbl>
              <c:idx val="1"/>
              <c:layout>
                <c:manualLayout>
                  <c:x val="-1.927401025680891E-3"/>
                  <c:y val="-3.6614381784389957E-2"/>
                </c:manualLayout>
              </c:layout>
              <c:tx>
                <c:strRef>
                  <c:f>'Res wo CL'!$K$60</c:f>
                  <c:strCache>
                    <c:ptCount val="1"/>
                    <c:pt idx="0">
                      <c:v>+93.9</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{3C8C8F91-2673-40C0-9D7A-8650134129C8}</c15:txfldGUID>
                      <c15:f>'Res wo CL'!$K$60</c15:f>
                      <c15:dlblFieldTableCache>
                        <c:ptCount val="1"/>
                        <c:pt idx="0">
                          <c:v>+93.9</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CL'!$D$60:$J$60</c:f>
              <c:numCache>
                <c:formatCode>#,##0.0</c:formatCode>
                <c:ptCount val="7"/>
                <c:pt idx="0" formatCode="#,##0">
                  <c:v>1155.0889558312551</c:v>
                </c:pt>
                <c:pt idx="1">
                  <c:v>93.891909112835265</c:v>
                </c:pt>
                <c:pt idx="6" formatCode="#,##0">
                  <c:v>1248.9808649440904</c:v>
                </c:pt>
              </c:numCache>
            </c:numRef>
          </c:val>
          <c:extLst>
            <c:ext xmlns:c16="http://schemas.microsoft.com/office/drawing/2014/chart" uri="{C3380CC4-5D6E-409C-BE32-E72D297353CC}">
              <c16:uniqueId val="{00000001-10F9-4E69-A6C0-4875FB7503E8}"/>
            </c:ext>
          </c:extLst>
        </c:ser>
        <c:ser>
          <c:idx val="2"/>
          <c:order val="2"/>
          <c:tx>
            <c:strRef>
              <c:f>'Res wo CL'!$C$61</c:f>
              <c:strCache>
                <c:ptCount val="1"/>
                <c:pt idx="0">
                  <c:v>Wholesale cost</c:v>
                </c:pt>
              </c:strCache>
            </c:strRef>
          </c:tx>
          <c:spPr>
            <a:solidFill>
              <a:srgbClr val="E06026"/>
            </a:solidFill>
            <a:ln>
              <a:noFill/>
            </a:ln>
            <a:effectLst/>
          </c:spPr>
          <c:invertIfNegative val="0"/>
          <c:dLbls>
            <c:dLbl>
              <c:idx val="2"/>
              <c:layout>
                <c:manualLayout>
                  <c:x val="-3.6813497083431306E-17"/>
                  <c:y val="-4.0841438937779875E-2"/>
                </c:manualLayout>
              </c:layout>
              <c:tx>
                <c:strRef>
                  <c:f>'Res wo CL'!$K$61</c:f>
                  <c:strCache>
                    <c:ptCount val="1"/>
                    <c:pt idx="0">
                      <c:v>+64.6</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{0A5A6B90-1D05-4ABB-881B-CE68BBC4C7B3}</c15:txfldGUID>
                      <c15:f>'Res wo CL'!$K$61</c15:f>
                      <c15:dlblFieldTableCache>
                        <c:ptCount val="1"/>
                        <c:pt idx="0">
                          <c:v>+64.6</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CL'!$D$61:$J$61</c:f>
              <c:numCache>
                <c:formatCode>#,##0.0</c:formatCode>
                <c:ptCount val="7"/>
                <c:pt idx="0" formatCode="#,##0">
                  <c:v>838.80785182857142</c:v>
                </c:pt>
                <c:pt idx="2">
                  <c:v>64.644428081365618</c:v>
                </c:pt>
                <c:pt idx="6" formatCode="#,##0">
                  <c:v>903.45227990993703</c:v>
                </c:pt>
              </c:numCache>
            </c:numRef>
          </c:val>
          <c:extLst>
            <c:ext xmlns:c16="http://schemas.microsoft.com/office/drawing/2014/chart" uri="{C3380CC4-5D6E-409C-BE32-E72D297353CC}">
              <c16:uniqueId val="{00000002-10F9-4E69-A6C0-4875FB7503E8}"/>
            </c:ext>
          </c:extLst>
        </c:ser>
        <c:ser>
          <c:idx val="3"/>
          <c:order val="3"/>
          <c:tx>
            <c:strRef>
              <c:f>'Res wo CL'!$C$62</c:f>
              <c:strCache>
                <c:ptCount val="1"/>
                <c:pt idx="0">
                  <c:v>Environmental cost</c:v>
                </c:pt>
              </c:strCache>
            </c:strRef>
          </c:tx>
          <c:spPr>
            <a:solidFill>
              <a:srgbClr val="5F9E88"/>
            </a:solidFill>
            <a:ln>
              <a:noFill/>
            </a:ln>
            <a:effectLst/>
          </c:spPr>
          <c:invertIfNegative val="0"/>
          <c:dLbls>
            <c:dLbl>
              <c:idx val="3"/>
              <c:layout>
                <c:manualLayout>
                  <c:x val="0"/>
                  <c:y val="3.5358962482630846E-2"/>
                </c:manualLayout>
              </c:layout>
              <c:tx>
                <c:strRef>
                  <c:f>'Res wo CL'!$K$62</c:f>
                  <c:strCache>
                    <c:ptCount val="1"/>
                    <c:pt idx="0">
                      <c:v>-17.7</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{2316D88D-7C93-4BCB-A1F4-2BC73C8D2944}</c15:txfldGUID>
                      <c15:f>'Res wo CL'!$K$62</c15:f>
                      <c15:dlblFieldTableCache>
                        <c:ptCount val="1"/>
                        <c:pt idx="0">
                          <c:v>-17.7</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CL'!$D$62:$J$62</c:f>
              <c:numCache>
                <c:formatCode>#,##0.0</c:formatCode>
                <c:ptCount val="7"/>
                <c:pt idx="0" formatCode="#,##0">
                  <c:v>97.860399999999998</c:v>
                </c:pt>
                <c:pt idx="3">
                  <c:v>17.68999343240651</c:v>
                </c:pt>
                <c:pt idx="6" formatCode="#,##0">
                  <c:v>80.170406567593488</c:v>
                </c:pt>
              </c:numCache>
            </c:numRef>
          </c:val>
          <c:extLst>
            <c:ext xmlns:c16="http://schemas.microsoft.com/office/drawing/2014/chart" uri="{C3380CC4-5D6E-409C-BE32-E72D297353CC}">
              <c16:uniqueId val="{00000003-10F9-4E69-A6C0-4875FB7503E8}"/>
            </c:ext>
          </c:extLst>
        </c:ser>
        <c:ser>
          <c:idx val="4"/>
          <c:order val="4"/>
          <c:tx>
            <c:strRef>
              <c:f>'Res wo CL'!$C$63</c:f>
              <c:strCache>
                <c:ptCount val="1"/>
                <c:pt idx="0">
                  <c:v>Retail cost</c:v>
                </c:pt>
              </c:strCache>
            </c:strRef>
          </c:tx>
          <c:spPr>
            <a:solidFill>
              <a:srgbClr val="F0B9B3"/>
            </a:solidFill>
            <a:ln>
              <a:noFill/>
            </a:ln>
            <a:effectLst/>
          </c:spPr>
          <c:invertIfNegative val="0"/>
          <c:dLbls>
            <c:dLbl>
              <c:idx val="4"/>
              <c:layout>
                <c:manualLayout>
                  <c:x val="9.6339113680147072E-4"/>
                  <c:y val="-3.5420881987274812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a:t>
                    </a:r>
                    <a:fld id="{F87EFB56-486D-4EFF-AB83-F523527E4586}" type="VALUE">
                      <a:rPr lang="en-US">
                        <a:latin typeface="Arial" panose="020B0604020202020204" pitchFamily="34" charset="0"/>
                        <a:cs typeface="Arial" panose="020B0604020202020204" pitchFamily="34" charset="0"/>
                      </a:rPr>
                      <a:pPr>
                        <a:defRPr>
                          <a:latin typeface="Arial" panose="020B0604020202020204" pitchFamily="34" charset="0"/>
                          <a:cs typeface="Arial" panose="020B0604020202020204" pitchFamily="34" charset="0"/>
                        </a:defRPr>
                      </a:pPr>
                      <a:t>[VALUE]</a:t>
                    </a:fld>
                    <a:endParaRPr lang="en-US">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6644516256277214E-2"/>
                      <c:h val="4.4568716836092086E-2"/>
                    </c:manualLayout>
                  </c15:layout>
                  <c15:dlblFieldTable/>
                  <c15:showDataLabelsRange val="0"/>
                </c:ext>
                <c:ext xmlns:c16="http://schemas.microsoft.com/office/drawing/2014/chart" uri="{C3380CC4-5D6E-409C-BE32-E72D297353CC}">
                  <c16:uniqueId val="{00000000-0846-45B5-8C71-CCC3DACF62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CL'!$D$63:$J$63</c:f>
              <c:numCache>
                <c:formatCode>#,##0.0</c:formatCode>
                <c:ptCount val="7"/>
                <c:pt idx="0" formatCode="#,##0">
                  <c:v>270.02784441600005</c:v>
                </c:pt>
                <c:pt idx="4">
                  <c:v>73.733657987102845</c:v>
                </c:pt>
                <c:pt idx="6" formatCode="#,##0">
                  <c:v>343.7615024031029</c:v>
                </c:pt>
              </c:numCache>
            </c:numRef>
          </c:val>
          <c:extLst>
            <c:ext xmlns:c16="http://schemas.microsoft.com/office/drawing/2014/chart" uri="{C3380CC4-5D6E-409C-BE32-E72D297353CC}">
              <c16:uniqueId val="{00000004-10F9-4E69-A6C0-4875FB7503E8}"/>
            </c:ext>
          </c:extLst>
        </c:ser>
        <c:ser>
          <c:idx val="5"/>
          <c:order val="5"/>
          <c:tx>
            <c:strRef>
              <c:f>'Res wo CL'!$C$64</c:f>
              <c:strCache>
                <c:ptCount val="1"/>
                <c:pt idx="0">
                  <c:v>Retail margin</c:v>
                </c:pt>
              </c:strCache>
            </c:strRef>
          </c:tx>
          <c:spPr>
            <a:solidFill>
              <a:srgbClr val="303F51"/>
            </a:solidFill>
            <a:ln>
              <a:noFill/>
            </a:ln>
            <a:effectLst/>
          </c:spPr>
          <c:invertIfNegative val="0"/>
          <c:dLbls>
            <c:dLbl>
              <c:idx val="5"/>
              <c:layout>
                <c:manualLayout>
                  <c:x val="5.6990955949782649E-3"/>
                  <c:y val="-4.3603520148216765E-2"/>
                </c:manualLayout>
              </c:layout>
              <c:tx>
                <c:rich>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a:t>
                    </a:r>
                    <a:fld id="{E60906D8-DCC9-474D-9A58-1F8D4E8F945B}" type="VALUE">
                      <a:rPr lang="en-US">
                        <a:solidFill>
                          <a:sysClr val="windowText" lastClr="000000"/>
                        </a:solidFill>
                        <a:latin typeface="Arial" panose="020B0604020202020204" pitchFamily="34" charset="0"/>
                        <a:cs typeface="Arial" panose="020B0604020202020204" pitchFamily="34" charset="0"/>
                      </a:rPr>
                      <a:pPr>
                        <a:defRPr>
                          <a:solidFill>
                            <a:sysClr val="windowText" lastClr="000000"/>
                          </a:solidFill>
                          <a:latin typeface="Arial" panose="020B0604020202020204" pitchFamily="34" charset="0"/>
                          <a:cs typeface="Arial" panose="020B0604020202020204" pitchFamily="34" charset="0"/>
                        </a:defRPr>
                      </a:pPr>
                      <a:t>[VALUE]</a:t>
                    </a:fld>
                    <a:endParaRPr lang="en-US">
                      <a:solidFill>
                        <a:sysClr val="windowText" lastClr="000000"/>
                      </a:solidFill>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5435264821865666E-2"/>
                      <c:h val="5.6952640901750673E-2"/>
                    </c:manualLayout>
                  </c15:layout>
                  <c15:dlblFieldTable/>
                  <c15:showDataLabelsRange val="0"/>
                </c:ext>
                <c:ext xmlns:c16="http://schemas.microsoft.com/office/drawing/2014/chart" uri="{C3380CC4-5D6E-409C-BE32-E72D297353CC}">
                  <c16:uniqueId val="{00000001-0846-45B5-8C71-CCC3DACF62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'Res wo CL'!$D$64:$J$64</c:f>
              <c:numCache>
                <c:formatCode>#,##0.0</c:formatCode>
                <c:ptCount val="7"/>
                <c:pt idx="0" formatCode="#,##0">
                  <c:v>150.75223736654243</c:v>
                </c:pt>
                <c:pt idx="5">
                  <c:v>13.696595856312342</c:v>
                </c:pt>
                <c:pt idx="6" formatCode="#,##0">
                  <c:v>164.44883322285477</c:v>
                </c:pt>
              </c:numCache>
            </c:numRef>
          </c:val>
          <c:extLst>
            <c:ext xmlns:c16="http://schemas.microsoft.com/office/drawing/2014/chart" uri="{C3380CC4-5D6E-409C-BE32-E72D297353CC}">
              <c16:uniqueId val="{00000003-E328-4A15-A2B8-8D4BEE4FD5C1}"/>
            </c:ext>
          </c:extLst>
        </c:ser>
        <c:ser>
          <c:idx val="6"/>
          <c:order val="6"/>
          <c:tx>
            <c:strRef>
              <c:f>'Res wo CL'!$C$65</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CL'!$D$65:$J$65</c:f>
              <c:numCache>
                <c:formatCode>#,##0</c:formatCode>
                <c:ptCount val="7"/>
                <c:pt idx="0">
                  <c:v>2513</c:v>
                </c:pt>
                <c:pt idx="6">
                  <c:v>2741</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8048"/>
        <c:crosses val="autoZero"/>
        <c:auto val="1"/>
        <c:lblAlgn val="ctr"/>
        <c:lblOffset val="100"/>
        <c:noMultiLvlLbl val="0"/>
      </c:catAx>
      <c:valAx>
        <c:axId val="616098048"/>
        <c:scaling>
          <c:orientation val="minMax"/>
          <c:max val="31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solidFill>
          <a:srgbClr val="F2F2F2"/>
        </a:solidFill>
        <a:ln>
          <a:noFill/>
        </a:ln>
        <a:effectLst/>
      </c:spPr>
    </c:plotArea>
    <c:legend>
      <c:legendPos val="r"/>
      <c:legendEntry>
        <c:idx val="0"/>
        <c:delete val="1"/>
      </c:legendEntry>
      <c:legendEntry>
        <c:idx val="6"/>
        <c:delete val="1"/>
      </c:legendEntry>
      <c:layout>
        <c:manualLayout>
          <c:xMode val="edge"/>
          <c:yMode val="edge"/>
          <c:x val="0.82521866717879777"/>
          <c:y val="0.39284761463640572"/>
          <c:w val="0.17478133282120223"/>
          <c:h val="0.371559363903041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CL'!$A$66</c:f>
          <c:strCache>
            <c:ptCount val="1"/>
            <c:pt idx="0">
              <c:v>Energex Residential without CL $</c:v>
            </c:pt>
          </c:strCache>
        </c:strRef>
      </c:tx>
      <c:layout>
        <c:manualLayout>
          <c:xMode val="edge"/>
          <c:yMode val="edge"/>
          <c:x val="0.32273894867619157"/>
          <c:y val="1.568627450980392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'Res wo CL'!$C$66</c:f>
              <c:strCache>
                <c:ptCount val="1"/>
                <c:pt idx="0">
                  <c:v>Base</c:v>
                </c:pt>
              </c:strCache>
            </c:strRef>
          </c:tx>
          <c:spPr>
            <a:noFill/>
            <a:ln>
              <a:noFill/>
            </a:ln>
            <a:effectLst/>
          </c:spPr>
          <c:invertIfNegative val="0"/>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CL'!$D$66:$J$66</c:f>
              <c:numCache>
                <c:formatCode>#,##0</c:formatCode>
                <c:ptCount val="7"/>
                <c:pt idx="0">
                  <c:v>0</c:v>
                </c:pt>
                <c:pt idx="1">
                  <c:v>2065.6022302176293</c:v>
                </c:pt>
                <c:pt idx="2">
                  <c:v>2075.4890735632403</c:v>
                </c:pt>
                <c:pt idx="3">
                  <c:v>2052.1524919029393</c:v>
                </c:pt>
                <c:pt idx="4">
                  <c:v>2052.1524919029393</c:v>
                </c:pt>
                <c:pt idx="5">
                  <c:v>2137.9011581753516</c:v>
                </c:pt>
                <c:pt idx="6">
                  <c:v>0</c:v>
                </c:pt>
              </c:numCache>
            </c:numRef>
          </c:val>
          <c:extLst>
            <c:ext xmlns:c16="http://schemas.microsoft.com/office/drawing/2014/chart" uri="{C3380CC4-5D6E-409C-BE32-E72D297353CC}">
              <c16:uniqueId val="{00000000-10F9-4E69-A6C0-4875FB7503E8}"/>
            </c:ext>
          </c:extLst>
        </c:ser>
        <c:ser>
          <c:idx val="1"/>
          <c:order val="1"/>
          <c:tx>
            <c:strRef>
              <c:f>'Res wo CL'!$C$67</c:f>
              <c:strCache>
                <c:ptCount val="1"/>
                <c:pt idx="0">
                  <c:v>Network cost</c:v>
                </c:pt>
              </c:strCache>
            </c:strRef>
          </c:tx>
          <c:spPr>
            <a:solidFill>
              <a:srgbClr val="89B3CE"/>
            </a:solidFill>
            <a:ln>
              <a:noFill/>
            </a:ln>
            <a:effectLst/>
          </c:spPr>
          <c:invertIfNegative val="0"/>
          <c:dLbls>
            <c:dLbl>
              <c:idx val="1"/>
              <c:layout>
                <c:manualLayout>
                  <c:x val="-3.1142292000262378E-17"/>
                  <c:y val="-4.0965434002147146E-2"/>
                </c:manualLayout>
              </c:layout>
              <c:tx>
                <c:strRef>
                  <c:f>'Res wo CL'!$K$67</c:f>
                  <c:strCache>
                    <c:ptCount val="1"/>
                    <c:pt idx="0">
                      <c:v>+10.7</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{CAB7BADF-2862-4CE3-94B2-9E584A0A9347}</c15:txfldGUID>
                      <c15:f>'Res wo CL'!$K$67</c15:f>
                      <c15:dlblFieldTableCache>
                        <c:ptCount val="1"/>
                        <c:pt idx="0">
                          <c:v>+10.7</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CL'!$D$67:$J$67</c:f>
              <c:numCache>
                <c:formatCode>#,##0.0</c:formatCode>
                <c:ptCount val="7"/>
                <c:pt idx="0" formatCode="#,##0">
                  <c:v>767.70429999999988</c:v>
                </c:pt>
                <c:pt idx="1">
                  <c:v>10.745137006268465</c:v>
                </c:pt>
                <c:pt idx="6" formatCode="#,##0">
                  <c:v>778.44943700626834</c:v>
                </c:pt>
              </c:numCache>
            </c:numRef>
          </c:val>
          <c:extLst>
            <c:ext xmlns:c16="http://schemas.microsoft.com/office/drawing/2014/chart" uri="{C3380CC4-5D6E-409C-BE32-E72D297353CC}">
              <c16:uniqueId val="{00000001-10F9-4E69-A6C0-4875FB7503E8}"/>
            </c:ext>
          </c:extLst>
        </c:ser>
        <c:ser>
          <c:idx val="2"/>
          <c:order val="2"/>
          <c:tx>
            <c:strRef>
              <c:f>'Res wo CL'!$C$68</c:f>
              <c:strCache>
                <c:ptCount val="1"/>
                <c:pt idx="0">
                  <c:v>Wholesale cost</c:v>
                </c:pt>
              </c:strCache>
            </c:strRef>
          </c:tx>
          <c:spPr>
            <a:solidFill>
              <a:srgbClr val="E06026"/>
            </a:solidFill>
            <a:ln>
              <a:noFill/>
            </a:ln>
            <a:effectLst/>
          </c:spPr>
          <c:invertIfNegative val="0"/>
          <c:dLbls>
            <c:dLbl>
              <c:idx val="2"/>
              <c:layout>
                <c:manualLayout>
                  <c:x val="1.5858411629871201E-4"/>
                  <c:y val="-4.1255210745715608E-2"/>
                </c:manualLayout>
              </c:layout>
              <c:tx>
                <c:strRef>
                  <c:f>'Res wo CL'!$K$68</c:f>
                  <c:strCache>
                    <c:ptCount val="1"/>
                    <c:pt idx="0">
                      <c:v>-0.9</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{22E7119C-24EE-40B7-B726-265DAA463933}</c15:txfldGUID>
                      <c15:f>'Res wo CL'!$K$68</c15:f>
                      <c15:dlblFieldTableCache>
                        <c:ptCount val="1"/>
                        <c:pt idx="0">
                          <c:v>-0.9</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CL'!$D$68:$J$68</c:f>
              <c:numCache>
                <c:formatCode>#,##0.0</c:formatCode>
                <c:ptCount val="7"/>
                <c:pt idx="0" formatCode="#,##0">
                  <c:v>847.86525182857145</c:v>
                </c:pt>
                <c:pt idx="2">
                  <c:v>0.85829366065775048</c:v>
                </c:pt>
                <c:pt idx="6" formatCode="#,##0">
                  <c:v>847.00695816791369</c:v>
                </c:pt>
              </c:numCache>
            </c:numRef>
          </c:val>
          <c:extLst>
            <c:ext xmlns:c16="http://schemas.microsoft.com/office/drawing/2014/chart" uri="{C3380CC4-5D6E-409C-BE32-E72D297353CC}">
              <c16:uniqueId val="{00000002-10F9-4E69-A6C0-4875FB7503E8}"/>
            </c:ext>
          </c:extLst>
        </c:ser>
        <c:ser>
          <c:idx val="3"/>
          <c:order val="3"/>
          <c:tx>
            <c:strRef>
              <c:f>'Res wo CL'!$C$69</c:f>
              <c:strCache>
                <c:ptCount val="1"/>
                <c:pt idx="0">
                  <c:v>Environmental cost</c:v>
                </c:pt>
              </c:strCache>
            </c:strRef>
          </c:tx>
          <c:spPr>
            <a:solidFill>
              <a:srgbClr val="5F9E88"/>
            </a:solidFill>
            <a:ln>
              <a:noFill/>
            </a:ln>
            <a:effectLst/>
          </c:spPr>
          <c:invertIfNegative val="0"/>
          <c:dLbls>
            <c:dLbl>
              <c:idx val="3"/>
              <c:layout>
                <c:manualLayout>
                  <c:x val="-6.5062981270690413E-17"/>
                  <c:y val="3.6244557665585882E-2"/>
                </c:manualLayout>
              </c:layout>
              <c:tx>
                <c:strRef>
                  <c:f>'Res wo CL'!$K$69</c:f>
                  <c:strCache>
                    <c:ptCount val="1"/>
                    <c:pt idx="0">
                      <c:v>-23.3</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{6E287300-A5E8-4DF6-BA34-502A21700D5A}</c15:txfldGUID>
                      <c15:f>'Res wo CL'!$K$69</c15:f>
                      <c15:dlblFieldTableCache>
                        <c:ptCount val="1"/>
                        <c:pt idx="0">
                          <c:v>-23.3</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CL'!$D$69:$J$69</c:f>
              <c:numCache>
                <c:formatCode>#,##0.0</c:formatCode>
                <c:ptCount val="7"/>
                <c:pt idx="0" formatCode="#,##0">
                  <c:v>83.641799999999989</c:v>
                </c:pt>
                <c:pt idx="3">
                  <c:v>23.336581660300773</c:v>
                </c:pt>
                <c:pt idx="6" formatCode="#,##0">
                  <c:v>60.305218339699216</c:v>
                </c:pt>
              </c:numCache>
            </c:numRef>
          </c:val>
          <c:extLst>
            <c:ext xmlns:c16="http://schemas.microsoft.com/office/drawing/2014/chart" uri="{C3380CC4-5D6E-409C-BE32-E72D297353CC}">
              <c16:uniqueId val="{00000003-10F9-4E69-A6C0-4875FB7503E8}"/>
            </c:ext>
          </c:extLst>
        </c:ser>
        <c:ser>
          <c:idx val="4"/>
          <c:order val="4"/>
          <c:tx>
            <c:strRef>
              <c:f>'Res wo CL'!$C$70</c:f>
              <c:strCache>
                <c:ptCount val="1"/>
                <c:pt idx="0">
                  <c:v>Retail cost</c:v>
                </c:pt>
              </c:strCache>
            </c:strRef>
          </c:tx>
          <c:spPr>
            <a:solidFill>
              <a:srgbClr val="F0B9B3"/>
            </a:solidFill>
            <a:ln>
              <a:noFill/>
            </a:ln>
            <a:effectLst/>
          </c:spPr>
          <c:invertIfNegative val="0"/>
          <c:dLbls>
            <c:dLbl>
              <c:idx val="4"/>
              <c:layout>
                <c:manualLayout>
                  <c:x val="2.5533430160699848E-3"/>
                  <c:y val="-4.1668413739304258E-2"/>
                </c:manualLayout>
              </c:layout>
              <c:tx>
                <c:rich>
                  <a:bodyPr/>
                  <a:lstStyle/>
                  <a:p>
                    <a:r>
                      <a:rPr lang="en-US"/>
                      <a:t>+</a:t>
                    </a:r>
                    <a:fld id="{A334350B-EC85-4649-B6FC-C99CD54A2064}"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6.0116642494886206E-2"/>
                      <c:h val="5.6952640901750673E-2"/>
                    </c:manualLayout>
                  </c15:layout>
                  <c15:dlblFieldTable/>
                  <c15:showDataLabelsRange val="0"/>
                </c:ext>
                <c:ext xmlns:c16="http://schemas.microsoft.com/office/drawing/2014/chart" uri="{C3380CC4-5D6E-409C-BE32-E72D297353CC}">
                  <c16:uniqueId val="{00000000-3B99-4CEC-B600-FFD4544B37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CL'!$D$70:$J$70</c:f>
              <c:numCache>
                <c:formatCode>#,##0.0</c:formatCode>
                <c:ptCount val="7"/>
                <c:pt idx="0" formatCode="#,##0">
                  <c:v>242.45474457600002</c:v>
                </c:pt>
                <c:pt idx="4">
                  <c:v>85.748666272412351</c:v>
                </c:pt>
                <c:pt idx="6" formatCode="#,##0">
                  <c:v>328.20341084841237</c:v>
                </c:pt>
              </c:numCache>
            </c:numRef>
          </c:val>
          <c:extLst>
            <c:ext xmlns:c16="http://schemas.microsoft.com/office/drawing/2014/chart" uri="{C3380CC4-5D6E-409C-BE32-E72D297353CC}">
              <c16:uniqueId val="{00000004-10F9-4E69-A6C0-4875FB7503E8}"/>
            </c:ext>
          </c:extLst>
        </c:ser>
        <c:ser>
          <c:idx val="5"/>
          <c:order val="5"/>
          <c:tx>
            <c:strRef>
              <c:f>'Res wo CL'!$C$71</c:f>
              <c:strCache>
                <c:ptCount val="1"/>
                <c:pt idx="0">
                  <c:v>Retail margin</c:v>
                </c:pt>
              </c:strCache>
            </c:strRef>
          </c:tx>
          <c:spPr>
            <a:solidFill>
              <a:srgbClr val="303F51"/>
            </a:solidFill>
            <a:ln>
              <a:noFill/>
            </a:ln>
            <a:effectLst/>
          </c:spPr>
          <c:invertIfNegative val="0"/>
          <c:dLbls>
            <c:dLbl>
              <c:idx val="5"/>
              <c:layout>
                <c:manualLayout>
                  <c:x val="3.5559868298336542E-3"/>
                  <c:y val="-4.087509649529103E-2"/>
                </c:manualLayout>
              </c:layout>
              <c:tx>
                <c:rich>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a:t>
                    </a:r>
                    <a:fld id="{01DC23F6-EA71-4B28-A1D1-58FA5AEDEF00}" type="VALUE">
                      <a:rPr lang="en-US">
                        <a:solidFill>
                          <a:sysClr val="windowText" lastClr="000000"/>
                        </a:solidFill>
                        <a:latin typeface="Arial" panose="020B0604020202020204" pitchFamily="34" charset="0"/>
                        <a:cs typeface="Arial" panose="020B0604020202020204" pitchFamily="34" charset="0"/>
                      </a:rPr>
                      <a:pPr>
                        <a:defRPr>
                          <a:solidFill>
                            <a:sysClr val="windowText" lastClr="000000"/>
                          </a:solidFill>
                          <a:latin typeface="Arial" panose="020B0604020202020204" pitchFamily="34" charset="0"/>
                          <a:cs typeface="Arial" panose="020B0604020202020204" pitchFamily="34" charset="0"/>
                        </a:defRPr>
                      </a:pPr>
                      <a:t>[VALUE]</a:t>
                    </a:fld>
                    <a:endParaRPr lang="en-US">
                      <a:solidFill>
                        <a:sysClr val="windowText" lastClr="000000"/>
                      </a:solidFill>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7862669332317146E-2"/>
                      <c:h val="5.6952640901750673E-2"/>
                    </c:manualLayout>
                  </c15:layout>
                  <c15:dlblFieldTable/>
                  <c15:showDataLabelsRange val="0"/>
                </c:ext>
                <c:ext xmlns:c16="http://schemas.microsoft.com/office/drawing/2014/chart" uri="{C3380CC4-5D6E-409C-BE32-E72D297353CC}">
                  <c16:uniqueId val="{00000001-3B99-4CEC-B600-FFD4544B37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'Res wo CL'!$D$71:$J$71</c:f>
              <c:numCache>
                <c:formatCode>#,##0.0</c:formatCode>
                <c:ptCount val="7"/>
                <c:pt idx="0" formatCode="#,##0">
                  <c:v>123.93613381305795</c:v>
                </c:pt>
                <c:pt idx="5">
                  <c:v>4.6148251887907463</c:v>
                </c:pt>
                <c:pt idx="6" formatCode="#,##0">
                  <c:v>128.5509590018487</c:v>
                </c:pt>
              </c:numCache>
            </c:numRef>
          </c:val>
          <c:extLst>
            <c:ext xmlns:c16="http://schemas.microsoft.com/office/drawing/2014/chart" uri="{C3380CC4-5D6E-409C-BE32-E72D297353CC}">
              <c16:uniqueId val="{00000002-9079-4CA8-8EE7-B592EE55D9D2}"/>
            </c:ext>
          </c:extLst>
        </c:ser>
        <c:ser>
          <c:idx val="6"/>
          <c:order val="6"/>
          <c:tx>
            <c:strRef>
              <c:f>'Res wo CL'!$C$72</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CL'!$D$72:$J$72</c:f>
              <c:numCache>
                <c:formatCode>#,##0</c:formatCode>
                <c:ptCount val="7"/>
                <c:pt idx="0">
                  <c:v>2066</c:v>
                </c:pt>
                <c:pt idx="6">
                  <c:v>2143</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8048"/>
        <c:crosses val="autoZero"/>
        <c:auto val="1"/>
        <c:lblAlgn val="ctr"/>
        <c:lblOffset val="100"/>
        <c:noMultiLvlLbl val="0"/>
      </c:catAx>
      <c:valAx>
        <c:axId val="616098048"/>
        <c:scaling>
          <c:orientation val="minMax"/>
          <c:max val="25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solidFill>
          <a:srgbClr val="F2F2F2"/>
        </a:solidFill>
        <a:ln>
          <a:noFill/>
        </a:ln>
        <a:effectLst/>
      </c:spPr>
    </c:plotArea>
    <c:legend>
      <c:legendPos val="r"/>
      <c:legendEntry>
        <c:idx val="0"/>
        <c:delete val="1"/>
      </c:legendEntry>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CL'!$A$73</c:f>
          <c:strCache>
            <c:ptCount val="1"/>
            <c:pt idx="0">
              <c:v>SAPN Residential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1442495126705652E-2"/>
          <c:y val="0.14156862745098039"/>
          <c:w val="0.80004788875074828"/>
          <c:h val="0.748705882352941"/>
        </c:manualLayout>
      </c:layout>
      <c:barChart>
        <c:barDir val="col"/>
        <c:grouping val="stacked"/>
        <c:varyColors val="0"/>
        <c:ser>
          <c:idx val="0"/>
          <c:order val="0"/>
          <c:tx>
            <c:strRef>
              <c:f>'Res wo CL'!$C$73</c:f>
              <c:strCache>
                <c:ptCount val="1"/>
                <c:pt idx="0">
                  <c:v>Base</c:v>
                </c:pt>
              </c:strCache>
            </c:strRef>
          </c:tx>
          <c:spPr>
            <a:noFill/>
            <a:ln>
              <a:noFill/>
            </a:ln>
            <a:effectLst/>
          </c:spPr>
          <c:invertIfNegative val="0"/>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CL'!$D$73:$J$73</c:f>
              <c:numCache>
                <c:formatCode>#,##0</c:formatCode>
                <c:ptCount val="7"/>
                <c:pt idx="0">
                  <c:v>0</c:v>
                </c:pt>
                <c:pt idx="1">
                  <c:v>2204.6767336455869</c:v>
                </c:pt>
                <c:pt idx="2">
                  <c:v>2204.6767336455869</c:v>
                </c:pt>
                <c:pt idx="3">
                  <c:v>2232.4444357744374</c:v>
                </c:pt>
                <c:pt idx="4">
                  <c:v>2232.4444357744374</c:v>
                </c:pt>
                <c:pt idx="5">
                  <c:v>2296.313202812054</c:v>
                </c:pt>
                <c:pt idx="6">
                  <c:v>0</c:v>
                </c:pt>
              </c:numCache>
            </c:numRef>
          </c:val>
          <c:extLst>
            <c:ext xmlns:c16="http://schemas.microsoft.com/office/drawing/2014/chart" uri="{C3380CC4-5D6E-409C-BE32-E72D297353CC}">
              <c16:uniqueId val="{00000000-10F9-4E69-A6C0-4875FB7503E8}"/>
            </c:ext>
          </c:extLst>
        </c:ser>
        <c:ser>
          <c:idx val="1"/>
          <c:order val="1"/>
          <c:tx>
            <c:strRef>
              <c:f>'Res wo CL'!$C$74</c:f>
              <c:strCache>
                <c:ptCount val="1"/>
                <c:pt idx="0">
                  <c:v>Network cost</c:v>
                </c:pt>
              </c:strCache>
            </c:strRef>
          </c:tx>
          <c:spPr>
            <a:solidFill>
              <a:srgbClr val="89B3CE"/>
            </a:solidFill>
            <a:ln>
              <a:noFill/>
            </a:ln>
            <a:effectLst/>
          </c:spPr>
          <c:invertIfNegative val="0"/>
          <c:dLbls>
            <c:dLbl>
              <c:idx val="1"/>
              <c:layout>
                <c:manualLayout>
                  <c:x val="0"/>
                  <c:y val="-4.2649226116189674E-2"/>
                </c:manualLayout>
              </c:layout>
              <c:tx>
                <c:strRef>
                  <c:f>'Res wo CL'!$K$74</c:f>
                  <c:strCache>
                    <c:ptCount val="1"/>
                    <c:pt idx="0">
                      <c:v>-25.4</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{11C509BE-3D44-4DED-8587-CC0F85D13A57}</c15:txfldGUID>
                      <c15:f>'Res wo CL'!$K$74</c15:f>
                      <c15:dlblFieldTableCache>
                        <c:ptCount val="1"/>
                        <c:pt idx="0">
                          <c:v>-25.4</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CL'!$D$74:$J$74</c:f>
              <c:numCache>
                <c:formatCode>#,##0.0</c:formatCode>
                <c:ptCount val="7"/>
                <c:pt idx="0" formatCode="#,##0">
                  <c:v>922.34395000000006</c:v>
                </c:pt>
                <c:pt idx="1">
                  <c:v>25.352556001829498</c:v>
                </c:pt>
                <c:pt idx="6" formatCode="#,##0">
                  <c:v>896.99139399817057</c:v>
                </c:pt>
              </c:numCache>
            </c:numRef>
          </c:val>
          <c:extLst>
            <c:ext xmlns:c16="http://schemas.microsoft.com/office/drawing/2014/chart" uri="{C3380CC4-5D6E-409C-BE32-E72D297353CC}">
              <c16:uniqueId val="{00000001-10F9-4E69-A6C0-4875FB7503E8}"/>
            </c:ext>
          </c:extLst>
        </c:ser>
        <c:ser>
          <c:idx val="2"/>
          <c:order val="2"/>
          <c:tx>
            <c:strRef>
              <c:f>'Res wo CL'!$C$75</c:f>
              <c:strCache>
                <c:ptCount val="1"/>
                <c:pt idx="0">
                  <c:v>Wholesale cost</c:v>
                </c:pt>
              </c:strCache>
            </c:strRef>
          </c:tx>
          <c:spPr>
            <a:solidFill>
              <a:srgbClr val="E06026"/>
            </a:solidFill>
            <a:ln>
              <a:noFill/>
            </a:ln>
            <a:effectLst/>
          </c:spPr>
          <c:invertIfNegative val="0"/>
          <c:dLbls>
            <c:dLbl>
              <c:idx val="2"/>
              <c:layout>
                <c:manualLayout>
                  <c:x val="-1.8630565916102593E-3"/>
                  <c:y val="-4.6347074262775977E-2"/>
                </c:manualLayout>
              </c:layout>
              <c:tx>
                <c:strRef>
                  <c:f>'Res wo CL'!$K$75</c:f>
                  <c:strCache>
                    <c:ptCount val="1"/>
                    <c:pt idx="0">
                      <c:v>+53.0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{7B8185C7-AFA3-4DC2-9062-E9DCA61B097D}</c15:txfldGUID>
                      <c15:f>'Res wo CL'!$K$75</c15:f>
                      <c15:dlblFieldTableCache>
                        <c:ptCount val="1"/>
                        <c:pt idx="0">
                          <c:v>+53.0</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CL'!$D$75:$J$75</c:f>
              <c:numCache>
                <c:formatCode>#,##0.0</c:formatCode>
                <c:ptCount val="7"/>
                <c:pt idx="0" formatCode="#,##0">
                  <c:v>805.77435242857121</c:v>
                </c:pt>
                <c:pt idx="2">
                  <c:v>53.024926424280579</c:v>
                </c:pt>
                <c:pt idx="6" formatCode="#,##0">
                  <c:v>858.79927885285178</c:v>
                </c:pt>
              </c:numCache>
            </c:numRef>
          </c:val>
          <c:extLst>
            <c:ext xmlns:c16="http://schemas.microsoft.com/office/drawing/2014/chart" uri="{C3380CC4-5D6E-409C-BE32-E72D297353CC}">
              <c16:uniqueId val="{00000002-10F9-4E69-A6C0-4875FB7503E8}"/>
            </c:ext>
          </c:extLst>
        </c:ser>
        <c:ser>
          <c:idx val="3"/>
          <c:order val="3"/>
          <c:tx>
            <c:strRef>
              <c:f>'Res wo CL'!$C$76</c:f>
              <c:strCache>
                <c:ptCount val="1"/>
                <c:pt idx="0">
                  <c:v>Environmental cost</c:v>
                </c:pt>
              </c:strCache>
            </c:strRef>
          </c:tx>
          <c:spPr>
            <a:solidFill>
              <a:srgbClr val="5F9E88"/>
            </a:solidFill>
            <a:ln>
              <a:noFill/>
            </a:ln>
            <a:effectLst/>
          </c:spPr>
          <c:invertIfNegative val="0"/>
          <c:dLbls>
            <c:dLbl>
              <c:idx val="3"/>
              <c:layout>
                <c:manualLayout>
                  <c:x val="2.0232997191140579E-3"/>
                  <c:y val="3.5477535896248261E-2"/>
                </c:manualLayout>
              </c:layout>
              <c:tx>
                <c:strRef>
                  <c:f>'Res wo CL'!$K$76</c:f>
                  <c:strCache>
                    <c:ptCount val="1"/>
                    <c:pt idx="0">
                      <c:v>-25.3</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{F77346E7-B345-4DEC-BD47-9BCF90C2224E}</c15:txfldGUID>
                      <c15:f>'Res wo CL'!$K$76</c15:f>
                      <c15:dlblFieldTableCache>
                        <c:ptCount val="1"/>
                        <c:pt idx="0">
                          <c:v>-25.3</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CL'!$D$76:$J$76</c:f>
              <c:numCache>
                <c:formatCode>#,##0.0</c:formatCode>
                <c:ptCount val="7"/>
                <c:pt idx="0" formatCode="#,##0">
                  <c:v>97.504000000000005</c:v>
                </c:pt>
                <c:pt idx="3">
                  <c:v>25.257224295430106</c:v>
                </c:pt>
                <c:pt idx="6" formatCode="#,##0">
                  <c:v>72.246775704569899</c:v>
                </c:pt>
              </c:numCache>
            </c:numRef>
          </c:val>
          <c:extLst>
            <c:ext xmlns:c16="http://schemas.microsoft.com/office/drawing/2014/chart" uri="{C3380CC4-5D6E-409C-BE32-E72D297353CC}">
              <c16:uniqueId val="{00000003-10F9-4E69-A6C0-4875FB7503E8}"/>
            </c:ext>
          </c:extLst>
        </c:ser>
        <c:ser>
          <c:idx val="4"/>
          <c:order val="4"/>
          <c:tx>
            <c:strRef>
              <c:f>'Res wo CL'!$C$77</c:f>
              <c:strCache>
                <c:ptCount val="1"/>
                <c:pt idx="0">
                  <c:v>Retail cost</c:v>
                </c:pt>
              </c:strCache>
            </c:strRef>
          </c:tx>
          <c:spPr>
            <a:solidFill>
              <a:srgbClr val="F0B9B3"/>
            </a:solidFill>
            <a:ln>
              <a:noFill/>
            </a:ln>
            <a:effectLst/>
          </c:spPr>
          <c:invertIfNegative val="0"/>
          <c:dLbls>
            <c:dLbl>
              <c:idx val="4"/>
              <c:layout>
                <c:manualLayout>
                  <c:x val="-7.3830433643051997E-8"/>
                  <c:y val="-4.1779576314570584E-2"/>
                </c:manualLayout>
              </c:layout>
              <c:tx>
                <c:rich>
                  <a:bodyPr/>
                  <a:lstStyle/>
                  <a:p>
                    <a:r>
                      <a:rPr lang="en-US"/>
                      <a:t>+</a:t>
                    </a:r>
                    <a:fld id="{0A271EDF-65B9-4F34-9460-406531696E6D}"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6.9887850467289722E-2"/>
                      <c:h val="5.6952640901750673E-2"/>
                    </c:manualLayout>
                  </c15:layout>
                  <c15:dlblFieldTable/>
                  <c15:showDataLabelsRange val="0"/>
                </c:ext>
                <c:ext xmlns:c16="http://schemas.microsoft.com/office/drawing/2014/chart" uri="{C3380CC4-5D6E-409C-BE32-E72D297353CC}">
                  <c16:uniqueId val="{00000001-45F2-4F34-8CD3-2A16F6952B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CL'!$D$77:$J$77</c:f>
              <c:numCache>
                <c:formatCode>#,##0.0</c:formatCode>
                <c:ptCount val="7"/>
                <c:pt idx="0" formatCode="#,##0">
                  <c:v>270.60522984000005</c:v>
                </c:pt>
                <c:pt idx="4">
                  <c:v>63.868767037616749</c:v>
                </c:pt>
                <c:pt idx="6" formatCode="#,##0">
                  <c:v>334.4739968776168</c:v>
                </c:pt>
              </c:numCache>
            </c:numRef>
          </c:val>
          <c:extLst>
            <c:ext xmlns:c16="http://schemas.microsoft.com/office/drawing/2014/chart" uri="{C3380CC4-5D6E-409C-BE32-E72D297353CC}">
              <c16:uniqueId val="{00000004-10F9-4E69-A6C0-4875FB7503E8}"/>
            </c:ext>
          </c:extLst>
        </c:ser>
        <c:ser>
          <c:idx val="5"/>
          <c:order val="5"/>
          <c:tx>
            <c:strRef>
              <c:f>'Res wo CL'!$C$78</c:f>
              <c:strCache>
                <c:ptCount val="1"/>
                <c:pt idx="0">
                  <c:v>Retail margin</c:v>
                </c:pt>
              </c:strCache>
            </c:strRef>
          </c:tx>
          <c:spPr>
            <a:solidFill>
              <a:srgbClr val="303F51"/>
            </a:solidFill>
            <a:ln>
              <a:noFill/>
            </a:ln>
            <a:effectLst/>
          </c:spPr>
          <c:invertIfNegative val="0"/>
          <c:dLbls>
            <c:dLbl>
              <c:idx val="5"/>
              <c:layout>
                <c:manualLayout>
                  <c:x val="1.3789504382126958E-3"/>
                  <c:y val="-4.4645514898872932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a:t>
                    </a:r>
                    <a:fld id="{070524AE-F223-42BC-A7F6-45175D8D018D}" type="VALUE">
                      <a:rPr lang="en-US">
                        <a:solidFill>
                          <a:sysClr val="windowText" lastClr="000000"/>
                        </a:solidFill>
                        <a:latin typeface="Arial" panose="020B0604020202020204" pitchFamily="34" charset="0"/>
                        <a:cs typeface="Arial" panose="020B0604020202020204" pitchFamily="34" charset="0"/>
                      </a:rPr>
                      <a:pPr>
                        <a:defRPr>
                          <a:solidFill>
                            <a:sysClr val="windowText" lastClr="000000"/>
                          </a:solidFill>
                          <a:latin typeface="Arial" panose="020B0604020202020204" pitchFamily="34" charset="0"/>
                          <a:cs typeface="Arial" panose="020B0604020202020204" pitchFamily="34" charset="0"/>
                        </a:defRPr>
                      </a:pPr>
                      <a:t>[VALUE]</a:t>
                    </a:fld>
                    <a:endParaRPr lang="en-US">
                      <a:solidFill>
                        <a:sysClr val="windowText" lastClr="000000"/>
                      </a:solidFill>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2167956853494581E-2"/>
                      <c:h val="6.5208551717413035E-2"/>
                    </c:manualLayout>
                  </c15:layout>
                  <c15:dlblFieldTable/>
                  <c15:showDataLabelsRange val="0"/>
                </c:ext>
                <c:ext xmlns:c16="http://schemas.microsoft.com/office/drawing/2014/chart" uri="{C3380CC4-5D6E-409C-BE32-E72D297353CC}">
                  <c16:uniqueId val="{00000000-45F2-4F34-8CD3-2A16F6952B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CL'!$D$78:$J$78</c:f>
              <c:numCache>
                <c:formatCode>#,##0.0</c:formatCode>
                <c:ptCount val="7"/>
                <c:pt idx="0" formatCode="#,##0">
                  <c:v>133.8017573788452</c:v>
                </c:pt>
                <c:pt idx="5">
                  <c:v>4.2308880743385089</c:v>
                </c:pt>
                <c:pt idx="6" formatCode="#,##0">
                  <c:v>138.0326454531837</c:v>
                </c:pt>
              </c:numCache>
            </c:numRef>
          </c:val>
          <c:extLst>
            <c:ext xmlns:c16="http://schemas.microsoft.com/office/drawing/2014/chart" uri="{C3380CC4-5D6E-409C-BE32-E72D297353CC}">
              <c16:uniqueId val="{00000007-DDA4-47B6-AA3E-F8EE1DA41199}"/>
            </c:ext>
          </c:extLst>
        </c:ser>
        <c:ser>
          <c:idx val="6"/>
          <c:order val="6"/>
          <c:tx>
            <c:strRef>
              <c:f>'Res wo CL'!$C$79</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CL'!$D$79:$J$79</c:f>
              <c:numCache>
                <c:formatCode>#,##0</c:formatCode>
                <c:ptCount val="7"/>
                <c:pt idx="0">
                  <c:v>2230</c:v>
                </c:pt>
                <c:pt idx="6">
                  <c:v>2301</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8048"/>
        <c:crosses val="autoZero"/>
        <c:auto val="1"/>
        <c:lblAlgn val="ctr"/>
        <c:lblOffset val="100"/>
        <c:noMultiLvlLbl val="0"/>
      </c:catAx>
      <c:valAx>
        <c:axId val="616098048"/>
        <c:scaling>
          <c:orientation val="minMax"/>
          <c:max val="265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solidFill>
          <a:srgbClr val="F2F2F2"/>
        </a:solidFill>
        <a:ln>
          <a:noFill/>
        </a:ln>
        <a:effectLst/>
      </c:spPr>
    </c:plotArea>
    <c:legend>
      <c:legendPos val="r"/>
      <c:legendEntry>
        <c:idx val="0"/>
        <c:delete val="1"/>
      </c:legendEntry>
      <c:legendEntry>
        <c:idx val="6"/>
        <c:delete val="1"/>
      </c:legendEntry>
      <c:layout>
        <c:manualLayout>
          <c:xMode val="edge"/>
          <c:yMode val="edge"/>
          <c:x val="0.82538901935503672"/>
          <c:y val="0.39284761463640572"/>
          <c:w val="0.17461098064496325"/>
          <c:h val="0.312735834491276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Ausgrid Residential without CL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1411192214111922E-2"/>
          <c:y val="0.14156862745098039"/>
          <c:w val="0.79839331762361809"/>
          <c:h val="0.7243618959394782"/>
        </c:manualLayout>
      </c:layout>
      <c:barChart>
        <c:barDir val="col"/>
        <c:grouping val="stacked"/>
        <c:varyColors val="0"/>
        <c:ser>
          <c:idx val="0"/>
          <c:order val="0"/>
          <c:tx>
            <c:strRef>
              <c:f>'Res wo CL'!$C$45</c:f>
              <c:strCache>
                <c:ptCount val="1"/>
                <c:pt idx="0">
                  <c:v>Base</c:v>
                </c:pt>
              </c:strCache>
            </c:strRef>
          </c:tx>
          <c:spPr>
            <a:noFill/>
            <a:ln>
              <a:noFill/>
            </a:ln>
            <a:effectLst/>
          </c:spPr>
          <c:invertIfNegative val="0"/>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CL'!$D$45:$J$45</c:f>
              <c:numCache>
                <c:formatCode>#,##0</c:formatCode>
                <c:ptCount val="7"/>
                <c:pt idx="0">
                  <c:v>0</c:v>
                </c:pt>
                <c:pt idx="1">
                  <c:v>1810.1290030985672</c:v>
                </c:pt>
                <c:pt idx="2">
                  <c:v>1865.2989864106171</c:v>
                </c:pt>
                <c:pt idx="3">
                  <c:v>1891.0063944069439</c:v>
                </c:pt>
                <c:pt idx="4">
                  <c:v>1891.0063944069439</c:v>
                </c:pt>
                <c:pt idx="5">
                  <c:v>1955.3493887599752</c:v>
                </c:pt>
                <c:pt idx="6">
                  <c:v>0</c:v>
                </c:pt>
              </c:numCache>
            </c:numRef>
          </c:val>
          <c:extLst>
            <c:ext xmlns:c16="http://schemas.microsoft.com/office/drawing/2014/chart" uri="{C3380CC4-5D6E-409C-BE32-E72D297353CC}">
              <c16:uniqueId val="{00000000-628D-4496-88F5-CD2DC0185002}"/>
            </c:ext>
          </c:extLst>
        </c:ser>
        <c:ser>
          <c:idx val="1"/>
          <c:order val="1"/>
          <c:tx>
            <c:strRef>
              <c:f>'Res wo CL'!$C$46</c:f>
              <c:strCache>
                <c:ptCount val="1"/>
                <c:pt idx="0">
                  <c:v>Network cost</c:v>
                </c:pt>
              </c:strCache>
            </c:strRef>
          </c:tx>
          <c:spPr>
            <a:solidFill>
              <a:srgbClr val="89B3CE"/>
            </a:solidFill>
            <a:ln>
              <a:noFill/>
            </a:ln>
            <a:effectLst/>
          </c:spPr>
          <c:invertIfNegative val="0"/>
          <c:dLbls>
            <c:dLbl>
              <c:idx val="1"/>
              <c:layout>
                <c:manualLayout>
                  <c:x val="-3.4090514165155828E-17"/>
                  <c:y val="-4.554607965994522E-2"/>
                </c:manualLayout>
              </c:layout>
              <c:tx>
                <c:strRef>
                  <c:f>'Res wo CL'!$K$46</c:f>
                  <c:strCache>
                    <c:ptCount val="1"/>
                    <c:pt idx="0">
                      <c:v>+55.2</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{F5FAA39A-CAEA-493C-84B1-F2E912F79E65}</c15:txfldGUID>
                      <c15:f>'Res wo CL'!$K$46</c15:f>
                      <c15:dlblFieldTableCache>
                        <c:ptCount val="1"/>
                        <c:pt idx="0">
                          <c:v>+55.2</c:v>
                        </c:pt>
                      </c15:dlblFieldTableCache>
                    </c15:dlblFTEntry>
                  </c15:dlblFieldTable>
                  <c15:showDataLabelsRange val="0"/>
                </c:ext>
                <c:ext xmlns:c16="http://schemas.microsoft.com/office/drawing/2014/chart" uri="{C3380CC4-5D6E-409C-BE32-E72D297353CC}">
                  <c16:uniqueId val="{00000001-628D-4496-88F5-CD2DC01850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CL'!$D$46:$J$46</c:f>
              <c:numCache>
                <c:formatCode>#,##0.0</c:formatCode>
                <c:ptCount val="7"/>
                <c:pt idx="0" formatCode="#,##0">
                  <c:v>656.75497844808194</c:v>
                </c:pt>
                <c:pt idx="1">
                  <c:v>55.169983312050022</c:v>
                </c:pt>
                <c:pt idx="6" formatCode="#,##0">
                  <c:v>711.92496176013196</c:v>
                </c:pt>
              </c:numCache>
            </c:numRef>
          </c:val>
          <c:extLst>
            <c:ext xmlns:c16="http://schemas.microsoft.com/office/drawing/2014/chart" uri="{C3380CC4-5D6E-409C-BE32-E72D297353CC}">
              <c16:uniqueId val="{00000002-628D-4496-88F5-CD2DC0185002}"/>
            </c:ext>
          </c:extLst>
        </c:ser>
        <c:ser>
          <c:idx val="2"/>
          <c:order val="2"/>
          <c:tx>
            <c:strRef>
              <c:f>'Res wo CL'!$C$47</c:f>
              <c:strCache>
                <c:ptCount val="1"/>
                <c:pt idx="0">
                  <c:v>Wholesale cost</c:v>
                </c:pt>
              </c:strCache>
            </c:strRef>
          </c:tx>
          <c:spPr>
            <a:solidFill>
              <a:srgbClr val="E06026"/>
            </a:solidFill>
            <a:ln>
              <a:noFill/>
            </a:ln>
            <a:effectLst/>
          </c:spPr>
          <c:invertIfNegative val="0"/>
          <c:dLbls>
            <c:dLbl>
              <c:idx val="2"/>
              <c:layout>
                <c:manualLayout>
                  <c:x val="-1.7726689273329884E-3"/>
                  <c:y val="-4.1784776902887136E-2"/>
                </c:manualLayout>
              </c:layout>
              <c:tx>
                <c:strRef>
                  <c:f>'Res wo CL'!$K$47</c:f>
                  <c:strCache>
                    <c:ptCount val="1"/>
                    <c:pt idx="0">
                      <c:v>+41.6</c:v>
                    </c:pt>
                  </c:strCache>
                </c:strRef>
              </c:tx>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dlblFTEntry>
                      <c15:txfldGUID>{CE546CD5-5A76-41C5-A978-440ECAF4BDEA}</c15:txfldGUID>
                      <c15:f>'Res wo CL'!$K$47</c15:f>
                      <c15:dlblFieldTableCache>
                        <c:ptCount val="1"/>
                        <c:pt idx="0">
                          <c:v>+41.6</c:v>
                        </c:pt>
                      </c15:dlblFieldTableCache>
                    </c15:dlblFTEntry>
                  </c15:dlblFieldTable>
                  <c15:showDataLabelsRange val="0"/>
                </c:ext>
                <c:ext xmlns:c16="http://schemas.microsoft.com/office/drawing/2014/chart" uri="{C3380CC4-5D6E-409C-BE32-E72D297353CC}">
                  <c16:uniqueId val="{00000003-628D-4496-88F5-CD2DC01850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CL'!$D$47:$J$47</c:f>
              <c:numCache>
                <c:formatCode>#,##0.0</c:formatCode>
                <c:ptCount val="7"/>
                <c:pt idx="0" formatCode="#,##0">
                  <c:v>712.34100252857127</c:v>
                </c:pt>
                <c:pt idx="2">
                  <c:v>41.6314886928634</c:v>
                </c:pt>
                <c:pt idx="6" formatCode="#,##0">
                  <c:v>753.97249122143467</c:v>
                </c:pt>
              </c:numCache>
            </c:numRef>
          </c:val>
          <c:extLst>
            <c:ext xmlns:c16="http://schemas.microsoft.com/office/drawing/2014/chart" uri="{C3380CC4-5D6E-409C-BE32-E72D297353CC}">
              <c16:uniqueId val="{00000004-628D-4496-88F5-CD2DC0185002}"/>
            </c:ext>
          </c:extLst>
        </c:ser>
        <c:ser>
          <c:idx val="3"/>
          <c:order val="3"/>
          <c:tx>
            <c:strRef>
              <c:f>'Res wo CL'!$C$48</c:f>
              <c:strCache>
                <c:ptCount val="1"/>
                <c:pt idx="0">
                  <c:v>Environmental cost</c:v>
                </c:pt>
              </c:strCache>
            </c:strRef>
          </c:tx>
          <c:spPr>
            <a:solidFill>
              <a:srgbClr val="5F9E88"/>
            </a:solidFill>
            <a:ln>
              <a:noFill/>
            </a:ln>
            <a:effectLst/>
          </c:spPr>
          <c:invertIfNegative val="0"/>
          <c:dLbls>
            <c:dLbl>
              <c:idx val="3"/>
              <c:layout>
                <c:manualLayout>
                  <c:x val="-1.8596701386352681E-3"/>
                  <c:y val="3.5224161888486046E-2"/>
                </c:manualLayout>
              </c:layout>
              <c:tx>
                <c:strRef>
                  <c:f>'Res wo CL'!$K$48</c:f>
                  <c:strCache>
                    <c:ptCount val="1"/>
                    <c:pt idx="0">
                      <c:v>-15.9</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{B95EE8C7-193B-4458-8696-D3E40A4E0314}</c15:txfldGUID>
                      <c15:f>'Res wo CL'!$K$48</c15:f>
                      <c15:dlblFieldTableCache>
                        <c:ptCount val="1"/>
                        <c:pt idx="0">
                          <c:v>-15.9</c:v>
                        </c:pt>
                      </c15:dlblFieldTableCache>
                    </c15:dlblFTEntry>
                  </c15:dlblFieldTable>
                  <c15:showDataLabelsRange val="0"/>
                </c:ext>
                <c:ext xmlns:c16="http://schemas.microsoft.com/office/drawing/2014/chart" uri="{C3380CC4-5D6E-409C-BE32-E72D297353CC}">
                  <c16:uniqueId val="{00000005-628D-4496-88F5-CD2DC01850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CL'!$D$48:$J$48</c:f>
              <c:numCache>
                <c:formatCode>#,##0.0</c:formatCode>
                <c:ptCount val="7"/>
                <c:pt idx="0" formatCode="#,##0">
                  <c:v>84.255600000000001</c:v>
                </c:pt>
                <c:pt idx="3">
                  <c:v>15.924080696536677</c:v>
                </c:pt>
                <c:pt idx="6" formatCode="#,##0">
                  <c:v>68.331519303463324</c:v>
                </c:pt>
              </c:numCache>
            </c:numRef>
          </c:val>
          <c:extLst>
            <c:ext xmlns:c16="http://schemas.microsoft.com/office/drawing/2014/chart" uri="{C3380CC4-5D6E-409C-BE32-E72D297353CC}">
              <c16:uniqueId val="{00000006-628D-4496-88F5-CD2DC0185002}"/>
            </c:ext>
          </c:extLst>
        </c:ser>
        <c:ser>
          <c:idx val="4"/>
          <c:order val="4"/>
          <c:tx>
            <c:strRef>
              <c:f>'Res wo CL'!$C$49</c:f>
              <c:strCache>
                <c:ptCount val="1"/>
                <c:pt idx="0">
                  <c:v>Retail cost</c:v>
                </c:pt>
              </c:strCache>
            </c:strRef>
          </c:tx>
          <c:spPr>
            <a:solidFill>
              <a:srgbClr val="F0B9B3"/>
            </a:solidFill>
            <a:ln>
              <a:noFill/>
            </a:ln>
            <a:effectLst/>
          </c:spPr>
          <c:invertIfNegative val="0"/>
          <c:dLbls>
            <c:dLbl>
              <c:idx val="4"/>
              <c:layout>
                <c:manualLayout>
                  <c:x val="0"/>
                  <c:y val="-4.0271421954608616E-2"/>
                </c:manualLayout>
              </c:layout>
              <c:tx>
                <c:rich>
                  <a:bodyPr/>
                  <a:lstStyle/>
                  <a:p>
                    <a:r>
                      <a:rPr lang="en-US"/>
                      <a:t>+</a:t>
                    </a:r>
                    <a:fld id="{96756394-253C-444A-B29C-855FD5D790A6}"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5.8369832811549657E-2"/>
                      <c:h val="5.6952640901750673E-2"/>
                    </c:manualLayout>
                  </c15:layout>
                  <c15:dlblFieldTable/>
                  <c15:showDataLabelsRange val="0"/>
                </c:ext>
                <c:ext xmlns:c16="http://schemas.microsoft.com/office/drawing/2014/chart" uri="{C3380CC4-5D6E-409C-BE32-E72D297353CC}">
                  <c16:uniqueId val="{00000000-CFAA-4784-B45A-EB5B5E9545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CL'!$D$49:$J$49</c:f>
              <c:numCache>
                <c:formatCode>#,##0.0</c:formatCode>
                <c:ptCount val="7"/>
                <c:pt idx="0" formatCode="#,##0">
                  <c:v>248.16968193600002</c:v>
                </c:pt>
                <c:pt idx="4">
                  <c:v>64.342994353031258</c:v>
                </c:pt>
                <c:pt idx="6" formatCode="#,##0">
                  <c:v>312.51267628903128</c:v>
                </c:pt>
              </c:numCache>
            </c:numRef>
          </c:val>
          <c:extLst>
            <c:ext xmlns:c16="http://schemas.microsoft.com/office/drawing/2014/chart" uri="{C3380CC4-5D6E-409C-BE32-E72D297353CC}">
              <c16:uniqueId val="{00000008-628D-4496-88F5-CD2DC0185002}"/>
            </c:ext>
          </c:extLst>
        </c:ser>
        <c:ser>
          <c:idx val="5"/>
          <c:order val="5"/>
          <c:tx>
            <c:strRef>
              <c:f>'Res wo CL'!$C$50</c:f>
              <c:strCache>
                <c:ptCount val="1"/>
                <c:pt idx="0">
                  <c:v>Retail margin</c:v>
                </c:pt>
              </c:strCache>
            </c:strRef>
          </c:tx>
          <c:spPr>
            <a:solidFill>
              <a:srgbClr val="303F51"/>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1-3C47-469A-85B1-35B06069AFDD}"/>
                </c:ext>
              </c:extLst>
            </c:dLbl>
            <c:dLbl>
              <c:idx val="5"/>
              <c:layout>
                <c:manualLayout>
                  <c:x val="1.8592318817290015E-3"/>
                  <c:y val="-3.5354809857692758E-2"/>
                </c:manualLayout>
              </c:layout>
              <c:tx>
                <c:rich>
                  <a:bodyPr/>
                  <a:lstStyle/>
                  <a:p>
                    <a:r>
                      <a:rPr lang="en-US"/>
                      <a:t>+</a:t>
                    </a:r>
                    <a:fld id="{10DF00AC-1B57-4FB7-A78A-E57510DDE607}"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5.9411155091717474E-2"/>
                      <c:h val="5.6952640901750673E-2"/>
                    </c:manualLayout>
                  </c15:layout>
                  <c15:dlblFieldTable/>
                  <c15:showDataLabelsRange val="0"/>
                </c:ext>
                <c:ext xmlns:c16="http://schemas.microsoft.com/office/drawing/2014/chart" uri="{C3380CC4-5D6E-409C-BE32-E72D297353CC}">
                  <c16:uniqueId val="{00000001-CFAA-4784-B45A-EB5B5E954513}"/>
                </c:ext>
              </c:extLst>
            </c:dLbl>
            <c:dLbl>
              <c:idx val="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0-3C47-469A-85B1-35B06069AF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'Res wo CL'!$D$50:$J$50</c:f>
              <c:numCache>
                <c:formatCode>#,##0.0</c:formatCode>
                <c:ptCount val="7"/>
                <c:pt idx="0" formatCode="#,##0">
                  <c:v>108.60774018591405</c:v>
                </c:pt>
                <c:pt idx="5">
                  <c:v>9.2693863188133037</c:v>
                </c:pt>
                <c:pt idx="6" formatCode="#,##0">
                  <c:v>117.87712650472736</c:v>
                </c:pt>
              </c:numCache>
            </c:numRef>
          </c:val>
          <c:extLst>
            <c:ext xmlns:c16="http://schemas.microsoft.com/office/drawing/2014/chart" uri="{C3380CC4-5D6E-409C-BE32-E72D297353CC}">
              <c16:uniqueId val="{00000003-C53E-437C-B209-E19DE64A2471}"/>
            </c:ext>
          </c:extLst>
        </c:ser>
        <c:ser>
          <c:idx val="6"/>
          <c:order val="6"/>
          <c:tx>
            <c:strRef>
              <c:f>'Res wo CL'!$C$51</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wo CL'!$D$51:$J$51</c:f>
              <c:numCache>
                <c:formatCode>#,##0</c:formatCode>
                <c:ptCount val="7"/>
                <c:pt idx="0">
                  <c:v>1810</c:v>
                </c:pt>
                <c:pt idx="6">
                  <c:v>1965</c:v>
                </c:pt>
              </c:numCache>
            </c:numRef>
          </c:val>
          <c:extLst>
            <c:ext xmlns:c16="http://schemas.microsoft.com/office/drawing/2014/chart" uri="{C3380CC4-5D6E-409C-BE32-E72D297353CC}">
              <c16:uniqueId val="{00000009-628D-4496-88F5-CD2DC0185002}"/>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8048"/>
        <c:crosses val="autoZero"/>
        <c:auto val="1"/>
        <c:lblAlgn val="ctr"/>
        <c:lblOffset val="100"/>
        <c:noMultiLvlLbl val="0"/>
      </c:catAx>
      <c:valAx>
        <c:axId val="616098048"/>
        <c:scaling>
          <c:orientation val="minMax"/>
          <c:max val="225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solidFill>
          <a:srgbClr val="F2F2F2"/>
        </a:solidFill>
        <a:ln>
          <a:noFill/>
        </a:ln>
        <a:effectLst/>
      </c:spPr>
    </c:plotArea>
    <c:legend>
      <c:legendPos val="r"/>
      <c:legendEntry>
        <c:idx val="0"/>
        <c:delete val="1"/>
      </c:legendEntry>
      <c:legendEntry>
        <c:idx val="6"/>
        <c:delete val="1"/>
      </c:legendEntry>
      <c:layout>
        <c:manualLayout>
          <c:xMode val="edge"/>
          <c:yMode val="edge"/>
          <c:x val="0.8236974538766596"/>
          <c:y val="0.39284761463640572"/>
          <c:w val="0.17435607410387571"/>
          <c:h val="0.379402501157943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CL'!$A$52</c:f>
          <c:strCache>
            <c:ptCount val="1"/>
            <c:pt idx="0">
              <c:v>Endeavour Residential with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'Res w CL'!$C$52</c:f>
              <c:strCache>
                <c:ptCount val="1"/>
                <c:pt idx="0">
                  <c:v>Base</c:v>
                </c:pt>
              </c:strCache>
            </c:strRef>
          </c:tx>
          <c:spPr>
            <a:noFill/>
            <a:ln>
              <a:noFill/>
            </a:ln>
            <a:effectLst/>
          </c:spPr>
          <c:invertIfNegative val="0"/>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CL'!$D$52:$J$52</c:f>
              <c:numCache>
                <c:formatCode>#,##0</c:formatCode>
                <c:ptCount val="7"/>
                <c:pt idx="0">
                  <c:v>0</c:v>
                </c:pt>
                <c:pt idx="1">
                  <c:v>2800.934566651672</c:v>
                </c:pt>
                <c:pt idx="2">
                  <c:v>2904.3441542516721</c:v>
                </c:pt>
                <c:pt idx="3">
                  <c:v>2980.5204508016423</c:v>
                </c:pt>
                <c:pt idx="4">
                  <c:v>2980.5204508016423</c:v>
                </c:pt>
                <c:pt idx="5">
                  <c:v>3055.8823381957454</c:v>
                </c:pt>
                <c:pt idx="6">
                  <c:v>0</c:v>
                </c:pt>
              </c:numCache>
            </c:numRef>
          </c:val>
          <c:extLst>
            <c:ext xmlns:c16="http://schemas.microsoft.com/office/drawing/2014/chart" uri="{C3380CC4-5D6E-409C-BE32-E72D297353CC}">
              <c16:uniqueId val="{00000000-6628-4284-834E-C4F8AA49D780}"/>
            </c:ext>
          </c:extLst>
        </c:ser>
        <c:ser>
          <c:idx val="1"/>
          <c:order val="1"/>
          <c:tx>
            <c:strRef>
              <c:f>'Res w CL'!$C$53</c:f>
              <c:strCache>
                <c:ptCount val="1"/>
                <c:pt idx="0">
                  <c:v>Network cost</c:v>
                </c:pt>
              </c:strCache>
            </c:strRef>
          </c:tx>
          <c:spPr>
            <a:solidFill>
              <a:srgbClr val="89B3CE"/>
            </a:solidFill>
            <a:ln>
              <a:noFill/>
            </a:ln>
            <a:effectLst/>
          </c:spPr>
          <c:invertIfNegative val="0"/>
          <c:dLbls>
            <c:dLbl>
              <c:idx val="1"/>
              <c:layout>
                <c:manualLayout>
                  <c:x val="0"/>
                  <c:y val="-3.3122908451643625E-2"/>
                </c:manualLayout>
              </c:layout>
              <c:tx>
                <c:strRef>
                  <c:f>'Res w CL'!$K$53</c:f>
                  <c:strCache>
                    <c:ptCount val="1"/>
                    <c:pt idx="0">
                      <c:v>+103.4</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{2C38227F-9DCC-4A83-8E32-5A461E8490F5}</c15:txfldGUID>
                      <c15:f>'Res w CL'!$K$53</c15:f>
                      <c15:dlblFieldTableCache>
                        <c:ptCount val="1"/>
                        <c:pt idx="0">
                          <c:v>+103.4</c:v>
                        </c:pt>
                      </c15:dlblFieldTableCache>
                    </c15:dlblFTEntry>
                  </c15:dlblFieldTable>
                  <c15:showDataLabelsRange val="0"/>
                </c:ext>
                <c:ext xmlns:c16="http://schemas.microsoft.com/office/drawing/2014/chart" uri="{C3380CC4-5D6E-409C-BE32-E72D297353CC}">
                  <c16:uniqueId val="{00000001-6628-4284-834E-C4F8AA49D7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CL'!$D$53:$J$53</c:f>
              <c:numCache>
                <c:formatCode>#,##0.0</c:formatCode>
                <c:ptCount val="7"/>
                <c:pt idx="0" formatCode="#,##0">
                  <c:v>934.1436698</c:v>
                </c:pt>
                <c:pt idx="1">
                  <c:v>103.4095875999999</c:v>
                </c:pt>
                <c:pt idx="6" formatCode="#,##0">
                  <c:v>1037.5532573999999</c:v>
                </c:pt>
              </c:numCache>
            </c:numRef>
          </c:val>
          <c:extLst>
            <c:ext xmlns:c16="http://schemas.microsoft.com/office/drawing/2014/chart" uri="{C3380CC4-5D6E-409C-BE32-E72D297353CC}">
              <c16:uniqueId val="{00000002-6628-4284-834E-C4F8AA49D780}"/>
            </c:ext>
          </c:extLst>
        </c:ser>
        <c:ser>
          <c:idx val="2"/>
          <c:order val="2"/>
          <c:tx>
            <c:strRef>
              <c:f>'Res w CL'!$C$54</c:f>
              <c:strCache>
                <c:ptCount val="1"/>
                <c:pt idx="0">
                  <c:v>Wholesale cost</c:v>
                </c:pt>
              </c:strCache>
            </c:strRef>
          </c:tx>
          <c:spPr>
            <a:solidFill>
              <a:srgbClr val="E06026"/>
            </a:solidFill>
            <a:ln>
              <a:noFill/>
            </a:ln>
            <a:effectLst/>
          </c:spPr>
          <c:invertIfNegative val="0"/>
          <c:dLbls>
            <c:dLbl>
              <c:idx val="2"/>
              <c:layout>
                <c:manualLayout>
                  <c:x val="1.8859028760018859E-3"/>
                  <c:y val="-4.6125675467037205E-2"/>
                </c:manualLayout>
              </c:layout>
              <c:tx>
                <c:strRef>
                  <c:f>'Res w CL'!$K$54</c:f>
                  <c:strCache>
                    <c:ptCount val="1"/>
                    <c:pt idx="0">
                      <c:v>+105.4</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{3088834D-197D-4DB5-B84E-44A02A2910C1}</c15:txfldGUID>
                      <c15:f>'Res w CL'!$K$54</c15:f>
                      <c15:dlblFieldTableCache>
                        <c:ptCount val="1"/>
                        <c:pt idx="0">
                          <c:v>+105.4</c:v>
                        </c:pt>
                      </c15:dlblFieldTableCache>
                    </c15:dlblFTEntry>
                  </c15:dlblFieldTable>
                  <c15:showDataLabelsRange val="0"/>
                </c:ext>
                <c:ext xmlns:c16="http://schemas.microsoft.com/office/drawing/2014/chart" uri="{C3380CC4-5D6E-409C-BE32-E72D297353CC}">
                  <c16:uniqueId val="{00000003-6628-4284-834E-C4F8AA49D7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CL'!$D$54:$J$54</c:f>
              <c:numCache>
                <c:formatCode>#,##0.0</c:formatCode>
                <c:ptCount val="7"/>
                <c:pt idx="0" formatCode="#,##0">
                  <c:v>1268.5376490285714</c:v>
                </c:pt>
                <c:pt idx="2">
                  <c:v>105.42679755155473</c:v>
                </c:pt>
                <c:pt idx="6" formatCode="#,##0">
                  <c:v>1373.9644465801262</c:v>
                </c:pt>
              </c:numCache>
            </c:numRef>
          </c:val>
          <c:extLst>
            <c:ext xmlns:c16="http://schemas.microsoft.com/office/drawing/2014/chart" uri="{C3380CC4-5D6E-409C-BE32-E72D297353CC}">
              <c16:uniqueId val="{00000004-6628-4284-834E-C4F8AA49D780}"/>
            </c:ext>
          </c:extLst>
        </c:ser>
        <c:ser>
          <c:idx val="3"/>
          <c:order val="3"/>
          <c:tx>
            <c:strRef>
              <c:f>'Res w CL'!$C$55</c:f>
              <c:strCache>
                <c:ptCount val="1"/>
                <c:pt idx="0">
                  <c:v>Environmental cost</c:v>
                </c:pt>
              </c:strCache>
            </c:strRef>
          </c:tx>
          <c:spPr>
            <a:solidFill>
              <a:srgbClr val="5F9E88"/>
            </a:solidFill>
            <a:ln>
              <a:noFill/>
            </a:ln>
            <a:effectLst/>
          </c:spPr>
          <c:invertIfNegative val="0"/>
          <c:dLbls>
            <c:dLbl>
              <c:idx val="3"/>
              <c:layout>
                <c:manualLayout>
                  <c:x val="0"/>
                  <c:y val="3.6390612938088658E-2"/>
                </c:manualLayout>
              </c:layout>
              <c:tx>
                <c:strRef>
                  <c:f>'Res w CL'!$K$55</c:f>
                  <c:strCache>
                    <c:ptCount val="1"/>
                    <c:pt idx="0">
                      <c:v>-29.3</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{D3CDDCF9-E787-456E-AEA4-E041EE25E60F}</c15:txfldGUID>
                      <c15:f>'Res w CL'!$K$55</c15:f>
                      <c15:dlblFieldTableCache>
                        <c:ptCount val="1"/>
                        <c:pt idx="0">
                          <c:v>-29.3</c:v>
                        </c:pt>
                      </c15:dlblFieldTableCache>
                    </c15:dlblFTEntry>
                  </c15:dlblFieldTable>
                  <c15:showDataLabelsRange val="0"/>
                </c:ext>
                <c:ext xmlns:c16="http://schemas.microsoft.com/office/drawing/2014/chart" uri="{C3380CC4-5D6E-409C-BE32-E72D297353CC}">
                  <c16:uniqueId val="{00000005-6628-4284-834E-C4F8AA49D7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CL'!$D$55:$J$55</c:f>
              <c:numCache>
                <c:formatCode>#,##0.0</c:formatCode>
                <c:ptCount val="7"/>
                <c:pt idx="0" formatCode="#,##0">
                  <c:v>161.2534</c:v>
                </c:pt>
                <c:pt idx="3">
                  <c:v>29.250501001584809</c:v>
                </c:pt>
                <c:pt idx="6" formatCode="#,##0">
                  <c:v>132.00289899841519</c:v>
                </c:pt>
              </c:numCache>
            </c:numRef>
          </c:val>
          <c:extLst>
            <c:ext xmlns:c16="http://schemas.microsoft.com/office/drawing/2014/chart" uri="{C3380CC4-5D6E-409C-BE32-E72D297353CC}">
              <c16:uniqueId val="{00000006-6628-4284-834E-C4F8AA49D780}"/>
            </c:ext>
          </c:extLst>
        </c:ser>
        <c:ser>
          <c:idx val="4"/>
          <c:order val="4"/>
          <c:tx>
            <c:strRef>
              <c:f>'Res w CL'!$C$56</c:f>
              <c:strCache>
                <c:ptCount val="1"/>
                <c:pt idx="0">
                  <c:v>Retail cost</c:v>
                </c:pt>
              </c:strCache>
            </c:strRef>
          </c:tx>
          <c:spPr>
            <a:solidFill>
              <a:srgbClr val="F0B9B3"/>
            </a:solidFill>
            <a:ln>
              <a:noFill/>
            </a:ln>
            <a:effectLst/>
          </c:spPr>
          <c:invertIfNegative val="0"/>
          <c:dLbls>
            <c:dLbl>
              <c:idx val="4"/>
              <c:layout>
                <c:manualLayout>
                  <c:x val="5.6577923189729765E-3"/>
                  <c:y val="-5.022249073702519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a:t>
                    </a:r>
                    <a:fld id="{A25632DF-ECF6-44F4-8582-31A7B3D1D20A}" type="VALUE">
                      <a:rPr lang="en-US">
                        <a:latin typeface="Arial" panose="020B0604020202020204" pitchFamily="34" charset="0"/>
                        <a:cs typeface="Arial" panose="020B0604020202020204" pitchFamily="34" charset="0"/>
                      </a:rPr>
                      <a:pPr>
                        <a:defRPr>
                          <a:latin typeface="Arial" panose="020B0604020202020204" pitchFamily="34" charset="0"/>
                          <a:cs typeface="Arial" panose="020B0604020202020204" pitchFamily="34" charset="0"/>
                        </a:defRPr>
                      </a:pPr>
                      <a:t>[VALUE]</a:t>
                    </a:fld>
                    <a:endParaRPr lang="en-US">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31811617607205E-2"/>
                      <c:h val="7.3255210745715615E-2"/>
                    </c:manualLayout>
                  </c15:layout>
                  <c15:dlblFieldTable/>
                  <c15:showDataLabelsRange val="0"/>
                </c:ext>
                <c:ext xmlns:c16="http://schemas.microsoft.com/office/drawing/2014/chart" uri="{C3380CC4-5D6E-409C-BE32-E72D297353CC}">
                  <c16:uniqueId val="{00000000-5106-454E-A323-BB6DA00CBB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CL'!$D$56:$J$56</c:f>
              <c:numCache>
                <c:formatCode>#,##0.0</c:formatCode>
                <c:ptCount val="7"/>
                <c:pt idx="0" formatCode="#,##0">
                  <c:v>268.94377382400006</c:v>
                </c:pt>
                <c:pt idx="4">
                  <c:v>75.361887394102951</c:v>
                </c:pt>
                <c:pt idx="6" formatCode="#,##0">
                  <c:v>344.30566121810301</c:v>
                </c:pt>
              </c:numCache>
            </c:numRef>
          </c:val>
          <c:extLst>
            <c:ext xmlns:c16="http://schemas.microsoft.com/office/drawing/2014/chart" uri="{C3380CC4-5D6E-409C-BE32-E72D297353CC}">
              <c16:uniqueId val="{00000007-6628-4284-834E-C4F8AA49D780}"/>
            </c:ext>
          </c:extLst>
        </c:ser>
        <c:ser>
          <c:idx val="5"/>
          <c:order val="5"/>
          <c:tx>
            <c:strRef>
              <c:f>'Res w CL'!$C$57</c:f>
              <c:strCache>
                <c:ptCount val="1"/>
                <c:pt idx="0">
                  <c:v>Retail margin</c:v>
                </c:pt>
              </c:strCache>
            </c:strRef>
          </c:tx>
          <c:spPr>
            <a:solidFill>
              <a:srgbClr val="303F51"/>
            </a:solidFill>
            <a:ln>
              <a:noFill/>
            </a:ln>
            <a:effectLst/>
          </c:spPr>
          <c:invertIfNegative val="0"/>
          <c:dLbls>
            <c:dLbl>
              <c:idx val="5"/>
              <c:layout>
                <c:manualLayout>
                  <c:x val="9.3805106044912701E-4"/>
                  <c:y val="-3.2035664659564617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a:t>
                    </a:r>
                    <a:fld id="{E6E6B733-E188-496A-98F4-7F13F7B73CDB}" type="VALUE">
                      <a:rPr lang="en-US">
                        <a:solidFill>
                          <a:sysClr val="windowText" lastClr="000000"/>
                        </a:solidFill>
                        <a:latin typeface="Arial" panose="020B0604020202020204" pitchFamily="34" charset="0"/>
                        <a:cs typeface="Arial" panose="020B0604020202020204" pitchFamily="34" charset="0"/>
                      </a:rPr>
                      <a:pPr>
                        <a:defRPr>
                          <a:solidFill>
                            <a:sysClr val="windowText" lastClr="000000"/>
                          </a:solidFill>
                          <a:latin typeface="Arial" panose="020B0604020202020204" pitchFamily="34" charset="0"/>
                          <a:cs typeface="Arial" panose="020B0604020202020204" pitchFamily="34" charset="0"/>
                        </a:defRPr>
                      </a:pPr>
                      <a:t>[VALUE]</a:t>
                    </a:fld>
                    <a:endParaRPr lang="en-US">
                      <a:solidFill>
                        <a:sysClr val="windowText" lastClr="000000"/>
                      </a:solidFill>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3850189515803638E-2"/>
                      <c:h val="6.5411936349265773E-2"/>
                    </c:manualLayout>
                  </c15:layout>
                  <c15:dlblFieldTable/>
                  <c15:showDataLabelsRange val="0"/>
                </c:ext>
                <c:ext xmlns:c16="http://schemas.microsoft.com/office/drawing/2014/chart" uri="{C3380CC4-5D6E-409C-BE32-E72D297353CC}">
                  <c16:uniqueId val="{00000001-5106-454E-A323-BB6DA00CBB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 w CL'!$D$57:$J$57</c:f>
              <c:numCache>
                <c:formatCode>#,##0.0</c:formatCode>
                <c:ptCount val="7"/>
                <c:pt idx="0" formatCode="#,##0">
                  <c:v>168.05607399910059</c:v>
                </c:pt>
                <c:pt idx="5">
                  <c:v>16.273262013451131</c:v>
                </c:pt>
                <c:pt idx="6" formatCode="#,##0">
                  <c:v>184.32933601255172</c:v>
                </c:pt>
              </c:numCache>
            </c:numRef>
          </c:val>
          <c:extLst>
            <c:ext xmlns:c16="http://schemas.microsoft.com/office/drawing/2014/chart" uri="{C3380CC4-5D6E-409C-BE32-E72D297353CC}">
              <c16:uniqueId val="{00000008-6628-4284-834E-C4F8AA49D780}"/>
            </c:ext>
          </c:extLst>
        </c:ser>
        <c:ser>
          <c:idx val="6"/>
          <c:order val="6"/>
          <c:tx>
            <c:strRef>
              <c:f>'Res w CL'!$C$58</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CL'!$D$58:$J$58</c:f>
              <c:numCache>
                <c:formatCode>#,##0</c:formatCode>
                <c:ptCount val="7"/>
                <c:pt idx="0">
                  <c:v>2801</c:v>
                </c:pt>
                <c:pt idx="6">
                  <c:v>3072</c:v>
                </c:pt>
              </c:numCache>
            </c:numRef>
          </c:val>
          <c:extLst>
            <c:ext xmlns:c16="http://schemas.microsoft.com/office/drawing/2014/chart" uri="{C3380CC4-5D6E-409C-BE32-E72D297353CC}">
              <c16:uniqueId val="{00000009-6628-4284-834E-C4F8AA49D780}"/>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8048"/>
        <c:crosses val="autoZero"/>
        <c:auto val="1"/>
        <c:lblAlgn val="ctr"/>
        <c:lblOffset val="100"/>
        <c:noMultiLvlLbl val="0"/>
      </c:catAx>
      <c:valAx>
        <c:axId val="616098048"/>
        <c:scaling>
          <c:orientation val="minMax"/>
          <c:max val="34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solidFill>
          <a:srgbClr val="F2F2F2"/>
        </a:solidFill>
        <a:ln>
          <a:noFill/>
        </a:ln>
        <a:effectLst/>
      </c:spPr>
    </c:plotArea>
    <c:legend>
      <c:legendPos val="r"/>
      <c:legendEntry>
        <c:idx val="0"/>
        <c:delete val="1"/>
      </c:legendEntry>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CL'!$A$59</c:f>
          <c:strCache>
            <c:ptCount val="1"/>
            <c:pt idx="0">
              <c:v>Essential Residential with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1379980563654033E-2"/>
          <c:y val="0.14156862745098039"/>
          <c:w val="0.79285630112562444"/>
          <c:h val="0.74478431372549014"/>
        </c:manualLayout>
      </c:layout>
      <c:barChart>
        <c:barDir val="col"/>
        <c:grouping val="stacked"/>
        <c:varyColors val="0"/>
        <c:ser>
          <c:idx val="0"/>
          <c:order val="0"/>
          <c:tx>
            <c:strRef>
              <c:f>'Res w CL'!$C$59</c:f>
              <c:strCache>
                <c:ptCount val="1"/>
                <c:pt idx="0">
                  <c:v>Base</c:v>
                </c:pt>
              </c:strCache>
            </c:strRef>
          </c:tx>
          <c:spPr>
            <a:noFill/>
            <a:ln>
              <a:noFill/>
            </a:ln>
            <a:effectLst/>
          </c:spPr>
          <c:invertIfNegative val="0"/>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CL'!$D$59:$J$59</c:f>
              <c:numCache>
                <c:formatCode>#,##0</c:formatCode>
                <c:ptCount val="7"/>
                <c:pt idx="0">
                  <c:v>0</c:v>
                </c:pt>
                <c:pt idx="1">
                  <c:v>2931.4555503568636</c:v>
                </c:pt>
                <c:pt idx="2">
                  <c:v>3038.3405184022804</c:v>
                </c:pt>
                <c:pt idx="3">
                  <c:v>3120.2086000702461</c:v>
                </c:pt>
                <c:pt idx="4">
                  <c:v>3120.2086000702461</c:v>
                </c:pt>
                <c:pt idx="5">
                  <c:v>3193.9422580573491</c:v>
                </c:pt>
                <c:pt idx="6">
                  <c:v>0</c:v>
                </c:pt>
              </c:numCache>
            </c:numRef>
          </c:val>
          <c:extLst>
            <c:ext xmlns:c16="http://schemas.microsoft.com/office/drawing/2014/chart" uri="{C3380CC4-5D6E-409C-BE32-E72D297353CC}">
              <c16:uniqueId val="{00000000-66A2-409C-86A8-43A940A9EE0D}"/>
            </c:ext>
          </c:extLst>
        </c:ser>
        <c:ser>
          <c:idx val="1"/>
          <c:order val="1"/>
          <c:tx>
            <c:strRef>
              <c:f>'Res w CL'!$C$60</c:f>
              <c:strCache>
                <c:ptCount val="1"/>
                <c:pt idx="0">
                  <c:v>Network cost</c:v>
                </c:pt>
              </c:strCache>
            </c:strRef>
          </c:tx>
          <c:spPr>
            <a:solidFill>
              <a:srgbClr val="89B3CE"/>
            </a:solidFill>
            <a:ln>
              <a:noFill/>
            </a:ln>
            <a:effectLst/>
          </c:spPr>
          <c:invertIfNegative val="0"/>
          <c:dLbls>
            <c:dLbl>
              <c:idx val="1"/>
              <c:layout>
                <c:manualLayout>
                  <c:x val="-5.7706174999958525E-3"/>
                  <c:y val="-5.6571449192895133E-2"/>
                </c:manualLayout>
              </c:layout>
              <c:tx>
                <c:strRef>
                  <c:f>'Res w CL'!$K$60</c:f>
                  <c:strCache>
                    <c:ptCount val="1"/>
                    <c:pt idx="0">
                      <c:v>+106.9</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{116955B6-742F-427B-B817-ACCE9F5C2276}</c15:txfldGUID>
                      <c15:f>'Res w CL'!$K$60</c15:f>
                      <c15:dlblFieldTableCache>
                        <c:ptCount val="1"/>
                        <c:pt idx="0">
                          <c:v>+106.9</c:v>
                        </c:pt>
                      </c15:dlblFieldTableCache>
                    </c15:dlblFTEntry>
                  </c15:dlblFieldTable>
                  <c15:showDataLabelsRange val="0"/>
                </c:ext>
                <c:ext xmlns:c16="http://schemas.microsoft.com/office/drawing/2014/chart" uri="{C3380CC4-5D6E-409C-BE32-E72D297353CC}">
                  <c16:uniqueId val="{00000001-66A2-409C-86A8-43A940A9EE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CL'!$D$60:$J$60</c:f>
              <c:numCache>
                <c:formatCode>#,##0.0</c:formatCode>
                <c:ptCount val="7"/>
                <c:pt idx="0" formatCode="#,##0">
                  <c:v>1276.3711230908807</c:v>
                </c:pt>
                <c:pt idx="1">
                  <c:v>106.88496804541705</c:v>
                </c:pt>
                <c:pt idx="6" formatCode="#,##0">
                  <c:v>1383.2560911362978</c:v>
                </c:pt>
              </c:numCache>
            </c:numRef>
          </c:val>
          <c:extLst>
            <c:ext xmlns:c16="http://schemas.microsoft.com/office/drawing/2014/chart" uri="{C3380CC4-5D6E-409C-BE32-E72D297353CC}">
              <c16:uniqueId val="{00000002-66A2-409C-86A8-43A940A9EE0D}"/>
            </c:ext>
          </c:extLst>
        </c:ser>
        <c:ser>
          <c:idx val="2"/>
          <c:order val="2"/>
          <c:tx>
            <c:strRef>
              <c:f>'Res w CL'!$C$61</c:f>
              <c:strCache>
                <c:ptCount val="1"/>
                <c:pt idx="0">
                  <c:v>Wholesale cost</c:v>
                </c:pt>
              </c:strCache>
            </c:strRef>
          </c:tx>
          <c:spPr>
            <a:solidFill>
              <a:srgbClr val="E06026"/>
            </a:solidFill>
            <a:ln>
              <a:noFill/>
            </a:ln>
            <a:effectLst/>
          </c:spPr>
          <c:invertIfNegative val="0"/>
          <c:dLbls>
            <c:dLbl>
              <c:idx val="2"/>
              <c:layout>
                <c:manualLayout>
                  <c:x val="-3.6813497083431306E-17"/>
                  <c:y val="-3.8046008954763025E-2"/>
                </c:manualLayout>
              </c:layout>
              <c:tx>
                <c:strRef>
                  <c:f>'Res w CL'!$K$61</c:f>
                  <c:strCache>
                    <c:ptCount val="1"/>
                    <c:pt idx="0">
                      <c:v>+107.2</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{FC0A1D71-5F5F-4152-A34E-99CF38A13143}</c15:txfldGUID>
                      <c15:f>'Res w CL'!$K$61</c15:f>
                      <c15:dlblFieldTableCache>
                        <c:ptCount val="1"/>
                        <c:pt idx="0">
                          <c:v>+107.2</c:v>
                        </c:pt>
                      </c15:dlblFieldTableCache>
                    </c15:dlblFTEntry>
                  </c15:dlblFieldTable>
                  <c15:showDataLabelsRange val="0"/>
                </c:ext>
                <c:ext xmlns:c16="http://schemas.microsoft.com/office/drawing/2014/chart" uri="{C3380CC4-5D6E-409C-BE32-E72D297353CC}">
                  <c16:uniqueId val="{00000003-66A2-409C-86A8-43A940A9EE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CL'!$D$61:$J$61</c:f>
              <c:numCache>
                <c:formatCode>#,##0.0</c:formatCode>
                <c:ptCount val="7"/>
                <c:pt idx="0" formatCode="#,##0">
                  <c:v>1068.7608498285715</c:v>
                </c:pt>
                <c:pt idx="2">
                  <c:v>107.24937659272268</c:v>
                </c:pt>
                <c:pt idx="6" formatCode="#,##0">
                  <c:v>1176.0102264212942</c:v>
                </c:pt>
              </c:numCache>
            </c:numRef>
          </c:val>
          <c:extLst>
            <c:ext xmlns:c16="http://schemas.microsoft.com/office/drawing/2014/chart" uri="{C3380CC4-5D6E-409C-BE32-E72D297353CC}">
              <c16:uniqueId val="{00000004-66A2-409C-86A8-43A940A9EE0D}"/>
            </c:ext>
          </c:extLst>
        </c:ser>
        <c:ser>
          <c:idx val="3"/>
          <c:order val="3"/>
          <c:tx>
            <c:strRef>
              <c:f>'Res w CL'!$C$62</c:f>
              <c:strCache>
                <c:ptCount val="1"/>
                <c:pt idx="0">
                  <c:v>Environmental cost</c:v>
                </c:pt>
              </c:strCache>
            </c:strRef>
          </c:tx>
          <c:spPr>
            <a:solidFill>
              <a:srgbClr val="5F9E88"/>
            </a:solidFill>
            <a:ln>
              <a:noFill/>
            </a:ln>
            <a:effectLst/>
          </c:spPr>
          <c:invertIfNegative val="0"/>
          <c:dLbls>
            <c:dLbl>
              <c:idx val="3"/>
              <c:layout>
                <c:manualLayout>
                  <c:x val="0"/>
                  <c:y val="3.2239308321753896E-2"/>
                </c:manualLayout>
              </c:layout>
              <c:tx>
                <c:strRef>
                  <c:f>'Res w CL'!$K$62</c:f>
                  <c:strCache>
                    <c:ptCount val="1"/>
                    <c:pt idx="0">
                      <c:v>-25.4</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{09962422-FED3-4A21-9A06-4D3062B17735}</c15:txfldGUID>
                      <c15:f>'Res w CL'!$K$62</c15:f>
                      <c15:dlblFieldTableCache>
                        <c:ptCount val="1"/>
                        <c:pt idx="0">
                          <c:v>-25.4</c:v>
                        </c:pt>
                      </c15:dlblFieldTableCache>
                    </c15:dlblFTEntry>
                  </c15:dlblFieldTable>
                  <c15:showDataLabelsRange val="0"/>
                </c:ext>
                <c:ext xmlns:c16="http://schemas.microsoft.com/office/drawing/2014/chart" uri="{C3380CC4-5D6E-409C-BE32-E72D297353CC}">
                  <c16:uniqueId val="{00000005-66A2-409C-86A8-43A940A9EE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CL'!$D$62:$J$62</c:f>
              <c:numCache>
                <c:formatCode>#,##0.0</c:formatCode>
                <c:ptCount val="7"/>
                <c:pt idx="0" formatCode="#,##0">
                  <c:v>140.4084</c:v>
                </c:pt>
                <c:pt idx="3">
                  <c:v>25.381294924757171</c:v>
                </c:pt>
                <c:pt idx="6" formatCode="#,##0">
                  <c:v>115.02710507524283</c:v>
                </c:pt>
              </c:numCache>
            </c:numRef>
          </c:val>
          <c:extLst>
            <c:ext xmlns:c16="http://schemas.microsoft.com/office/drawing/2014/chart" uri="{C3380CC4-5D6E-409C-BE32-E72D297353CC}">
              <c16:uniqueId val="{00000006-66A2-409C-86A8-43A940A9EE0D}"/>
            </c:ext>
          </c:extLst>
        </c:ser>
        <c:ser>
          <c:idx val="4"/>
          <c:order val="4"/>
          <c:tx>
            <c:strRef>
              <c:f>'Res w CL'!$C$63</c:f>
              <c:strCache>
                <c:ptCount val="1"/>
                <c:pt idx="0">
                  <c:v>Retail cost</c:v>
                </c:pt>
              </c:strCache>
            </c:strRef>
          </c:tx>
          <c:spPr>
            <a:solidFill>
              <a:srgbClr val="F0B9B3"/>
            </a:solidFill>
            <a:ln>
              <a:noFill/>
            </a:ln>
            <a:effectLst/>
          </c:spPr>
          <c:invertIfNegative val="0"/>
          <c:dLbls>
            <c:dLbl>
              <c:idx val="4"/>
              <c:layout>
                <c:manualLayout>
                  <c:x val="-7.5753868479718541E-8"/>
                  <c:y val="-4.6054793073911415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a:t>
                    </a:r>
                    <a:fld id="{D13C3482-FD47-4C96-A019-EDA041DDA06E}" type="VALUE">
                      <a:rPr lang="en-US">
                        <a:latin typeface="Arial" panose="020B0604020202020204" pitchFamily="34" charset="0"/>
                        <a:cs typeface="Arial" panose="020B0604020202020204" pitchFamily="34" charset="0"/>
                      </a:rPr>
                      <a:pPr>
                        <a:defRPr>
                          <a:latin typeface="Arial" panose="020B0604020202020204" pitchFamily="34" charset="0"/>
                          <a:cs typeface="Arial" panose="020B0604020202020204" pitchFamily="34" charset="0"/>
                        </a:defRPr>
                      </a:pPr>
                      <a:t>[VALUE]</a:t>
                    </a:fld>
                    <a:endParaRPr lang="en-US">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6532816108292527E-2"/>
                      <c:h val="7.359608089028026E-2"/>
                    </c:manualLayout>
                  </c15:layout>
                  <c15:dlblFieldTable/>
                  <c15:showDataLabelsRange val="0"/>
                </c:ext>
                <c:ext xmlns:c16="http://schemas.microsoft.com/office/drawing/2014/chart" uri="{C3380CC4-5D6E-409C-BE32-E72D297353CC}">
                  <c16:uniqueId val="{00000000-AB0F-46E3-8F55-B0E67223A6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CL'!$D$63:$J$63</c:f>
              <c:numCache>
                <c:formatCode>#,##0.0</c:formatCode>
                <c:ptCount val="7"/>
                <c:pt idx="0" formatCode="#,##0">
                  <c:v>270.02784441600005</c:v>
                </c:pt>
                <c:pt idx="4">
                  <c:v>73.733657987102845</c:v>
                </c:pt>
                <c:pt idx="6" formatCode="#,##0">
                  <c:v>343.7615024031029</c:v>
                </c:pt>
              </c:numCache>
            </c:numRef>
          </c:val>
          <c:extLst>
            <c:ext xmlns:c16="http://schemas.microsoft.com/office/drawing/2014/chart" uri="{C3380CC4-5D6E-409C-BE32-E72D297353CC}">
              <c16:uniqueId val="{00000007-66A2-409C-86A8-43A940A9EE0D}"/>
            </c:ext>
          </c:extLst>
        </c:ser>
        <c:ser>
          <c:idx val="5"/>
          <c:order val="5"/>
          <c:tx>
            <c:strRef>
              <c:f>'Res w CL'!$C$64</c:f>
              <c:strCache>
                <c:ptCount val="1"/>
                <c:pt idx="0">
                  <c:v>Retail margin</c:v>
                </c:pt>
              </c:strCache>
            </c:strRef>
          </c:tx>
          <c:spPr>
            <a:solidFill>
              <a:srgbClr val="303F51"/>
            </a:solidFill>
            <a:ln>
              <a:noFill/>
            </a:ln>
            <a:effectLst/>
          </c:spPr>
          <c:invertIfNegative val="0"/>
          <c:dLbls>
            <c:dLbl>
              <c:idx val="5"/>
              <c:layout>
                <c:manualLayout>
                  <c:x val="-7.3626994166862611E-17"/>
                  <c:y val="-2.0441253666821077E-2"/>
                </c:manualLayout>
              </c:layout>
              <c:tx>
                <c:rich>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a:t>
                    </a:r>
                    <a:fld id="{8F441B25-6FE8-4945-ACCC-35EFAB513B24}" type="VALUE">
                      <a:rPr lang="en-US">
                        <a:solidFill>
                          <a:sysClr val="windowText" lastClr="000000"/>
                        </a:solidFill>
                        <a:latin typeface="Arial" panose="020B0604020202020204" pitchFamily="34" charset="0"/>
                        <a:cs typeface="Arial" panose="020B0604020202020204" pitchFamily="34" charset="0"/>
                      </a:rPr>
                      <a:pPr>
                        <a:defRPr>
                          <a:solidFill>
                            <a:sysClr val="windowText" lastClr="000000"/>
                          </a:solidFill>
                          <a:latin typeface="Arial" panose="020B0604020202020204" pitchFamily="34" charset="0"/>
                          <a:cs typeface="Arial" panose="020B0604020202020204" pitchFamily="34" charset="0"/>
                        </a:defRPr>
                      </a:pPr>
                      <a:t>[VALUE]</a:t>
                    </a:fld>
                    <a:endParaRPr lang="en-US">
                      <a:solidFill>
                        <a:sysClr val="windowText" lastClr="000000"/>
                      </a:solidFill>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1457076374955642E-2"/>
                      <c:h val="5.7227791808251285E-2"/>
                    </c:manualLayout>
                  </c15:layout>
                  <c15:dlblFieldTable/>
                  <c15:showDataLabelsRange val="0"/>
                </c:ext>
                <c:ext xmlns:c16="http://schemas.microsoft.com/office/drawing/2014/chart" uri="{C3380CC4-5D6E-409C-BE32-E72D297353CC}">
                  <c16:uniqueId val="{00000001-AB0F-46E3-8F55-B0E67223A6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 w CL'!$D$64:$J$64</c:f>
              <c:numCache>
                <c:formatCode>#,##0.0</c:formatCode>
                <c:ptCount val="7"/>
                <c:pt idx="0" formatCode="#,##0">
                  <c:v>175.88733302141191</c:v>
                </c:pt>
                <c:pt idx="5">
                  <c:v>16.754470704286177</c:v>
                </c:pt>
                <c:pt idx="6" formatCode="#,##0">
                  <c:v>192.64180372569808</c:v>
                </c:pt>
              </c:numCache>
            </c:numRef>
          </c:val>
          <c:extLst>
            <c:ext xmlns:c16="http://schemas.microsoft.com/office/drawing/2014/chart" uri="{C3380CC4-5D6E-409C-BE32-E72D297353CC}">
              <c16:uniqueId val="{00000008-66A2-409C-86A8-43A940A9EE0D}"/>
            </c:ext>
          </c:extLst>
        </c:ser>
        <c:ser>
          <c:idx val="6"/>
          <c:order val="6"/>
          <c:tx>
            <c:strRef>
              <c:f>'Res w CL'!$C$65</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CL'!$D$65:$J$65</c:f>
              <c:numCache>
                <c:formatCode>#,##0</c:formatCode>
                <c:ptCount val="7"/>
                <c:pt idx="0">
                  <c:v>2931</c:v>
                </c:pt>
                <c:pt idx="6">
                  <c:v>3211</c:v>
                </c:pt>
              </c:numCache>
            </c:numRef>
          </c:val>
          <c:extLst>
            <c:ext xmlns:c16="http://schemas.microsoft.com/office/drawing/2014/chart" uri="{C3380CC4-5D6E-409C-BE32-E72D297353CC}">
              <c16:uniqueId val="{00000009-66A2-409C-86A8-43A940A9EE0D}"/>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8048"/>
        <c:crosses val="autoZero"/>
        <c:auto val="1"/>
        <c:lblAlgn val="ctr"/>
        <c:lblOffset val="100"/>
        <c:noMultiLvlLbl val="0"/>
      </c:catAx>
      <c:valAx>
        <c:axId val="616098048"/>
        <c:scaling>
          <c:orientation val="minMax"/>
          <c:max val="37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solidFill>
          <a:srgbClr val="F2F2F2"/>
        </a:solidFill>
        <a:ln>
          <a:noFill/>
        </a:ln>
        <a:effectLst/>
      </c:spPr>
    </c:plotArea>
    <c:legend>
      <c:legendPos val="r"/>
      <c:legendEntry>
        <c:idx val="0"/>
        <c:delete val="1"/>
      </c:legendEntry>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CL'!$A$66</c:f>
          <c:strCache>
            <c:ptCount val="1"/>
            <c:pt idx="0">
              <c:v>Energex Residential with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'Res w CL'!$C$66</c:f>
              <c:strCache>
                <c:ptCount val="1"/>
                <c:pt idx="0">
                  <c:v>Base</c:v>
                </c:pt>
              </c:strCache>
            </c:strRef>
          </c:tx>
          <c:spPr>
            <a:noFill/>
            <a:ln>
              <a:noFill/>
            </a:ln>
            <a:effectLst/>
          </c:spPr>
          <c:invertIfNegative val="0"/>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CL'!$D$66:$J$66</c:f>
              <c:numCache>
                <c:formatCode>#,##0</c:formatCode>
                <c:ptCount val="7"/>
                <c:pt idx="0">
                  <c:v>0</c:v>
                </c:pt>
                <c:pt idx="1">
                  <c:v>2354.7266987558128</c:v>
                </c:pt>
                <c:pt idx="2">
                  <c:v>2354.7266987558128</c:v>
                </c:pt>
                <c:pt idx="3">
                  <c:v>2338.3470285637291</c:v>
                </c:pt>
                <c:pt idx="4">
                  <c:v>2338.3470285637291</c:v>
                </c:pt>
                <c:pt idx="5">
                  <c:v>2424.0956948361413</c:v>
                </c:pt>
                <c:pt idx="6">
                  <c:v>0</c:v>
                </c:pt>
              </c:numCache>
            </c:numRef>
          </c:val>
          <c:extLst>
            <c:ext xmlns:c16="http://schemas.microsoft.com/office/drawing/2014/chart" uri="{C3380CC4-5D6E-409C-BE32-E72D297353CC}">
              <c16:uniqueId val="{00000000-097B-42AF-94B3-E64EDD081EEC}"/>
            </c:ext>
          </c:extLst>
        </c:ser>
        <c:ser>
          <c:idx val="1"/>
          <c:order val="1"/>
          <c:tx>
            <c:strRef>
              <c:f>'Res w CL'!$C$67</c:f>
              <c:strCache>
                <c:ptCount val="1"/>
                <c:pt idx="0">
                  <c:v>Network cost</c:v>
                </c:pt>
              </c:strCache>
            </c:strRef>
          </c:tx>
          <c:spPr>
            <a:solidFill>
              <a:srgbClr val="89B3CE"/>
            </a:solidFill>
            <a:ln>
              <a:noFill/>
            </a:ln>
            <a:effectLst/>
          </c:spPr>
          <c:invertIfNegative val="0"/>
          <c:dLbls>
            <c:dLbl>
              <c:idx val="1"/>
              <c:layout>
                <c:manualLayout>
                  <c:x val="1.6954539469012395E-3"/>
                  <c:y val="3.5242859348463794E-2"/>
                </c:manualLayout>
              </c:layout>
              <c:tx>
                <c:strRef>
                  <c:f>'Res w CL'!$K$67</c:f>
                  <c:strCache>
                    <c:ptCount val="1"/>
                    <c:pt idx="0">
                      <c:v>-59.2</c:v>
                    </c:pt>
                  </c:strCache>
                </c:strRef>
              </c:tx>
              <c:dLblPos val="ctr"/>
              <c:showLegendKey val="0"/>
              <c:showVal val="1"/>
              <c:showCatName val="0"/>
              <c:showSerName val="0"/>
              <c:showPercent val="0"/>
              <c:showBubbleSize val="0"/>
              <c:extLst>
                <c:ext xmlns:c15="http://schemas.microsoft.com/office/drawing/2012/chart" uri="{CE6537A1-D6FC-4f65-9D91-7224C49458BB}">
                  <c15:layout>
                    <c:manualLayout>
                      <c:w val="6.5157680569684628E-2"/>
                      <c:h val="5.7227791808251285E-2"/>
                    </c:manualLayout>
                  </c15:layout>
                  <c15:dlblFieldTable>
                    <c15:dlblFTEntry>
                      <c15:txfldGUID>{C9E1C8C8-A1E2-4A36-A3BA-FC4B768AE9B9}</c15:txfldGUID>
                      <c15:f>'Res w CL'!$K$67</c15:f>
                      <c15:dlblFieldTableCache>
                        <c:ptCount val="1"/>
                        <c:pt idx="0">
                          <c:v>-59.2</c:v>
                        </c:pt>
                      </c15:dlblFieldTableCache>
                    </c15:dlblFTEntry>
                  </c15:dlblFieldTable>
                  <c15:showDataLabelsRange val="0"/>
                </c:ext>
                <c:ext xmlns:c16="http://schemas.microsoft.com/office/drawing/2014/chart" uri="{C3380CC4-5D6E-409C-BE32-E72D297353CC}">
                  <c16:uniqueId val="{00000001-097B-42AF-94B3-E64EDD081E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CL'!$D$67:$J$67</c:f>
              <c:numCache>
                <c:formatCode>#,##0.0</c:formatCode>
                <c:ptCount val="7"/>
                <c:pt idx="0" formatCode="#,##0">
                  <c:v>870.27213900000015</c:v>
                </c:pt>
                <c:pt idx="1">
                  <c:v>59.192301993731803</c:v>
                </c:pt>
                <c:pt idx="6" formatCode="#,##0">
                  <c:v>811.07983700626835</c:v>
                </c:pt>
              </c:numCache>
            </c:numRef>
          </c:val>
          <c:extLst>
            <c:ext xmlns:c16="http://schemas.microsoft.com/office/drawing/2014/chart" uri="{C3380CC4-5D6E-409C-BE32-E72D297353CC}">
              <c16:uniqueId val="{00000002-097B-42AF-94B3-E64EDD081EEC}"/>
            </c:ext>
          </c:extLst>
        </c:ser>
        <c:ser>
          <c:idx val="2"/>
          <c:order val="2"/>
          <c:tx>
            <c:strRef>
              <c:f>'Res w CL'!$C$68</c:f>
              <c:strCache>
                <c:ptCount val="1"/>
                <c:pt idx="0">
                  <c:v>Wholesale cost</c:v>
                </c:pt>
              </c:strCache>
            </c:strRef>
          </c:tx>
          <c:spPr>
            <a:solidFill>
              <a:srgbClr val="E06026"/>
            </a:solidFill>
            <a:ln>
              <a:noFill/>
            </a:ln>
            <a:effectLst/>
          </c:spPr>
          <c:invertIfNegative val="0"/>
          <c:dLbls>
            <c:dLbl>
              <c:idx val="2"/>
              <c:layout>
                <c:manualLayout>
                  <c:x val="1.7511601435951317E-3"/>
                  <c:y val="-3.7290412227883277E-2"/>
                </c:manualLayout>
              </c:layout>
              <c:tx>
                <c:strRef>
                  <c:f>'Res w CL'!$K$68</c:f>
                  <c:strCache>
                    <c:ptCount val="1"/>
                    <c:pt idx="0">
                      <c:v>+15.6</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{67180B15-A6C2-4842-BC3A-927DD61FBE8B}</c15:txfldGUID>
                      <c15:f>'Res w CL'!$K$68</c15:f>
                      <c15:dlblFieldTableCache>
                        <c:ptCount val="1"/>
                        <c:pt idx="0">
                          <c:v>+15.6</c:v>
                        </c:pt>
                      </c15:dlblFieldTableCache>
                    </c15:dlblFTEntry>
                  </c15:dlblFieldTable>
                  <c15:showDataLabelsRange val="0"/>
                </c:ext>
                <c:ext xmlns:c16="http://schemas.microsoft.com/office/drawing/2014/chart" uri="{C3380CC4-5D6E-409C-BE32-E72D297353CC}">
                  <c16:uniqueId val="{00000003-097B-42AF-94B3-E64EDD081E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CL'!$D$68:$J$68</c:f>
              <c:numCache>
                <c:formatCode>#,##0.0</c:formatCode>
                <c:ptCount val="7"/>
                <c:pt idx="0" formatCode="#,##0">
                  <c:v>1041.8040771285714</c:v>
                </c:pt>
                <c:pt idx="2">
                  <c:v>15.581300342675831</c:v>
                </c:pt>
                <c:pt idx="6" formatCode="#,##0">
                  <c:v>1057.3853774712472</c:v>
                </c:pt>
              </c:numCache>
            </c:numRef>
          </c:val>
          <c:extLst>
            <c:ext xmlns:c16="http://schemas.microsoft.com/office/drawing/2014/chart" uri="{C3380CC4-5D6E-409C-BE32-E72D297353CC}">
              <c16:uniqueId val="{00000004-097B-42AF-94B3-E64EDD081EEC}"/>
            </c:ext>
          </c:extLst>
        </c:ser>
        <c:ser>
          <c:idx val="3"/>
          <c:order val="3"/>
          <c:tx>
            <c:strRef>
              <c:f>'Res w CL'!$C$69</c:f>
              <c:strCache>
                <c:ptCount val="1"/>
                <c:pt idx="0">
                  <c:v>Environmental cost</c:v>
                </c:pt>
              </c:strCache>
            </c:strRef>
          </c:tx>
          <c:spPr>
            <a:solidFill>
              <a:srgbClr val="5F9E88"/>
            </a:solidFill>
            <a:ln>
              <a:noFill/>
            </a:ln>
            <a:effectLst/>
          </c:spPr>
          <c:invertIfNegative val="0"/>
          <c:dLbls>
            <c:dLbl>
              <c:idx val="3"/>
              <c:layout>
                <c:manualLayout>
                  <c:x val="1.5746652629808192E-4"/>
                  <c:y val="3.6241778601204228E-2"/>
                </c:manualLayout>
              </c:layout>
              <c:tx>
                <c:strRef>
                  <c:f>'Res w CL'!$K$69</c:f>
                  <c:strCache>
                    <c:ptCount val="1"/>
                    <c:pt idx="0">
                      <c:v>-32.0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{6AD252FF-9686-4EFA-A817-BCE44D55419A}</c15:txfldGUID>
                      <c15:f>'Res w CL'!$K$69</c15:f>
                      <c15:dlblFieldTableCache>
                        <c:ptCount val="1"/>
                        <c:pt idx="0">
                          <c:v>-32.0</c:v>
                        </c:pt>
                      </c15:dlblFieldTableCache>
                    </c15:dlblFTEntry>
                  </c15:dlblFieldTable>
                  <c15:showDataLabelsRange val="0"/>
                </c:ext>
                <c:ext xmlns:c16="http://schemas.microsoft.com/office/drawing/2014/chart" uri="{C3380CC4-5D6E-409C-BE32-E72D297353CC}">
                  <c16:uniqueId val="{00000005-097B-42AF-94B3-E64EDD081E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CL'!$D$69:$J$69</c:f>
              <c:numCache>
                <c:formatCode>#,##0.0</c:formatCode>
                <c:ptCount val="7"/>
                <c:pt idx="0" formatCode="#,##0">
                  <c:v>114.55289999999999</c:v>
                </c:pt>
                <c:pt idx="3">
                  <c:v>31.960970534759767</c:v>
                </c:pt>
                <c:pt idx="6" formatCode="#,##0">
                  <c:v>82.591929465240227</c:v>
                </c:pt>
              </c:numCache>
            </c:numRef>
          </c:val>
          <c:extLst>
            <c:ext xmlns:c16="http://schemas.microsoft.com/office/drawing/2014/chart" uri="{C3380CC4-5D6E-409C-BE32-E72D297353CC}">
              <c16:uniqueId val="{00000006-097B-42AF-94B3-E64EDD081EEC}"/>
            </c:ext>
          </c:extLst>
        </c:ser>
        <c:ser>
          <c:idx val="4"/>
          <c:order val="4"/>
          <c:tx>
            <c:strRef>
              <c:f>'Res w CL'!$C$70</c:f>
              <c:strCache>
                <c:ptCount val="1"/>
                <c:pt idx="0">
                  <c:v>Retail cost</c:v>
                </c:pt>
              </c:strCache>
            </c:strRef>
          </c:tx>
          <c:spPr>
            <a:solidFill>
              <a:srgbClr val="F0B9B3"/>
            </a:solidFill>
            <a:ln>
              <a:noFill/>
            </a:ln>
            <a:effectLst/>
          </c:spPr>
          <c:invertIfNegative val="0"/>
          <c:dLbls>
            <c:dLbl>
              <c:idx val="4"/>
              <c:layout>
                <c:manualLayout>
                  <c:x val="2.566270971772336E-3"/>
                  <c:y val="-3.963230100653412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a:t>
                    </a:r>
                    <a:fld id="{0DA39B28-E2C4-4654-A670-92E7EBEA0C80}" type="VALUE">
                      <a:rPr lang="en-US">
                        <a:latin typeface="Arial" panose="020B0604020202020204" pitchFamily="34" charset="0"/>
                        <a:cs typeface="Arial" panose="020B0604020202020204" pitchFamily="34" charset="0"/>
                      </a:rPr>
                      <a:pPr>
                        <a:defRPr>
                          <a:latin typeface="Arial" panose="020B0604020202020204" pitchFamily="34" charset="0"/>
                          <a:cs typeface="Arial" panose="020B0604020202020204" pitchFamily="34" charset="0"/>
                        </a:defRPr>
                      </a:pPr>
                      <a:t>[VALUE]</a:t>
                    </a:fld>
                    <a:endParaRPr lang="en-US">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916920990166158E-2"/>
                      <c:h val="5.3135719537744049E-2"/>
                    </c:manualLayout>
                  </c15:layout>
                  <c15:dlblFieldTable/>
                  <c15:showDataLabelsRange val="0"/>
                </c:ext>
                <c:ext xmlns:c16="http://schemas.microsoft.com/office/drawing/2014/chart" uri="{C3380CC4-5D6E-409C-BE32-E72D297353CC}">
                  <c16:uniqueId val="{00000000-25BC-4C38-ACD5-82DD408A86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CL'!$D$70:$J$70</c:f>
              <c:numCache>
                <c:formatCode>#,##0.0</c:formatCode>
                <c:ptCount val="7"/>
                <c:pt idx="0" formatCode="#,##0">
                  <c:v>242.45474457600002</c:v>
                </c:pt>
                <c:pt idx="4">
                  <c:v>85.748666272412351</c:v>
                </c:pt>
                <c:pt idx="6" formatCode="#,##0">
                  <c:v>328.20341084841237</c:v>
                </c:pt>
              </c:numCache>
            </c:numRef>
          </c:val>
          <c:extLst>
            <c:ext xmlns:c16="http://schemas.microsoft.com/office/drawing/2014/chart" uri="{C3380CC4-5D6E-409C-BE32-E72D297353CC}">
              <c16:uniqueId val="{00000007-097B-42AF-94B3-E64EDD081EEC}"/>
            </c:ext>
          </c:extLst>
        </c:ser>
        <c:ser>
          <c:idx val="5"/>
          <c:order val="5"/>
          <c:tx>
            <c:strRef>
              <c:f>'Res w CL'!$C$71</c:f>
              <c:strCache>
                <c:ptCount val="1"/>
                <c:pt idx="0">
                  <c:v>Retail margin</c:v>
                </c:pt>
              </c:strCache>
            </c:strRef>
          </c:tx>
          <c:spPr>
            <a:solidFill>
              <a:srgbClr val="303F51"/>
            </a:solidFill>
            <a:ln>
              <a:noFill/>
            </a:ln>
            <a:effectLst/>
          </c:spPr>
          <c:invertIfNegative val="0"/>
          <c:dLbls>
            <c:dLbl>
              <c:idx val="5"/>
              <c:layout>
                <c:manualLayout>
                  <c:x val="1.9779146991967507E-3"/>
                  <c:y val="-3.4081519221861992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a:t>
                    </a:r>
                    <a:fld id="{26F0BA57-08F2-4FFE-B987-D475B9054527}" type="VALUE">
                      <a:rPr lang="en-US">
                        <a:solidFill>
                          <a:sysClr val="windowText" lastClr="000000"/>
                        </a:solidFill>
                        <a:latin typeface="Arial" panose="020B0604020202020204" pitchFamily="34" charset="0"/>
                        <a:cs typeface="Arial" panose="020B0604020202020204" pitchFamily="34" charset="0"/>
                      </a:rPr>
                      <a:pPr>
                        <a:defRPr>
                          <a:solidFill>
                            <a:sysClr val="windowText" lastClr="000000"/>
                          </a:solidFill>
                          <a:latin typeface="Arial" panose="020B0604020202020204" pitchFamily="34" charset="0"/>
                          <a:cs typeface="Arial" panose="020B0604020202020204" pitchFamily="34" charset="0"/>
                        </a:defRPr>
                      </a:pPr>
                      <a:t>[VALUE]</a:t>
                    </a:fld>
                    <a:endParaRPr lang="en-US">
                      <a:solidFill>
                        <a:sysClr val="windowText" lastClr="000000"/>
                      </a:solidFill>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17090539165819E-2"/>
                      <c:h val="6.1319864078758536E-2"/>
                    </c:manualLayout>
                  </c15:layout>
                  <c15:dlblFieldTable/>
                  <c15:showDataLabelsRange val="0"/>
                </c:ext>
                <c:ext xmlns:c16="http://schemas.microsoft.com/office/drawing/2014/chart" uri="{C3380CC4-5D6E-409C-BE32-E72D297353CC}">
                  <c16:uniqueId val="{00000001-25BC-4C38-ACD5-82DD408A86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 w CL'!$D$71:$J$71</c:f>
              <c:numCache>
                <c:formatCode>#,##0.0</c:formatCode>
                <c:ptCount val="7"/>
                <c:pt idx="0" formatCode="#,##0">
                  <c:v>144.83514004497283</c:v>
                </c:pt>
                <c:pt idx="5">
                  <c:v>0.64957621829353229</c:v>
                </c:pt>
                <c:pt idx="6" formatCode="#,##0">
                  <c:v>145.48471626326636</c:v>
                </c:pt>
              </c:numCache>
            </c:numRef>
          </c:val>
          <c:extLst>
            <c:ext xmlns:c16="http://schemas.microsoft.com/office/drawing/2014/chart" uri="{C3380CC4-5D6E-409C-BE32-E72D297353CC}">
              <c16:uniqueId val="{00000008-097B-42AF-94B3-E64EDD081EEC}"/>
            </c:ext>
          </c:extLst>
        </c:ser>
        <c:ser>
          <c:idx val="6"/>
          <c:order val="6"/>
          <c:tx>
            <c:strRef>
              <c:f>'Res w CL'!$C$72</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CL'!$D$72:$J$72</c:f>
              <c:numCache>
                <c:formatCode>#,##0</c:formatCode>
                <c:ptCount val="7"/>
                <c:pt idx="0">
                  <c:v>2414</c:v>
                </c:pt>
                <c:pt idx="6">
                  <c:v>2425</c:v>
                </c:pt>
              </c:numCache>
            </c:numRef>
          </c:val>
          <c:extLst>
            <c:ext xmlns:c16="http://schemas.microsoft.com/office/drawing/2014/chart" uri="{C3380CC4-5D6E-409C-BE32-E72D297353CC}">
              <c16:uniqueId val="{00000009-097B-42AF-94B3-E64EDD081EEC}"/>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8048"/>
        <c:crosses val="autoZero"/>
        <c:auto val="1"/>
        <c:lblAlgn val="ctr"/>
        <c:lblOffset val="100"/>
        <c:noMultiLvlLbl val="0"/>
      </c:catAx>
      <c:valAx>
        <c:axId val="616098048"/>
        <c:scaling>
          <c:orientation val="minMax"/>
          <c:max val="28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solidFill>
          <a:srgbClr val="F2F2F2"/>
        </a:solidFill>
        <a:ln>
          <a:noFill/>
        </a:ln>
        <a:effectLst/>
      </c:spPr>
    </c:plotArea>
    <c:legend>
      <c:legendPos val="r"/>
      <c:legendEntry>
        <c:idx val="0"/>
        <c:delete val="1"/>
      </c:legendEntry>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CL'!$A$73</c:f>
          <c:strCache>
            <c:ptCount val="1"/>
            <c:pt idx="0">
              <c:v>SAPN Residential with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1442495126705652E-2"/>
          <c:y val="0.14156862745098039"/>
          <c:w val="0.79030130005679111"/>
          <c:h val="0.73694117647058821"/>
        </c:manualLayout>
      </c:layout>
      <c:barChart>
        <c:barDir val="col"/>
        <c:grouping val="stacked"/>
        <c:varyColors val="0"/>
        <c:ser>
          <c:idx val="0"/>
          <c:order val="0"/>
          <c:tx>
            <c:strRef>
              <c:f>'Res w CL'!$C$73</c:f>
              <c:strCache>
                <c:ptCount val="1"/>
                <c:pt idx="0">
                  <c:v>Base</c:v>
                </c:pt>
              </c:strCache>
            </c:strRef>
          </c:tx>
          <c:spPr>
            <a:noFill/>
            <a:ln>
              <a:noFill/>
            </a:ln>
            <a:effectLst/>
          </c:spPr>
          <c:invertIfNegative val="0"/>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CL'!$D$73:$J$73</c:f>
              <c:numCache>
                <c:formatCode>#,##0</c:formatCode>
                <c:ptCount val="7"/>
                <c:pt idx="0">
                  <c:v>0</c:v>
                </c:pt>
                <c:pt idx="1">
                  <c:v>2727.1460506668627</c:v>
                </c:pt>
                <c:pt idx="2">
                  <c:v>2727.1460506668627</c:v>
                </c:pt>
                <c:pt idx="3">
                  <c:v>2756.1737938549222</c:v>
                </c:pt>
                <c:pt idx="4">
                  <c:v>2756.1737938549222</c:v>
                </c:pt>
                <c:pt idx="5">
                  <c:v>2820.0425608925389</c:v>
                </c:pt>
                <c:pt idx="6">
                  <c:v>0</c:v>
                </c:pt>
              </c:numCache>
            </c:numRef>
          </c:val>
          <c:extLst>
            <c:ext xmlns:c16="http://schemas.microsoft.com/office/drawing/2014/chart" uri="{C3380CC4-5D6E-409C-BE32-E72D297353CC}">
              <c16:uniqueId val="{00000000-98A8-4F8E-AEB9-DAD8ECFC835B}"/>
            </c:ext>
          </c:extLst>
        </c:ser>
        <c:ser>
          <c:idx val="1"/>
          <c:order val="1"/>
          <c:tx>
            <c:strRef>
              <c:f>'Res w CL'!$C$74</c:f>
              <c:strCache>
                <c:ptCount val="1"/>
                <c:pt idx="0">
                  <c:v>Network cost</c:v>
                </c:pt>
              </c:strCache>
            </c:strRef>
          </c:tx>
          <c:spPr>
            <a:solidFill>
              <a:srgbClr val="89B3CE"/>
            </a:solidFill>
            <a:ln>
              <a:noFill/>
            </a:ln>
            <a:effectLst/>
          </c:spPr>
          <c:invertIfNegative val="0"/>
          <c:dLbls>
            <c:dLbl>
              <c:idx val="1"/>
              <c:layout>
                <c:manualLayout>
                  <c:x val="-1.8713450292397662E-3"/>
                  <c:y val="2.7211363285471635E-2"/>
                </c:manualLayout>
              </c:layout>
              <c:tx>
                <c:strRef>
                  <c:f>'Res w CL'!$K$74</c:f>
                  <c:strCache>
                    <c:ptCount val="1"/>
                    <c:pt idx="0">
                      <c:v>-32.5</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{140A443A-B323-4435-9459-35F9553B5639}</c15:txfldGUID>
                      <c15:f>'Res w CL'!$K$74</c15:f>
                      <c15:dlblFieldTableCache>
                        <c:ptCount val="1"/>
                        <c:pt idx="0">
                          <c:v>-32.5</c:v>
                        </c:pt>
                      </c15:dlblFieldTableCache>
                    </c15:dlblFTEntry>
                  </c15:dlblFieldTable>
                  <c15:showDataLabelsRange val="0"/>
                </c:ext>
                <c:ext xmlns:c16="http://schemas.microsoft.com/office/drawing/2014/chart" uri="{C3380CC4-5D6E-409C-BE32-E72D297353CC}">
                  <c16:uniqueId val="{00000001-98A8-4F8E-AEB9-DAD8ECFC83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CL'!$D$74:$J$74</c:f>
              <c:numCache>
                <c:formatCode>#,##0.0</c:formatCode>
                <c:ptCount val="7"/>
                <c:pt idx="0" formatCode="#,##0">
                  <c:v>1105.11995</c:v>
                </c:pt>
                <c:pt idx="1">
                  <c:v>32.458556001829493</c:v>
                </c:pt>
                <c:pt idx="6" formatCode="#,##0">
                  <c:v>1072.6613939981705</c:v>
                </c:pt>
              </c:numCache>
            </c:numRef>
          </c:val>
          <c:extLst>
            <c:ext xmlns:c16="http://schemas.microsoft.com/office/drawing/2014/chart" uri="{C3380CC4-5D6E-409C-BE32-E72D297353CC}">
              <c16:uniqueId val="{00000002-98A8-4F8E-AEB9-DAD8ECFC835B}"/>
            </c:ext>
          </c:extLst>
        </c:ser>
        <c:ser>
          <c:idx val="2"/>
          <c:order val="2"/>
          <c:tx>
            <c:strRef>
              <c:f>'Res w CL'!$C$75</c:f>
              <c:strCache>
                <c:ptCount val="1"/>
                <c:pt idx="0">
                  <c:v>Wholesale cost</c:v>
                </c:pt>
              </c:strCache>
            </c:strRef>
          </c:tx>
          <c:spPr>
            <a:solidFill>
              <a:srgbClr val="E06026"/>
            </a:solidFill>
            <a:ln>
              <a:noFill/>
            </a:ln>
            <a:effectLst/>
          </c:spPr>
          <c:invertIfNegative val="0"/>
          <c:dLbls>
            <c:dLbl>
              <c:idx val="2"/>
              <c:layout>
                <c:manualLayout>
                  <c:x val="-3.5737079040056123E-17"/>
                  <c:y val="-3.7941948432916477E-2"/>
                </c:manualLayout>
              </c:layout>
              <c:tx>
                <c:strRef>
                  <c:f>'Res w CL'!$K$75</c:f>
                  <c:strCache>
                    <c:ptCount val="1"/>
                    <c:pt idx="0">
                      <c:v>+66.9</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{A0E8B475-A85A-422E-A304-018E39BA9E34}</c15:txfldGUID>
                      <c15:f>'Res w CL'!$K$75</c15:f>
                      <c15:dlblFieldTableCache>
                        <c:ptCount val="1"/>
                        <c:pt idx="0">
                          <c:v>+66.9</c:v>
                        </c:pt>
                      </c15:dlblFieldTableCache>
                    </c15:dlblFTEntry>
                  </c15:dlblFieldTable>
                  <c15:showDataLabelsRange val="0"/>
                </c:ext>
                <c:ext xmlns:c16="http://schemas.microsoft.com/office/drawing/2014/chart" uri="{C3380CC4-5D6E-409C-BE32-E72D297353CC}">
                  <c16:uniqueId val="{00000003-98A8-4F8E-AEB9-DAD8ECFC83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CL'!$D$75:$J$75</c:f>
              <c:numCache>
                <c:formatCode>#,##0.0</c:formatCode>
                <c:ptCount val="7"/>
                <c:pt idx="0" formatCode="#,##0">
                  <c:v>1072.0471504285711</c:v>
                </c:pt>
                <c:pt idx="2">
                  <c:v>66.913579631205039</c:v>
                </c:pt>
                <c:pt idx="6" formatCode="#,##0">
                  <c:v>1138.9607300597761</c:v>
                </c:pt>
              </c:numCache>
            </c:numRef>
          </c:val>
          <c:extLst>
            <c:ext xmlns:c16="http://schemas.microsoft.com/office/drawing/2014/chart" uri="{C3380CC4-5D6E-409C-BE32-E72D297353CC}">
              <c16:uniqueId val="{00000004-98A8-4F8E-AEB9-DAD8ECFC835B}"/>
            </c:ext>
          </c:extLst>
        </c:ser>
        <c:ser>
          <c:idx val="3"/>
          <c:order val="3"/>
          <c:tx>
            <c:strRef>
              <c:f>'Res w CL'!$C$76</c:f>
              <c:strCache>
                <c:ptCount val="1"/>
                <c:pt idx="0">
                  <c:v>Environmental cost</c:v>
                </c:pt>
              </c:strCache>
            </c:strRef>
          </c:tx>
          <c:spPr>
            <a:solidFill>
              <a:srgbClr val="5F9E88"/>
            </a:solidFill>
            <a:ln>
              <a:noFill/>
            </a:ln>
            <a:effectLst/>
          </c:spPr>
          <c:invertIfNegative val="0"/>
          <c:dLbls>
            <c:dLbl>
              <c:idx val="3"/>
              <c:layout>
                <c:manualLayout>
                  <c:x val="0"/>
                  <c:y val="3.1455612166126259E-2"/>
                </c:manualLayout>
              </c:layout>
              <c:tx>
                <c:strRef>
                  <c:f>'Res w CL'!$K$76</c:f>
                  <c:strCache>
                    <c:ptCount val="1"/>
                    <c:pt idx="0">
                      <c:v>-37.9</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{071BA4BD-4040-4BCB-8D64-3984ED098772}</c15:txfldGUID>
                      <c15:f>'Res w CL'!$K$76</c15:f>
                      <c15:dlblFieldTableCache>
                        <c:ptCount val="1"/>
                        <c:pt idx="0">
                          <c:v>-37.9</c:v>
                        </c:pt>
                      </c15:dlblFieldTableCache>
                    </c15:dlblFTEntry>
                  </c15:dlblFieldTable>
                  <c15:showDataLabelsRange val="0"/>
                </c:ext>
                <c:ext xmlns:c16="http://schemas.microsoft.com/office/drawing/2014/chart" uri="{C3380CC4-5D6E-409C-BE32-E72D297353CC}">
                  <c16:uniqueId val="{00000005-98A8-4F8E-AEB9-DAD8ECFC83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CL'!$D$76:$J$76</c:f>
              <c:numCache>
                <c:formatCode>#,##0.0</c:formatCode>
                <c:ptCount val="7"/>
                <c:pt idx="0" formatCode="#,##0">
                  <c:v>146.256</c:v>
                </c:pt>
                <c:pt idx="3">
                  <c:v>37.885836443145166</c:v>
                </c:pt>
                <c:pt idx="6" formatCode="#,##0">
                  <c:v>108.37016355685483</c:v>
                </c:pt>
              </c:numCache>
            </c:numRef>
          </c:val>
          <c:extLst>
            <c:ext xmlns:c16="http://schemas.microsoft.com/office/drawing/2014/chart" uri="{C3380CC4-5D6E-409C-BE32-E72D297353CC}">
              <c16:uniqueId val="{00000006-98A8-4F8E-AEB9-DAD8ECFC835B}"/>
            </c:ext>
          </c:extLst>
        </c:ser>
        <c:ser>
          <c:idx val="4"/>
          <c:order val="4"/>
          <c:tx>
            <c:strRef>
              <c:f>'Res w CL'!$C$77</c:f>
              <c:strCache>
                <c:ptCount val="1"/>
                <c:pt idx="0">
                  <c:v>Retail cost</c:v>
                </c:pt>
              </c:strCache>
            </c:strRef>
          </c:tx>
          <c:spPr>
            <a:solidFill>
              <a:srgbClr val="F0B9B3"/>
            </a:solidFill>
            <a:ln>
              <a:noFill/>
            </a:ln>
            <a:effectLst/>
          </c:spPr>
          <c:invertIfNegative val="0"/>
          <c:dLbls>
            <c:dLbl>
              <c:idx val="4"/>
              <c:layout>
                <c:manualLayout>
                  <c:x val="7.4931701952329005E-3"/>
                  <c:y val="-4.8100700998320436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a:t>
                    </a:r>
                    <a:fld id="{5230D438-E763-48AB-A2B3-CC559CAD5CC8}" type="VALUE">
                      <a:rPr lang="en-US">
                        <a:latin typeface="Arial" panose="020B0604020202020204" pitchFamily="34" charset="0"/>
                        <a:cs typeface="Arial" panose="020B0604020202020204" pitchFamily="34" charset="0"/>
                      </a:rPr>
                      <a:pPr>
                        <a:defRPr>
                          <a:latin typeface="Arial" panose="020B0604020202020204" pitchFamily="34" charset="0"/>
                          <a:cs typeface="Arial" panose="020B0604020202020204" pitchFamily="34" charset="0"/>
                        </a:defRPr>
                      </a:pPr>
                      <a:t>[VALUE]</a:t>
                    </a:fld>
                    <a:endParaRPr lang="en-US">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8777915243190398E-2"/>
                      <c:h val="6.131999675364147E-2"/>
                    </c:manualLayout>
                  </c15:layout>
                  <c15:dlblFieldTable/>
                  <c15:showDataLabelsRange val="0"/>
                </c:ext>
                <c:ext xmlns:c16="http://schemas.microsoft.com/office/drawing/2014/chart" uri="{C3380CC4-5D6E-409C-BE32-E72D297353CC}">
                  <c16:uniqueId val="{00000000-A451-4834-A21A-DC36500B2B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CL'!$D$77:$J$77</c:f>
              <c:numCache>
                <c:formatCode>#,##0.0</c:formatCode>
                <c:ptCount val="7"/>
                <c:pt idx="0" formatCode="#,##0">
                  <c:v>270.60522984000005</c:v>
                </c:pt>
                <c:pt idx="4">
                  <c:v>63.868767037616749</c:v>
                </c:pt>
                <c:pt idx="6" formatCode="#,##0">
                  <c:v>334.4739968776168</c:v>
                </c:pt>
              </c:numCache>
            </c:numRef>
          </c:val>
          <c:extLst>
            <c:ext xmlns:c16="http://schemas.microsoft.com/office/drawing/2014/chart" uri="{C3380CC4-5D6E-409C-BE32-E72D297353CC}">
              <c16:uniqueId val="{00000007-98A8-4F8E-AEB9-DAD8ECFC835B}"/>
            </c:ext>
          </c:extLst>
        </c:ser>
        <c:ser>
          <c:idx val="5"/>
          <c:order val="5"/>
          <c:tx>
            <c:strRef>
              <c:f>'Res w CL'!$C$78</c:f>
              <c:strCache>
                <c:ptCount val="1"/>
                <c:pt idx="0">
                  <c:v>Retail margin</c:v>
                </c:pt>
              </c:strCache>
            </c:strRef>
          </c:tx>
          <c:spPr>
            <a:solidFill>
              <a:srgbClr val="303F51"/>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0-3E28-48DC-9346-B727F9377166}"/>
                </c:ext>
              </c:extLst>
            </c:dLbl>
            <c:dLbl>
              <c:idx val="5"/>
              <c:layout>
                <c:manualLayout>
                  <c:x val="1.9493177387914945E-3"/>
                  <c:y val="-2.8597190057125212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a:t>
                    </a:r>
                    <a:fld id="{E87B6C61-1F9C-48E8-813D-577BB6001AFD}" type="VALUE">
                      <a:rPr lang="en-US">
                        <a:solidFill>
                          <a:sysClr val="windowText" lastClr="000000"/>
                        </a:solidFill>
                        <a:latin typeface="Arial" panose="020B0604020202020204" pitchFamily="34" charset="0"/>
                        <a:cs typeface="Arial" panose="020B0604020202020204" pitchFamily="34" charset="0"/>
                      </a:rPr>
                      <a:pPr>
                        <a:defRPr>
                          <a:solidFill>
                            <a:sysClr val="windowText" lastClr="000000"/>
                          </a:solidFill>
                          <a:latin typeface="Arial" panose="020B0604020202020204" pitchFamily="34" charset="0"/>
                          <a:cs typeface="Arial" panose="020B0604020202020204" pitchFamily="34" charset="0"/>
                        </a:defRPr>
                      </a:pPr>
                      <a:t>[VALUE]</a:t>
                    </a:fld>
                    <a:endParaRPr lang="en-US">
                      <a:solidFill>
                        <a:sysClr val="windowText" lastClr="000000"/>
                      </a:solidFill>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3532159061958179E-2"/>
                      <c:h val="6.1319864078758536E-2"/>
                    </c:manualLayout>
                  </c15:layout>
                  <c15:dlblFieldTable/>
                  <c15:showDataLabelsRange val="0"/>
                </c:ext>
                <c:ext xmlns:c16="http://schemas.microsoft.com/office/drawing/2014/chart" uri="{C3380CC4-5D6E-409C-BE32-E72D297353CC}">
                  <c16:uniqueId val="{00000001-A451-4834-A21A-DC36500B2BBE}"/>
                </c:ext>
              </c:extLst>
            </c:dLbl>
            <c:dLbl>
              <c:idx val="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1-3E28-48DC-9346-B727F93771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CL'!$D$78:$J$78</c:f>
              <c:numCache>
                <c:formatCode>#,##0.0</c:formatCode>
                <c:ptCount val="7"/>
                <c:pt idx="0" formatCode="#,##0">
                  <c:v>165.57627640012151</c:v>
                </c:pt>
                <c:pt idx="5">
                  <c:v>3.8577417589690413</c:v>
                </c:pt>
                <c:pt idx="6" formatCode="#,##0">
                  <c:v>169.43401815909056</c:v>
                </c:pt>
              </c:numCache>
            </c:numRef>
          </c:val>
          <c:extLst>
            <c:ext xmlns:c16="http://schemas.microsoft.com/office/drawing/2014/chart" uri="{C3380CC4-5D6E-409C-BE32-E72D297353CC}">
              <c16:uniqueId val="{00000008-98A8-4F8E-AEB9-DAD8ECFC835B}"/>
            </c:ext>
          </c:extLst>
        </c:ser>
        <c:ser>
          <c:idx val="6"/>
          <c:order val="6"/>
          <c:tx>
            <c:strRef>
              <c:f>'Res w CL'!$C$79</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CL'!$D$79:$J$79</c:f>
              <c:numCache>
                <c:formatCode>#,##0.0</c:formatCode>
                <c:ptCount val="7"/>
                <c:pt idx="0" formatCode="#,##0">
                  <c:v>2760</c:v>
                </c:pt>
                <c:pt idx="6" formatCode="#,##0">
                  <c:v>2824</c:v>
                </c:pt>
              </c:numCache>
            </c:numRef>
          </c:val>
          <c:extLst>
            <c:ext xmlns:c16="http://schemas.microsoft.com/office/drawing/2014/chart" uri="{C3380CC4-5D6E-409C-BE32-E72D297353CC}">
              <c16:uniqueId val="{00000009-98A8-4F8E-AEB9-DAD8ECFC835B}"/>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8048"/>
        <c:crosses val="autoZero"/>
        <c:auto val="1"/>
        <c:lblAlgn val="ctr"/>
        <c:lblOffset val="100"/>
        <c:noMultiLvlLbl val="0"/>
      </c:catAx>
      <c:valAx>
        <c:axId val="616098048"/>
        <c:scaling>
          <c:orientation val="minMax"/>
          <c:max val="32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solidFill>
          <a:srgbClr val="F2F2F2"/>
        </a:solidFill>
        <a:ln>
          <a:noFill/>
        </a:ln>
        <a:effectLst/>
      </c:spPr>
    </c:plotArea>
    <c:legend>
      <c:legendPos val="r"/>
      <c:legendEntry>
        <c:idx val="0"/>
        <c:delete val="1"/>
      </c:legendEntry>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Ausgrid Residential with CL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1256038647342997E-2"/>
          <c:y val="0.14156862745098039"/>
          <c:w val="0.7940571341625775"/>
          <c:h val="0.74478431372549014"/>
        </c:manualLayout>
      </c:layout>
      <c:barChart>
        <c:barDir val="col"/>
        <c:grouping val="stacked"/>
        <c:varyColors val="0"/>
        <c:ser>
          <c:idx val="0"/>
          <c:order val="0"/>
          <c:tx>
            <c:strRef>
              <c:f>'Res w CL'!$C$45</c:f>
              <c:strCache>
                <c:ptCount val="1"/>
                <c:pt idx="0">
                  <c:v>Base</c:v>
                </c:pt>
              </c:strCache>
            </c:strRef>
          </c:tx>
          <c:spPr>
            <a:noFill/>
            <a:ln>
              <a:noFill/>
            </a:ln>
            <a:effectLst/>
          </c:spPr>
          <c:invertIfNegative val="0"/>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CL'!$D$45:$J$45</c:f>
              <c:numCache>
                <c:formatCode>#,##0</c:formatCode>
                <c:ptCount val="7"/>
                <c:pt idx="0">
                  <c:v>0</c:v>
                </c:pt>
                <c:pt idx="1">
                  <c:v>2509.3093435180558</c:v>
                </c:pt>
                <c:pt idx="2">
                  <c:v>2579.6823893044129</c:v>
                </c:pt>
                <c:pt idx="3">
                  <c:v>2640.1706823480881</c:v>
                </c:pt>
                <c:pt idx="4">
                  <c:v>2640.1706823480881</c:v>
                </c:pt>
                <c:pt idx="5">
                  <c:v>2704.5136767011195</c:v>
                </c:pt>
                <c:pt idx="6">
                  <c:v>0</c:v>
                </c:pt>
              </c:numCache>
            </c:numRef>
          </c:val>
          <c:extLst>
            <c:ext xmlns:c16="http://schemas.microsoft.com/office/drawing/2014/chart" uri="{C3380CC4-5D6E-409C-BE32-E72D297353CC}">
              <c16:uniqueId val="{00000000-D037-43E3-8954-F67209C66BB1}"/>
            </c:ext>
          </c:extLst>
        </c:ser>
        <c:ser>
          <c:idx val="1"/>
          <c:order val="1"/>
          <c:tx>
            <c:strRef>
              <c:f>'Res w CL'!$C$46</c:f>
              <c:strCache>
                <c:ptCount val="1"/>
                <c:pt idx="0">
                  <c:v>Network cost</c:v>
                </c:pt>
              </c:strCache>
            </c:strRef>
          </c:tx>
          <c:spPr>
            <a:solidFill>
              <a:srgbClr val="89B3CE"/>
            </a:solidFill>
            <a:ln>
              <a:noFill/>
            </a:ln>
            <a:effectLst/>
          </c:spPr>
          <c:invertIfNegative val="0"/>
          <c:dLbls>
            <c:dLbl>
              <c:idx val="1"/>
              <c:layout>
                <c:manualLayout>
                  <c:x val="-1.8561484918793504E-3"/>
                  <c:y val="-3.2963736506633347E-2"/>
                </c:manualLayout>
              </c:layout>
              <c:tx>
                <c:strRef>
                  <c:f>'Res w CL'!$K$46</c:f>
                  <c:strCache>
                    <c:ptCount val="1"/>
                    <c:pt idx="0">
                      <c:v>+70.4</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{1987B0C4-B79D-4346-9290-6EEA39DC48A8}</c15:txfldGUID>
                      <c15:f>'Res w CL'!$K$46</c15:f>
                      <c15:dlblFieldTableCache>
                        <c:ptCount val="1"/>
                        <c:pt idx="0">
                          <c:v>+70.4</c:v>
                        </c:pt>
                      </c15:dlblFieldTableCache>
                    </c15:dlblFTEntry>
                  </c15:dlblFieldTable>
                  <c15:showDataLabelsRange val="0"/>
                </c:ext>
                <c:ext xmlns:c16="http://schemas.microsoft.com/office/drawing/2014/chart" uri="{C3380CC4-5D6E-409C-BE32-E72D297353CC}">
                  <c16:uniqueId val="{00000001-D037-43E3-8954-F67209C66B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CL'!$D$46:$J$46</c:f>
              <c:numCache>
                <c:formatCode>#,##0.0</c:formatCode>
                <c:ptCount val="7"/>
                <c:pt idx="0" formatCode="#,##0">
                  <c:v>854.75665134240103</c:v>
                </c:pt>
                <c:pt idx="1">
                  <c:v>70.373045786357011</c:v>
                </c:pt>
                <c:pt idx="6" formatCode="#,##0">
                  <c:v>925.12969712875804</c:v>
                </c:pt>
              </c:numCache>
            </c:numRef>
          </c:val>
          <c:extLst>
            <c:ext xmlns:c16="http://schemas.microsoft.com/office/drawing/2014/chart" uri="{C3380CC4-5D6E-409C-BE32-E72D297353CC}">
              <c16:uniqueId val="{00000002-D037-43E3-8954-F67209C66BB1}"/>
            </c:ext>
          </c:extLst>
        </c:ser>
        <c:ser>
          <c:idx val="2"/>
          <c:order val="2"/>
          <c:tx>
            <c:strRef>
              <c:f>'Res w CL'!$C$47</c:f>
              <c:strCache>
                <c:ptCount val="1"/>
                <c:pt idx="0">
                  <c:v>Wholesale cost</c:v>
                </c:pt>
              </c:strCache>
            </c:strRef>
          </c:tx>
          <c:spPr>
            <a:solidFill>
              <a:srgbClr val="E06026"/>
            </a:solidFill>
            <a:ln>
              <a:noFill/>
            </a:ln>
            <a:effectLst/>
          </c:spPr>
          <c:invertIfNegative val="0"/>
          <c:dLbls>
            <c:dLbl>
              <c:idx val="2"/>
              <c:layout>
                <c:manualLayout>
                  <c:x val="-1.8573547871733424E-3"/>
                  <c:y val="-3.9818743245329628E-2"/>
                </c:manualLayout>
              </c:layout>
              <c:tx>
                <c:strRef>
                  <c:f>'Res w CL'!$K$47</c:f>
                  <c:strCache>
                    <c:ptCount val="1"/>
                    <c:pt idx="0">
                      <c:v>+88.5</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{B6B88F66-CC39-4B4C-9089-B3499E3F06B2}</c15:txfldGUID>
                      <c15:f>'Res w CL'!$K$47</c15:f>
                      <c15:dlblFieldTableCache>
                        <c:ptCount val="1"/>
                        <c:pt idx="0">
                          <c:v>+88.5</c:v>
                        </c:pt>
                      </c15:dlblFieldTableCache>
                    </c15:dlblFTEntry>
                  </c15:dlblFieldTable>
                  <c15:showDataLabelsRange val="0"/>
                </c:ext>
                <c:ext xmlns:c16="http://schemas.microsoft.com/office/drawing/2014/chart" uri="{C3380CC4-5D6E-409C-BE32-E72D297353CC}">
                  <c16:uniqueId val="{00000003-D037-43E3-8954-F67209C66B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CL'!$D$47:$J$47</c:f>
              <c:numCache>
                <c:formatCode>#,##0.0</c:formatCode>
                <c:ptCount val="7"/>
                <c:pt idx="0" formatCode="#,##0">
                  <c:v>1108.6752496285712</c:v>
                </c:pt>
                <c:pt idx="2">
                  <c:v>88.495356822251551</c:v>
                </c:pt>
                <c:pt idx="6" formatCode="#,##0">
                  <c:v>1197.1706064508228</c:v>
                </c:pt>
              </c:numCache>
            </c:numRef>
          </c:val>
          <c:extLst>
            <c:ext xmlns:c16="http://schemas.microsoft.com/office/drawing/2014/chart" uri="{C3380CC4-5D6E-409C-BE32-E72D297353CC}">
              <c16:uniqueId val="{00000004-D037-43E3-8954-F67209C66BB1}"/>
            </c:ext>
          </c:extLst>
        </c:ser>
        <c:ser>
          <c:idx val="3"/>
          <c:order val="3"/>
          <c:tx>
            <c:strRef>
              <c:f>'Res w CL'!$C$48</c:f>
              <c:strCache>
                <c:ptCount val="1"/>
                <c:pt idx="0">
                  <c:v>Environmental cost</c:v>
                </c:pt>
              </c:strCache>
            </c:strRef>
          </c:tx>
          <c:spPr>
            <a:solidFill>
              <a:srgbClr val="5F9E88"/>
            </a:solidFill>
            <a:ln>
              <a:noFill/>
            </a:ln>
            <a:effectLst/>
          </c:spPr>
          <c:invertIfNegative val="0"/>
          <c:dLbls>
            <c:dLbl>
              <c:idx val="3"/>
              <c:layout>
                <c:manualLayout>
                  <c:x val="-2.0073795123435657E-3"/>
                  <c:y val="3.6128454531418865E-2"/>
                </c:manualLayout>
              </c:layout>
              <c:tx>
                <c:strRef>
                  <c:f>'Res w CL'!$K$48</c:f>
                  <c:strCache>
                    <c:ptCount val="1"/>
                    <c:pt idx="0">
                      <c:v>-28.0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{4D2D651D-A713-47B7-9CE2-C336C803EC42}</c15:txfldGUID>
                      <c15:f>'Res w CL'!$K$48</c15:f>
                      <c15:dlblFieldTableCache>
                        <c:ptCount val="1"/>
                        <c:pt idx="0">
                          <c:v>-28.0</c:v>
                        </c:pt>
                      </c15:dlblFieldTableCache>
                    </c15:dlblFTEntry>
                  </c15:dlblFieldTable>
                  <c15:showDataLabelsRange val="0"/>
                </c:ext>
                <c:ext xmlns:c16="http://schemas.microsoft.com/office/drawing/2014/chart" uri="{C3380CC4-5D6E-409C-BE32-E72D297353CC}">
                  <c16:uniqueId val="{00000005-D037-43E3-8954-F67209C66B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CL'!$D$48:$J$48</c:f>
              <c:numCache>
                <c:formatCode>#,##0.0</c:formatCode>
                <c:ptCount val="7"/>
                <c:pt idx="0" formatCode="#,##0">
                  <c:v>147.14919999999998</c:v>
                </c:pt>
                <c:pt idx="3">
                  <c:v>28.007063778576764</c:v>
                </c:pt>
                <c:pt idx="6" formatCode="#,##0">
                  <c:v>119.14213622142321</c:v>
                </c:pt>
              </c:numCache>
            </c:numRef>
          </c:val>
          <c:extLst>
            <c:ext xmlns:c16="http://schemas.microsoft.com/office/drawing/2014/chart" uri="{C3380CC4-5D6E-409C-BE32-E72D297353CC}">
              <c16:uniqueId val="{00000006-D037-43E3-8954-F67209C66BB1}"/>
            </c:ext>
          </c:extLst>
        </c:ser>
        <c:ser>
          <c:idx val="4"/>
          <c:order val="4"/>
          <c:tx>
            <c:strRef>
              <c:f>'Res w CL'!$C$49</c:f>
              <c:strCache>
                <c:ptCount val="1"/>
                <c:pt idx="0">
                  <c:v>Retail cost</c:v>
                </c:pt>
              </c:strCache>
            </c:strRef>
          </c:tx>
          <c:spPr>
            <a:solidFill>
              <a:srgbClr val="F0B9B3"/>
            </a:solidFill>
            <a:ln>
              <a:noFill/>
            </a:ln>
            <a:effectLst/>
          </c:spPr>
          <c:invertIfNegative val="0"/>
          <c:dLbls>
            <c:dLbl>
              <c:idx val="4"/>
              <c:layout>
                <c:manualLayout>
                  <c:x val="1.1367213176612453E-2"/>
                  <c:y val="-4.285777510462322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a:t>
                    </a:r>
                    <a:fld id="{61978D74-A0E6-400E-A7CC-7AD91ECBEB4C}" type="VALUE">
                      <a:rPr lang="en-US">
                        <a:latin typeface="Arial" panose="020B0604020202020204" pitchFamily="34" charset="0"/>
                        <a:cs typeface="Arial" panose="020B0604020202020204" pitchFamily="34" charset="0"/>
                      </a:rPr>
                      <a:pPr>
                        <a:defRPr>
                          <a:latin typeface="Arial" panose="020B0604020202020204" pitchFamily="34" charset="0"/>
                          <a:cs typeface="Arial" panose="020B0604020202020204" pitchFamily="34" charset="0"/>
                        </a:defRPr>
                      </a:pPr>
                      <a:t>[VALUE]</a:t>
                    </a:fld>
                    <a:endParaRPr lang="en-US">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6149796492829677E-2"/>
                      <c:h val="4.4980083371931441E-2"/>
                    </c:manualLayout>
                  </c15:layout>
                  <c15:dlblFieldTable/>
                  <c15:showDataLabelsRange val="0"/>
                </c:ext>
                <c:ext xmlns:c16="http://schemas.microsoft.com/office/drawing/2014/chart" uri="{C3380CC4-5D6E-409C-BE32-E72D297353CC}">
                  <c16:uniqueId val="{00000000-5379-4C03-A329-09C0049E78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CL'!$D$49:$J$49</c:f>
              <c:numCache>
                <c:formatCode>#,##0.0</c:formatCode>
                <c:ptCount val="7"/>
                <c:pt idx="0" formatCode="#,##0">
                  <c:v>248.16968193600002</c:v>
                </c:pt>
                <c:pt idx="4">
                  <c:v>64.342994353031258</c:v>
                </c:pt>
                <c:pt idx="6" formatCode="#,##0">
                  <c:v>312.51267628903128</c:v>
                </c:pt>
              </c:numCache>
            </c:numRef>
          </c:val>
          <c:extLst>
            <c:ext xmlns:c16="http://schemas.microsoft.com/office/drawing/2014/chart" uri="{C3380CC4-5D6E-409C-BE32-E72D297353CC}">
              <c16:uniqueId val="{00000007-D037-43E3-8954-F67209C66BB1}"/>
            </c:ext>
          </c:extLst>
        </c:ser>
        <c:ser>
          <c:idx val="5"/>
          <c:order val="5"/>
          <c:tx>
            <c:strRef>
              <c:f>'Res w CL'!$C$50</c:f>
              <c:strCache>
                <c:ptCount val="1"/>
                <c:pt idx="0">
                  <c:v>Retail margin</c:v>
                </c:pt>
              </c:strCache>
            </c:strRef>
          </c:tx>
          <c:spPr>
            <a:solidFill>
              <a:srgbClr val="303F51"/>
            </a:solidFill>
            <a:ln>
              <a:noFill/>
            </a:ln>
            <a:effectLst/>
          </c:spPr>
          <c:invertIfNegative val="0"/>
          <c:dLbls>
            <c:dLbl>
              <c:idx val="5"/>
              <c:layout>
                <c:manualLayout>
                  <c:x val="3.787363536079729E-3"/>
                  <c:y val="-3.0548402037980548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a:t>
                    </a:r>
                    <a:fld id="{12143363-0048-436A-A7A0-1145193F206D}" type="VALUE">
                      <a:rPr lang="en-US">
                        <a:solidFill>
                          <a:sysClr val="windowText" lastClr="000000"/>
                        </a:solidFill>
                        <a:latin typeface="Arial" panose="020B0604020202020204" pitchFamily="34" charset="0"/>
                        <a:cs typeface="Arial" panose="020B0604020202020204" pitchFamily="34" charset="0"/>
                      </a:rPr>
                      <a:pPr>
                        <a:defRPr>
                          <a:solidFill>
                            <a:sysClr val="windowText" lastClr="000000"/>
                          </a:solidFill>
                          <a:latin typeface="Arial" panose="020B0604020202020204" pitchFamily="34" charset="0"/>
                          <a:cs typeface="Arial" panose="020B0604020202020204" pitchFamily="34" charset="0"/>
                        </a:defRPr>
                      </a:pPr>
                      <a:t>[VALUE]</a:t>
                    </a:fld>
                    <a:endParaRPr lang="en-US">
                      <a:solidFill>
                        <a:sysClr val="windowText" lastClr="000000"/>
                      </a:solidFill>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6728538283062647E-2"/>
                      <c:h val="5.3135719537744049E-2"/>
                    </c:manualLayout>
                  </c15:layout>
                  <c15:dlblFieldTable/>
                  <c15:showDataLabelsRange val="0"/>
                </c:ext>
                <c:ext xmlns:c16="http://schemas.microsoft.com/office/drawing/2014/chart" uri="{C3380CC4-5D6E-409C-BE32-E72D297353CC}">
                  <c16:uniqueId val="{00000001-5379-4C03-A329-09C0049E78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'Res w CL'!$D$50:$J$50</c:f>
              <c:numCache>
                <c:formatCode>#,##0.0</c:formatCode>
                <c:ptCount val="7"/>
                <c:pt idx="0" formatCode="#,##0">
                  <c:v>150.55856061108352</c:v>
                </c:pt>
                <c:pt idx="5">
                  <c:v>12.459851054238243</c:v>
                </c:pt>
                <c:pt idx="6" formatCode="#,##0">
                  <c:v>163.01841166532176</c:v>
                </c:pt>
              </c:numCache>
            </c:numRef>
          </c:val>
          <c:extLst>
            <c:ext xmlns:c16="http://schemas.microsoft.com/office/drawing/2014/chart" uri="{C3380CC4-5D6E-409C-BE32-E72D297353CC}">
              <c16:uniqueId val="{00000008-D037-43E3-8954-F67209C66BB1}"/>
            </c:ext>
          </c:extLst>
        </c:ser>
        <c:ser>
          <c:idx val="6"/>
          <c:order val="6"/>
          <c:tx>
            <c:strRef>
              <c:f>'Res w CL'!$C$51</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'Res w CL'!$D$51:$J$51</c:f>
              <c:numCache>
                <c:formatCode>#,##0</c:formatCode>
                <c:ptCount val="7"/>
                <c:pt idx="0">
                  <c:v>2509</c:v>
                </c:pt>
                <c:pt idx="6">
                  <c:v>2717</c:v>
                </c:pt>
              </c:numCache>
            </c:numRef>
          </c:val>
          <c:extLst>
            <c:ext xmlns:c16="http://schemas.microsoft.com/office/drawing/2014/chart" uri="{C3380CC4-5D6E-409C-BE32-E72D297353CC}">
              <c16:uniqueId val="{00000009-D037-43E3-8954-F67209C66BB1}"/>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8048"/>
        <c:crosses val="autoZero"/>
        <c:auto val="1"/>
        <c:lblAlgn val="ctr"/>
        <c:lblOffset val="100"/>
        <c:noMultiLvlLbl val="0"/>
      </c:catAx>
      <c:valAx>
        <c:axId val="616098048"/>
        <c:scaling>
          <c:orientation val="minMax"/>
          <c:max val="31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solidFill>
          <a:srgbClr val="F2F2F2"/>
        </a:solidFill>
        <a:ln>
          <a:noFill/>
        </a:ln>
        <a:effectLst/>
      </c:spPr>
    </c:plotArea>
    <c:legend>
      <c:legendPos val="r"/>
      <c:legendEntry>
        <c:idx val="0"/>
        <c:delete val="1"/>
      </c:legendEntry>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CL'!$A$52</c:f>
          <c:strCache>
            <c:ptCount val="1"/>
            <c:pt idx="0">
              <c:v>Endeavour Small Business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'SB wo CL'!$C$52</c:f>
              <c:strCache>
                <c:ptCount val="1"/>
                <c:pt idx="0">
                  <c:v>Base</c:v>
                </c:pt>
              </c:strCache>
            </c:strRef>
          </c:tx>
          <c:spPr>
            <a:noFill/>
            <a:ln>
              <a:noFill/>
            </a:ln>
            <a:effectLst/>
          </c:spPr>
          <c:invertIfNegative val="0"/>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CL'!$D$52:$J$52</c:f>
              <c:numCache>
                <c:formatCode>#,##0</c:formatCode>
                <c:ptCount val="7"/>
                <c:pt idx="0">
                  <c:v>0</c:v>
                </c:pt>
                <c:pt idx="1">
                  <c:v>4421.7532052006418</c:v>
                </c:pt>
                <c:pt idx="2">
                  <c:v>4565.3537172006418</c:v>
                </c:pt>
                <c:pt idx="3">
                  <c:v>4623.8200576178206</c:v>
                </c:pt>
                <c:pt idx="4">
                  <c:v>4623.8200576178206</c:v>
                </c:pt>
                <c:pt idx="5">
                  <c:v>4736.3538271408779</c:v>
                </c:pt>
                <c:pt idx="6">
                  <c:v>0</c:v>
                </c:pt>
              </c:numCache>
            </c:numRef>
          </c:val>
          <c:extLst>
            <c:ext xmlns:c16="http://schemas.microsoft.com/office/drawing/2014/chart" uri="{C3380CC4-5D6E-409C-BE32-E72D297353CC}">
              <c16:uniqueId val="{00000000-0F9A-4E45-A3FE-46BA45C6790F}"/>
            </c:ext>
          </c:extLst>
        </c:ser>
        <c:ser>
          <c:idx val="1"/>
          <c:order val="1"/>
          <c:tx>
            <c:strRef>
              <c:f>'SB wo CL'!$C$53</c:f>
              <c:strCache>
                <c:ptCount val="1"/>
                <c:pt idx="0">
                  <c:v>Network cost</c:v>
                </c:pt>
              </c:strCache>
            </c:strRef>
          </c:tx>
          <c:spPr>
            <a:solidFill>
              <a:srgbClr val="89B3CE"/>
            </a:solidFill>
            <a:ln>
              <a:noFill/>
            </a:ln>
            <a:effectLst/>
          </c:spPr>
          <c:invertIfNegative val="0"/>
          <c:dLbls>
            <c:dLbl>
              <c:idx val="1"/>
              <c:layout>
                <c:manualLayout>
                  <c:x val="-1.8103642067903484E-3"/>
                  <c:y val="-3.9691167761430252E-2"/>
                </c:manualLayout>
              </c:layout>
              <c:tx>
                <c:strRef>
                  <c:f>'SB wo CL'!$K$53</c:f>
                  <c:strCache>
                    <c:ptCount val="1"/>
                    <c:pt idx="0">
                      <c:v>+143.6</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{6EF409A9-D74F-4D66-9773-E12F1DBB88CF}</c15:txfldGUID>
                      <c15:f>'SB wo CL'!$K$53</c15:f>
                      <c15:dlblFieldTableCache>
                        <c:ptCount val="1"/>
                        <c:pt idx="0">
                          <c:v>+143.6</c:v>
                        </c:pt>
                      </c15:dlblFieldTableCache>
                    </c15:dlblFTEntry>
                  </c15:dlblFieldTable>
                  <c15:showDataLabelsRange val="0"/>
                </c:ext>
                <c:ext xmlns:c16="http://schemas.microsoft.com/office/drawing/2014/chart" uri="{C3380CC4-5D6E-409C-BE32-E72D297353CC}">
                  <c16:uniqueId val="{00000001-0F9A-4E45-A3FE-46BA45C6790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CL'!$D$53:$J$53</c:f>
              <c:numCache>
                <c:formatCode>#,##0.0</c:formatCode>
                <c:ptCount val="7"/>
                <c:pt idx="0" formatCode="#,##0">
                  <c:v>1453.9531930000001</c:v>
                </c:pt>
                <c:pt idx="1">
                  <c:v>143.60051199999975</c:v>
                </c:pt>
                <c:pt idx="6" formatCode="#,##0">
                  <c:v>1597.5537049999998</c:v>
                </c:pt>
              </c:numCache>
            </c:numRef>
          </c:val>
          <c:extLst>
            <c:ext xmlns:c16="http://schemas.microsoft.com/office/drawing/2014/chart" uri="{C3380CC4-5D6E-409C-BE32-E72D297353CC}">
              <c16:uniqueId val="{00000002-0F9A-4E45-A3FE-46BA45C6790F}"/>
            </c:ext>
          </c:extLst>
        </c:ser>
        <c:ser>
          <c:idx val="2"/>
          <c:order val="2"/>
          <c:tx>
            <c:strRef>
              <c:f>'SB wo CL'!$C$54</c:f>
              <c:strCache>
                <c:ptCount val="1"/>
                <c:pt idx="0">
                  <c:v>Wholesale cost</c:v>
                </c:pt>
              </c:strCache>
            </c:strRef>
          </c:tx>
          <c:spPr>
            <a:solidFill>
              <a:srgbClr val="E06026"/>
            </a:solidFill>
            <a:ln>
              <a:noFill/>
            </a:ln>
            <a:effectLst/>
          </c:spPr>
          <c:invertIfNegative val="0"/>
          <c:dLbls>
            <c:dLbl>
              <c:idx val="2"/>
              <c:layout>
                <c:manualLayout>
                  <c:x val="-3.6231673032336106E-3"/>
                  <c:y val="-3.1411455920951077E-2"/>
                </c:manualLayout>
              </c:layout>
              <c:tx>
                <c:strRef>
                  <c:f>'SB wo CL'!$K$54</c:f>
                  <c:strCache>
                    <c:ptCount val="1"/>
                    <c:pt idx="0">
                      <c:v>+98.0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{543A5D12-5112-45E6-9C6E-80A48842AA6B}</c15:txfldGUID>
                      <c15:f>'SB wo CL'!$K$54</c15:f>
                      <c15:dlblFieldTableCache>
                        <c:ptCount val="1"/>
                        <c:pt idx="0">
                          <c:v>+98.0</c:v>
                        </c:pt>
                      </c15:dlblFieldTableCache>
                    </c15:dlblFTEntry>
                  </c15:dlblFieldTable>
                  <c15:showDataLabelsRange val="0"/>
                </c:ext>
                <c:ext xmlns:c16="http://schemas.microsoft.com/office/drawing/2014/chart" uri="{C3380CC4-5D6E-409C-BE32-E72D297353CC}">
                  <c16:uniqueId val="{00000003-0F9A-4E45-A3FE-46BA45C6790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CL'!$D$54:$J$54</c:f>
              <c:numCache>
                <c:formatCode>#,##0.0</c:formatCode>
                <c:ptCount val="7"/>
                <c:pt idx="0" formatCode="#,##0">
                  <c:v>1923.8413464285716</c:v>
                </c:pt>
                <c:pt idx="2">
                  <c:v>97.994044473374288</c:v>
                </c:pt>
                <c:pt idx="6" formatCode="#,##0">
                  <c:v>2021.8353909019459</c:v>
                </c:pt>
              </c:numCache>
            </c:numRef>
          </c:val>
          <c:extLst>
            <c:ext xmlns:c16="http://schemas.microsoft.com/office/drawing/2014/chart" uri="{C3380CC4-5D6E-409C-BE32-E72D297353CC}">
              <c16:uniqueId val="{00000004-0F9A-4E45-A3FE-46BA45C6790F}"/>
            </c:ext>
          </c:extLst>
        </c:ser>
        <c:ser>
          <c:idx val="3"/>
          <c:order val="3"/>
          <c:tx>
            <c:strRef>
              <c:f>'SB wo CL'!$C$55</c:f>
              <c:strCache>
                <c:ptCount val="1"/>
                <c:pt idx="0">
                  <c:v>Environmental cost</c:v>
                </c:pt>
              </c:strCache>
            </c:strRef>
          </c:tx>
          <c:spPr>
            <a:solidFill>
              <a:srgbClr val="5F9E88"/>
            </a:solidFill>
            <a:ln>
              <a:noFill/>
            </a:ln>
            <a:effectLst/>
          </c:spPr>
          <c:invertIfNegative val="0"/>
          <c:dLbls>
            <c:dLbl>
              <c:idx val="3"/>
              <c:layout>
                <c:manualLayout>
                  <c:x val="0"/>
                  <c:y val="2.8532962791415744E-2"/>
                </c:manualLayout>
              </c:layout>
              <c:tx>
                <c:strRef>
                  <c:f>'SB wo CL'!$K$55</c:f>
                  <c:strCache>
                    <c:ptCount val="1"/>
                    <c:pt idx="0">
                      <c:v>-39.5</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{28C4C4D7-9A2C-46F4-992A-C08BA0544D7C}</c15:txfldGUID>
                      <c15:f>'SB wo CL'!$K$55</c15:f>
                      <c15:dlblFieldTableCache>
                        <c:ptCount val="1"/>
                        <c:pt idx="0">
                          <c:v>-39.5</c:v>
                        </c:pt>
                      </c15:dlblFieldTableCache>
                    </c15:dlblFTEntry>
                  </c15:dlblFieldTable>
                  <c15:showDataLabelsRange val="0"/>
                </c:ext>
                <c:ext xmlns:c16="http://schemas.microsoft.com/office/drawing/2014/chart" uri="{C3380CC4-5D6E-409C-BE32-E72D297353CC}">
                  <c16:uniqueId val="{00000005-0F9A-4E45-A3FE-46BA45C6790F}"/>
                </c:ext>
              </c:extLst>
            </c:dLbl>
            <c:dLbl>
              <c:idx val="5"/>
              <c:delete val="1"/>
              <c:extLst>
                <c:ext xmlns:c15="http://schemas.microsoft.com/office/drawing/2012/chart" uri="{CE6537A1-D6FC-4f65-9D91-7224C49458BB}"/>
                <c:ext xmlns:c16="http://schemas.microsoft.com/office/drawing/2014/chart" uri="{C3380CC4-5D6E-409C-BE32-E72D297353CC}">
                  <c16:uniqueId val="{00000000-7B79-4C1D-8B4A-49DA7C528C4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CL'!$D$55:$J$55</c:f>
              <c:numCache>
                <c:formatCode>#,##0.0</c:formatCode>
                <c:ptCount val="7"/>
                <c:pt idx="0" formatCode="#,##0">
                  <c:v>217.91</c:v>
                </c:pt>
                <c:pt idx="3">
                  <c:v>39.527704056195716</c:v>
                </c:pt>
                <c:pt idx="5">
                  <c:v>0</c:v>
                </c:pt>
                <c:pt idx="6" formatCode="#,##0">
                  <c:v>178.38229594380428</c:v>
                </c:pt>
              </c:numCache>
            </c:numRef>
          </c:val>
          <c:extLst>
            <c:ext xmlns:c16="http://schemas.microsoft.com/office/drawing/2014/chart" uri="{C3380CC4-5D6E-409C-BE32-E72D297353CC}">
              <c16:uniqueId val="{00000006-0F9A-4E45-A3FE-46BA45C6790F}"/>
            </c:ext>
          </c:extLst>
        </c:ser>
        <c:ser>
          <c:idx val="4"/>
          <c:order val="4"/>
          <c:tx>
            <c:strRef>
              <c:f>'SB wo CL'!$C$56</c:f>
              <c:strCache>
                <c:ptCount val="1"/>
                <c:pt idx="0">
                  <c:v>Retail cost</c:v>
                </c:pt>
              </c:strCache>
            </c:strRef>
          </c:tx>
          <c:spPr>
            <a:solidFill>
              <a:srgbClr val="F0B9B3"/>
            </a:solidFill>
            <a:ln>
              <a:noFill/>
            </a:ln>
            <a:effectLst/>
          </c:spPr>
          <c:invertIfNegative val="0"/>
          <c:dLbls>
            <c:dLbl>
              <c:idx val="4"/>
              <c:layout>
                <c:manualLayout>
                  <c:x val="5.9031002561389058E-3"/>
                  <c:y val="-4.3671221743942917E-2"/>
                </c:manualLayout>
              </c:layout>
              <c:tx>
                <c:rich>
                  <a:bodyPr/>
                  <a:lstStyle/>
                  <a:p>
                    <a:r>
                      <a:rPr lang="en-US"/>
                      <a:t>+</a:t>
                    </a:r>
                    <a:fld id="{3C29C073-C48C-4838-99C0-0E7923993F6C}"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7.3273074151648535E-2"/>
                      <c:h val="6.1490504863362667E-2"/>
                    </c:manualLayout>
                  </c15:layout>
                  <c15:dlblFieldTable/>
                  <c15:showDataLabelsRange val="0"/>
                </c:ext>
                <c:ext xmlns:c16="http://schemas.microsoft.com/office/drawing/2014/chart" uri="{C3380CC4-5D6E-409C-BE32-E72D297353CC}">
                  <c16:uniqueId val="{00000000-44FF-4477-A557-3CA7B8C4D690}"/>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CL'!$D$56:$J$56</c:f>
              <c:numCache>
                <c:formatCode>#,##0.0</c:formatCode>
                <c:ptCount val="7"/>
                <c:pt idx="0" formatCode="#,##0">
                  <c:v>339.65581320000007</c:v>
                </c:pt>
                <c:pt idx="4">
                  <c:v>112.5337695230574</c:v>
                </c:pt>
                <c:pt idx="6" formatCode="#,##0">
                  <c:v>452.18958272305747</c:v>
                </c:pt>
              </c:numCache>
            </c:numRef>
          </c:val>
          <c:extLst>
            <c:ext xmlns:c16="http://schemas.microsoft.com/office/drawing/2014/chart" uri="{C3380CC4-5D6E-409C-BE32-E72D297353CC}">
              <c16:uniqueId val="{00000007-0F9A-4E45-A3FE-46BA45C6790F}"/>
            </c:ext>
          </c:extLst>
        </c:ser>
        <c:ser>
          <c:idx val="5"/>
          <c:order val="5"/>
          <c:tx>
            <c:strRef>
              <c:f>'SB wo CL'!$C$57</c:f>
              <c:strCache>
                <c:ptCount val="1"/>
                <c:pt idx="0">
                  <c:v>Retail margin</c:v>
                </c:pt>
              </c:strCache>
            </c:strRef>
          </c:tx>
          <c:spPr>
            <a:solidFill>
              <a:srgbClr val="303F51"/>
            </a:solidFill>
            <a:ln>
              <a:noFill/>
            </a:ln>
            <a:effectLst/>
          </c:spPr>
          <c:invertIfNegative val="0"/>
          <c:dLbls>
            <c:dLbl>
              <c:idx val="5"/>
              <c:layout>
                <c:manualLayout>
                  <c:x val="9.895349141100622E-4"/>
                  <c:y val="-3.0519993824301411E-2"/>
                </c:manualLayout>
              </c:layout>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a:t>
                    </a:r>
                    <a:fld id="{E03455EF-B277-43AE-BC23-CFA4EFC84712}" type="VALUE">
                      <a:rPr lang="en-US">
                        <a:solidFill>
                          <a:sysClr val="windowText" lastClr="000000"/>
                        </a:solidFill>
                      </a:rPr>
                      <a:pPr>
                        <a:defRPr>
                          <a:solidFill>
                            <a:sysClr val="windowText" lastClr="000000"/>
                          </a:solidFill>
                        </a:defRPr>
                      </a:pPr>
                      <a:t>[VALUE]</a:t>
                    </a:fld>
                    <a:endParaRPr lang="en-US">
                      <a:solidFill>
                        <a:sysClr val="windowText" lastClr="000000"/>
                      </a:solidFill>
                    </a:endParaRPr>
                  </a:p>
                </c:rich>
              </c:tx>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8779955494693604E-2"/>
                      <c:h val="7.7759846582644648E-2"/>
                    </c:manualLayout>
                  </c15:layout>
                  <c15:dlblFieldTable/>
                  <c15:showDataLabelsRange val="0"/>
                </c:ext>
                <c:ext xmlns:c16="http://schemas.microsoft.com/office/drawing/2014/chart" uri="{C3380CC4-5D6E-409C-BE32-E72D297353CC}">
                  <c16:uniqueId val="{00000001-44FF-4477-A557-3CA7B8C4D690}"/>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'SB wo CL'!$D$57:$J$57</c:f>
              <c:numCache>
                <c:formatCode>#,##0.0</c:formatCode>
                <c:ptCount val="7"/>
                <c:pt idx="0" formatCode="#,##0">
                  <c:v>486.3928525720703</c:v>
                </c:pt>
                <c:pt idx="5">
                  <c:v>38.883222936434322</c:v>
                </c:pt>
                <c:pt idx="6" formatCode="#,##0">
                  <c:v>525.27607550850462</c:v>
                </c:pt>
              </c:numCache>
            </c:numRef>
          </c:val>
          <c:extLst>
            <c:ext xmlns:c16="http://schemas.microsoft.com/office/drawing/2014/chart" uri="{C3380CC4-5D6E-409C-BE32-E72D297353CC}">
              <c16:uniqueId val="{00000008-0F9A-4E45-A3FE-46BA45C6790F}"/>
            </c:ext>
          </c:extLst>
        </c:ser>
        <c:ser>
          <c:idx val="6"/>
          <c:order val="6"/>
          <c:tx>
            <c:strRef>
              <c:f>'SB wo CL'!$C$58</c:f>
              <c:strCache>
                <c:ptCount val="1"/>
                <c:pt idx="0">
                  <c:v>DMO</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CL'!$D$58:$J$58</c:f>
              <c:numCache>
                <c:formatCode>#,##0</c:formatCode>
                <c:ptCount val="7"/>
                <c:pt idx="0">
                  <c:v>4422</c:v>
                </c:pt>
                <c:pt idx="6">
                  <c:v>4775</c:v>
                </c:pt>
              </c:numCache>
            </c:numRef>
          </c:val>
          <c:extLst>
            <c:ext xmlns:c16="http://schemas.microsoft.com/office/drawing/2014/chart" uri="{C3380CC4-5D6E-409C-BE32-E72D297353CC}">
              <c16:uniqueId val="{00000009-0F9A-4E45-A3FE-46BA45C6790F}"/>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8048"/>
        <c:crosses val="autoZero"/>
        <c:auto val="1"/>
        <c:lblAlgn val="ctr"/>
        <c:lblOffset val="100"/>
        <c:noMultiLvlLbl val="0"/>
      </c:catAx>
      <c:valAx>
        <c:axId val="616098048"/>
        <c:scaling>
          <c:orientation val="minMax"/>
          <c:max val="54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6080"/>
        <c:crosses val="autoZero"/>
        <c:crossBetween val="between"/>
      </c:valAx>
      <c:spPr>
        <a:solidFill>
          <a:srgbClr val="F2F2F2"/>
        </a:solidFill>
        <a:ln>
          <a:noFill/>
        </a:ln>
        <a:effectLst/>
      </c:spPr>
    </c:plotArea>
    <c:legend>
      <c:legendPos val="r"/>
      <c:legendEntry>
        <c:idx val="0"/>
        <c:delete val="1"/>
      </c:legendEntry>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CL'!$A$59</c:f>
          <c:strCache>
            <c:ptCount val="1"/>
            <c:pt idx="0">
              <c:v>Essential Small Business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1547502448579822E-2"/>
          <c:y val="0.14156862745098039"/>
          <c:w val="0.78927437204531603"/>
          <c:h val="0.74478431372549014"/>
        </c:manualLayout>
      </c:layout>
      <c:barChart>
        <c:barDir val="col"/>
        <c:grouping val="stacked"/>
        <c:varyColors val="0"/>
        <c:ser>
          <c:idx val="0"/>
          <c:order val="0"/>
          <c:tx>
            <c:strRef>
              <c:f>'SB wo CL'!$C$59</c:f>
              <c:strCache>
                <c:ptCount val="1"/>
                <c:pt idx="0">
                  <c:v>Base</c:v>
                </c:pt>
              </c:strCache>
            </c:strRef>
          </c:tx>
          <c:spPr>
            <a:noFill/>
            <a:ln>
              <a:noFill/>
            </a:ln>
            <a:effectLst/>
          </c:spPr>
          <c:invertIfNegative val="0"/>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CL'!$D$59:$J$59</c:f>
              <c:numCache>
                <c:formatCode>#,##0</c:formatCode>
                <c:ptCount val="7"/>
                <c:pt idx="0">
                  <c:v>0</c:v>
                </c:pt>
                <c:pt idx="1">
                  <c:v>5733.0916411639519</c:v>
                </c:pt>
                <c:pt idx="2">
                  <c:v>5949.4532922914595</c:v>
                </c:pt>
                <c:pt idx="3">
                  <c:v>6049.0366229534075</c:v>
                </c:pt>
                <c:pt idx="4">
                  <c:v>6049.0366229534075</c:v>
                </c:pt>
                <c:pt idx="5">
                  <c:v>6168.2751041009224</c:v>
                </c:pt>
                <c:pt idx="6">
                  <c:v>0</c:v>
                </c:pt>
              </c:numCache>
            </c:numRef>
          </c:val>
          <c:extLst>
            <c:ext xmlns:c16="http://schemas.microsoft.com/office/drawing/2014/chart" uri="{C3380CC4-5D6E-409C-BE32-E72D297353CC}">
              <c16:uniqueId val="{00000000-CFFF-44EE-879C-561E9E6ED10C}"/>
            </c:ext>
          </c:extLst>
        </c:ser>
        <c:ser>
          <c:idx val="1"/>
          <c:order val="1"/>
          <c:tx>
            <c:strRef>
              <c:f>'SB wo CL'!$C$60</c:f>
              <c:strCache>
                <c:ptCount val="1"/>
                <c:pt idx="0">
                  <c:v>Network cost</c:v>
                </c:pt>
              </c:strCache>
            </c:strRef>
          </c:tx>
          <c:spPr>
            <a:solidFill>
              <a:srgbClr val="89B3CE"/>
            </a:solidFill>
            <a:ln>
              <a:noFill/>
            </a:ln>
            <a:effectLst/>
          </c:spPr>
          <c:invertIfNegative val="0"/>
          <c:dLbls>
            <c:dLbl>
              <c:idx val="1"/>
              <c:layout>
                <c:manualLayout>
                  <c:x val="0"/>
                  <c:y val="-6.3534612353022435E-2"/>
                </c:manualLayout>
              </c:layout>
              <c:tx>
                <c:strRef>
                  <c:f>'SB wo CL'!$K$60</c:f>
                  <c:strCache>
                    <c:ptCount val="1"/>
                    <c:pt idx="0">
                      <c:v>+216.4</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{29B4711A-BBC7-4B10-B8B2-2985FA5235AE}</c15:txfldGUID>
                      <c15:f>'SB wo CL'!$K$60</c15:f>
                      <c15:dlblFieldTableCache>
                        <c:ptCount val="1"/>
                        <c:pt idx="0">
                          <c:v>+216.4</c:v>
                        </c:pt>
                      </c15:dlblFieldTableCache>
                    </c15:dlblFTEntry>
                  </c15:dlblFieldTable>
                  <c15:showDataLabelsRange val="0"/>
                </c:ext>
                <c:ext xmlns:c16="http://schemas.microsoft.com/office/drawing/2014/chart" uri="{C3380CC4-5D6E-409C-BE32-E72D297353CC}">
                  <c16:uniqueId val="{00000001-CFFF-44EE-879C-561E9E6ED10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CL'!$D$60:$J$60</c:f>
              <c:numCache>
                <c:formatCode>#,##0.0</c:formatCode>
                <c:ptCount val="7"/>
                <c:pt idx="0" formatCode="#,##0">
                  <c:v>2742.7828040793461</c:v>
                </c:pt>
                <c:pt idx="1">
                  <c:v>216.36165112750768</c:v>
                </c:pt>
                <c:pt idx="6" formatCode="#,##0">
                  <c:v>2959.1444552068538</c:v>
                </c:pt>
              </c:numCache>
            </c:numRef>
          </c:val>
          <c:extLst>
            <c:ext xmlns:c16="http://schemas.microsoft.com/office/drawing/2014/chart" uri="{C3380CC4-5D6E-409C-BE32-E72D297353CC}">
              <c16:uniqueId val="{00000002-CFFF-44EE-879C-561E9E6ED10C}"/>
            </c:ext>
          </c:extLst>
        </c:ser>
        <c:ser>
          <c:idx val="2"/>
          <c:order val="2"/>
          <c:tx>
            <c:strRef>
              <c:f>'SB wo CL'!$C$61</c:f>
              <c:strCache>
                <c:ptCount val="1"/>
                <c:pt idx="0">
                  <c:v>Wholesale cost</c:v>
                </c:pt>
              </c:strCache>
            </c:strRef>
          </c:tx>
          <c:spPr>
            <a:solidFill>
              <a:srgbClr val="E06026"/>
            </a:solidFill>
            <a:ln>
              <a:noFill/>
            </a:ln>
            <a:effectLst/>
          </c:spPr>
          <c:invertIfNegative val="0"/>
          <c:dLbls>
            <c:dLbl>
              <c:idx val="2"/>
              <c:layout>
                <c:manualLayout>
                  <c:x val="2.0924643455712613E-3"/>
                  <c:y val="-3.1438320209973718E-2"/>
                </c:manualLayout>
              </c:layout>
              <c:tx>
                <c:strRef>
                  <c:f>'SB wo CL'!$K$61</c:f>
                  <c:strCache>
                    <c:ptCount val="1"/>
                    <c:pt idx="0">
                      <c:v>+138.0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{8C0ACBC8-DFB7-4041-8A4C-670CD39CEC29}</c15:txfldGUID>
                      <c15:f>'SB wo CL'!$K$61</c15:f>
                      <c15:dlblFieldTableCache>
                        <c:ptCount val="1"/>
                        <c:pt idx="0">
                          <c:v>+138.0</c:v>
                        </c:pt>
                      </c15:dlblFieldTableCache>
                    </c15:dlblFTEntry>
                  </c15:dlblFieldTable>
                  <c15:showDataLabelsRange val="0"/>
                </c:ext>
                <c:ext xmlns:c16="http://schemas.microsoft.com/office/drawing/2014/chart" uri="{C3380CC4-5D6E-409C-BE32-E72D297353CC}">
                  <c16:uniqueId val="{00000003-CFFF-44EE-879C-561E9E6ED10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CL'!$D$61:$J$61</c:f>
              <c:numCache>
                <c:formatCode>#,##0.0</c:formatCode>
                <c:ptCount val="7"/>
                <c:pt idx="0" formatCode="#,##0">
                  <c:v>1808.1213464285713</c:v>
                </c:pt>
                <c:pt idx="2">
                  <c:v>138.03983812370075</c:v>
                </c:pt>
                <c:pt idx="6" formatCode="#,##0">
                  <c:v>1946.1611845522721</c:v>
                </c:pt>
              </c:numCache>
            </c:numRef>
          </c:val>
          <c:extLst>
            <c:ext xmlns:c16="http://schemas.microsoft.com/office/drawing/2014/chart" uri="{C3380CC4-5D6E-409C-BE32-E72D297353CC}">
              <c16:uniqueId val="{00000004-CFFF-44EE-879C-561E9E6ED10C}"/>
            </c:ext>
          </c:extLst>
        </c:ser>
        <c:ser>
          <c:idx val="3"/>
          <c:order val="3"/>
          <c:tx>
            <c:strRef>
              <c:f>'SB wo CL'!$C$62</c:f>
              <c:strCache>
                <c:ptCount val="1"/>
                <c:pt idx="0">
                  <c:v>Environmental cost</c:v>
                </c:pt>
              </c:strCache>
            </c:strRef>
          </c:tx>
          <c:spPr>
            <a:solidFill>
              <a:srgbClr val="5F9E88"/>
            </a:solidFill>
            <a:ln>
              <a:noFill/>
            </a:ln>
            <a:effectLst/>
          </c:spPr>
          <c:invertIfNegative val="0"/>
          <c:dLbls>
            <c:dLbl>
              <c:idx val="3"/>
              <c:layout>
                <c:manualLayout>
                  <c:x val="0"/>
                  <c:y val="2.8622201636560134E-2"/>
                </c:manualLayout>
              </c:layout>
              <c:tx>
                <c:strRef>
                  <c:f>'SB wo CL'!$K$62</c:f>
                  <c:strCache>
                    <c:ptCount val="1"/>
                    <c:pt idx="0">
                      <c:v>-38.5</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{CA967546-3F64-4030-B082-A640465C1DA9}</c15:txfldGUID>
                      <c15:f>'SB wo CL'!$K$62</c15:f>
                      <c15:dlblFieldTableCache>
                        <c:ptCount val="1"/>
                        <c:pt idx="0">
                          <c:v>-38.5</c:v>
                        </c:pt>
                      </c15:dlblFieldTableCache>
                    </c15:dlblFTEntry>
                  </c15:dlblFieldTable>
                  <c15:showDataLabelsRange val="0"/>
                </c:ext>
                <c:ext xmlns:c16="http://schemas.microsoft.com/office/drawing/2014/chart" uri="{C3380CC4-5D6E-409C-BE32-E72D297353CC}">
                  <c16:uniqueId val="{00000005-CFFF-44EE-879C-561E9E6ED10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CL'!$D$62:$J$62</c:f>
              <c:numCache>
                <c:formatCode>#,##0.0</c:formatCode>
                <c:ptCount val="7"/>
                <c:pt idx="0" formatCode="#,##0">
                  <c:v>212.74</c:v>
                </c:pt>
                <c:pt idx="3">
                  <c:v>38.456507461753318</c:v>
                </c:pt>
                <c:pt idx="6" formatCode="#,##0">
                  <c:v>174.28349253824669</c:v>
                </c:pt>
              </c:numCache>
            </c:numRef>
          </c:val>
          <c:extLst>
            <c:ext xmlns:c16="http://schemas.microsoft.com/office/drawing/2014/chart" uri="{C3380CC4-5D6E-409C-BE32-E72D297353CC}">
              <c16:uniqueId val="{00000006-CFFF-44EE-879C-561E9E6ED10C}"/>
            </c:ext>
          </c:extLst>
        </c:ser>
        <c:ser>
          <c:idx val="4"/>
          <c:order val="4"/>
          <c:tx>
            <c:strRef>
              <c:f>'SB wo CL'!$C$63</c:f>
              <c:strCache>
                <c:ptCount val="1"/>
                <c:pt idx="0">
                  <c:v>Retail cost</c:v>
                </c:pt>
              </c:strCache>
            </c:strRef>
          </c:tx>
          <c:spPr>
            <a:solidFill>
              <a:srgbClr val="F0B9B3"/>
            </a:solidFill>
            <a:ln>
              <a:noFill/>
            </a:ln>
            <a:effectLst/>
          </c:spPr>
          <c:invertIfNegative val="0"/>
          <c:dLbls>
            <c:dLbl>
              <c:idx val="4"/>
              <c:layout>
                <c:manualLayout>
                  <c:x val="2.8612522846984969E-3"/>
                  <c:y val="-4.1930368997992899E-2"/>
                </c:manualLayout>
              </c:layout>
              <c:tx>
                <c:rich>
                  <a:bodyPr/>
                  <a:lstStyle/>
                  <a:p>
                    <a:r>
                      <a:rPr lang="en-US"/>
                      <a:t>+</a:t>
                    </a:r>
                    <a:fld id="{2564723F-A3C6-4097-8B5E-5D6C6C10E4CF}"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7.5156516307156015E-2"/>
                      <c:h val="4.9555040914003388E-2"/>
                    </c:manualLayout>
                  </c15:layout>
                  <c15:dlblFieldTable/>
                  <c15:showDataLabelsRange val="0"/>
                </c:ext>
                <c:ext xmlns:c16="http://schemas.microsoft.com/office/drawing/2014/chart" uri="{C3380CC4-5D6E-409C-BE32-E72D297353CC}">
                  <c16:uniqueId val="{00000000-16D7-40CC-8B01-4F348D6769A8}"/>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CL'!$D$63:$J$63</c:f>
              <c:numCache>
                <c:formatCode>#,##0.0</c:formatCode>
                <c:ptCount val="7"/>
                <c:pt idx="0" formatCode="#,##0">
                  <c:v>338.80741012800001</c:v>
                </c:pt>
                <c:pt idx="4">
                  <c:v>119.23848114751507</c:v>
                </c:pt>
                <c:pt idx="6" formatCode="#,##0">
                  <c:v>458.04589127551509</c:v>
                </c:pt>
              </c:numCache>
            </c:numRef>
          </c:val>
          <c:extLst>
            <c:ext xmlns:c16="http://schemas.microsoft.com/office/drawing/2014/chart" uri="{C3380CC4-5D6E-409C-BE32-E72D297353CC}">
              <c16:uniqueId val="{00000007-CFFF-44EE-879C-561E9E6ED10C}"/>
            </c:ext>
          </c:extLst>
        </c:ser>
        <c:ser>
          <c:idx val="5"/>
          <c:order val="5"/>
          <c:tx>
            <c:strRef>
              <c:f>'SB wo CL'!$C$64</c:f>
              <c:strCache>
                <c:ptCount val="1"/>
                <c:pt idx="0">
                  <c:v>Retail margin</c:v>
                </c:pt>
              </c:strCache>
            </c:strRef>
          </c:tx>
          <c:spPr>
            <a:solidFill>
              <a:srgbClr val="303F51"/>
            </a:solidFill>
            <a:ln>
              <a:noFill/>
            </a:ln>
            <a:effectLst/>
          </c:spPr>
          <c:invertIfNegative val="0"/>
          <c:dLbls>
            <c:dLbl>
              <c:idx val="5"/>
              <c:layout>
                <c:manualLayout>
                  <c:x val="2.8820748532779402E-3"/>
                  <c:y val="-4.2006484483557184E-2"/>
                </c:manualLayout>
              </c:layout>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a:t>
                    </a:r>
                    <a:fld id="{A04A1636-1D54-40F4-910E-D1A0EB9B7D6C}" type="VALUE">
                      <a:rPr lang="en-US">
                        <a:solidFill>
                          <a:sysClr val="windowText" lastClr="000000"/>
                        </a:solidFill>
                      </a:rPr>
                      <a:pPr>
                        <a:defRPr>
                          <a:solidFill>
                            <a:sysClr val="windowText" lastClr="000000"/>
                          </a:solidFill>
                        </a:defRPr>
                      </a:pPr>
                      <a:t>[VALUE]</a:t>
                    </a:fld>
                    <a:endParaRPr lang="en-US">
                      <a:solidFill>
                        <a:sysClr val="windowText" lastClr="000000"/>
                      </a:solidFill>
                    </a:endParaRPr>
                  </a:p>
                </c:rich>
              </c:tx>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338061554162093E-2"/>
                      <c:h val="6.1319864078758536E-2"/>
                    </c:manualLayout>
                  </c15:layout>
                  <c15:dlblFieldTable/>
                  <c15:showDataLabelsRange val="0"/>
                </c:ext>
                <c:ext xmlns:c16="http://schemas.microsoft.com/office/drawing/2014/chart" uri="{C3380CC4-5D6E-409C-BE32-E72D297353CC}">
                  <c16:uniqueId val="{00000001-16D7-40CC-8B01-4F348D6769A8}"/>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'SB wo CL'!$D$64:$J$64</c:f>
              <c:numCache>
                <c:formatCode>#,##0.0</c:formatCode>
                <c:ptCount val="7"/>
                <c:pt idx="0" formatCode="#,##0">
                  <c:v>630.64008052803456</c:v>
                </c:pt>
                <c:pt idx="5">
                  <c:v>53.786720138276905</c:v>
                </c:pt>
                <c:pt idx="6" formatCode="#,##0">
                  <c:v>684.42680066631146</c:v>
                </c:pt>
              </c:numCache>
            </c:numRef>
          </c:val>
          <c:extLst>
            <c:ext xmlns:c16="http://schemas.microsoft.com/office/drawing/2014/chart" uri="{C3380CC4-5D6E-409C-BE32-E72D297353CC}">
              <c16:uniqueId val="{00000008-CFFF-44EE-879C-561E9E6ED10C}"/>
            </c:ext>
          </c:extLst>
        </c:ser>
        <c:ser>
          <c:idx val="6"/>
          <c:order val="6"/>
          <c:tx>
            <c:strRef>
              <c:f>'SB wo CL'!$C$65</c:f>
              <c:strCache>
                <c:ptCount val="1"/>
                <c:pt idx="0">
                  <c:v>DMO</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CL'!$D$65:$J$65</c:f>
              <c:numCache>
                <c:formatCode>#,##0</c:formatCode>
                <c:ptCount val="7"/>
                <c:pt idx="0">
                  <c:v>5733</c:v>
                </c:pt>
                <c:pt idx="6">
                  <c:v>6222</c:v>
                </c:pt>
              </c:numCache>
            </c:numRef>
          </c:val>
          <c:extLst>
            <c:ext xmlns:c16="http://schemas.microsoft.com/office/drawing/2014/chart" uri="{C3380CC4-5D6E-409C-BE32-E72D297353CC}">
              <c16:uniqueId val="{00000009-CFFF-44EE-879C-561E9E6ED10C}"/>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8048"/>
        <c:crosses val="autoZero"/>
        <c:auto val="1"/>
        <c:lblAlgn val="ctr"/>
        <c:lblOffset val="100"/>
        <c:noMultiLvlLbl val="0"/>
      </c:catAx>
      <c:valAx>
        <c:axId val="616098048"/>
        <c:scaling>
          <c:orientation val="minMax"/>
          <c:max val="695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6080"/>
        <c:crosses val="autoZero"/>
        <c:crossBetween val="between"/>
      </c:valAx>
      <c:spPr>
        <a:solidFill>
          <a:srgbClr val="F2F2F2"/>
        </a:solidFill>
        <a:ln>
          <a:noFill/>
        </a:ln>
        <a:effectLst/>
      </c:spPr>
    </c:plotArea>
    <c:legend>
      <c:legendPos val="r"/>
      <c:legendEntry>
        <c:idx val="0"/>
        <c:delete val="1"/>
      </c:legendEntry>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CL'!$A$66</c:f>
          <c:strCache>
            <c:ptCount val="1"/>
            <c:pt idx="0">
              <c:v>Energex Small Business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'SB wo CL'!$C$66</c:f>
              <c:strCache>
                <c:ptCount val="1"/>
                <c:pt idx="0">
                  <c:v>Base</c:v>
                </c:pt>
              </c:strCache>
            </c:strRef>
          </c:tx>
          <c:spPr>
            <a:noFill/>
            <a:ln>
              <a:noFill/>
            </a:ln>
            <a:effectLst/>
          </c:spPr>
          <c:invertIfNegative val="0"/>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CL'!$D$66:$J$66</c:f>
              <c:numCache>
                <c:formatCode>#,##0</c:formatCode>
                <c:ptCount val="7"/>
                <c:pt idx="0">
                  <c:v>0</c:v>
                </c:pt>
                <c:pt idx="1">
                  <c:v>4260.6759265219907</c:v>
                </c:pt>
                <c:pt idx="2">
                  <c:v>4287.2981804736482</c:v>
                </c:pt>
                <c:pt idx="3">
                  <c:v>4236.5664812121249</c:v>
                </c:pt>
                <c:pt idx="4">
                  <c:v>4236.5664812121249</c:v>
                </c:pt>
                <c:pt idx="5">
                  <c:v>4290.2564973375011</c:v>
                </c:pt>
                <c:pt idx="6">
                  <c:v>0</c:v>
                </c:pt>
              </c:numCache>
            </c:numRef>
          </c:val>
          <c:extLst>
            <c:ext xmlns:c16="http://schemas.microsoft.com/office/drawing/2014/chart" uri="{C3380CC4-5D6E-409C-BE32-E72D297353CC}">
              <c16:uniqueId val="{00000000-EA6F-4454-B3AB-F1F31AA20D84}"/>
            </c:ext>
          </c:extLst>
        </c:ser>
        <c:ser>
          <c:idx val="1"/>
          <c:order val="1"/>
          <c:tx>
            <c:strRef>
              <c:f>'SB wo CL'!$C$67</c:f>
              <c:strCache>
                <c:ptCount val="1"/>
                <c:pt idx="0">
                  <c:v>Network cost</c:v>
                </c:pt>
              </c:strCache>
            </c:strRef>
          </c:tx>
          <c:spPr>
            <a:solidFill>
              <a:srgbClr val="89B3CE"/>
            </a:solidFill>
            <a:ln>
              <a:noFill/>
            </a:ln>
            <a:effectLst/>
          </c:spPr>
          <c:invertIfNegative val="0"/>
          <c:dLbls>
            <c:dLbl>
              <c:idx val="1"/>
              <c:layout>
                <c:manualLayout>
                  <c:x val="-1.6812373907195697E-3"/>
                  <c:y val="-4.6107665965751651E-2"/>
                </c:manualLayout>
              </c:layout>
              <c:tx>
                <c:strRef>
                  <c:f>'SB wo CL'!$K$67</c:f>
                  <c:strCache>
                    <c:ptCount val="1"/>
                    <c:pt idx="0">
                      <c:v>+31.0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{811B21BD-0AAD-4B95-8DC5-EFD6463C6D23}</c15:txfldGUID>
                      <c15:f>'SB wo CL'!$K$67</c15:f>
                      <c15:dlblFieldTableCache>
                        <c:ptCount val="1"/>
                        <c:pt idx="0">
                          <c:v>+31.0</c:v>
                        </c:pt>
                      </c15:dlblFieldTableCache>
                    </c15:dlblFTEntry>
                  </c15:dlblFieldTable>
                  <c15:showDataLabelsRange val="0"/>
                </c:ext>
                <c:ext xmlns:c16="http://schemas.microsoft.com/office/drawing/2014/chart" uri="{C3380CC4-5D6E-409C-BE32-E72D297353CC}">
                  <c16:uniqueId val="{00000001-EA6F-4454-B3AB-F1F31AA20D8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CL'!$D$67:$J$67</c:f>
              <c:numCache>
                <c:formatCode>#,##0.0</c:formatCode>
                <c:ptCount val="7"/>
                <c:pt idx="0" formatCode="#,##0">
                  <c:v>1475.3915000000002</c:v>
                </c:pt>
                <c:pt idx="1">
                  <c:v>30.979637006268376</c:v>
                </c:pt>
                <c:pt idx="6" formatCode="#,##0">
                  <c:v>1506.3711370062686</c:v>
                </c:pt>
              </c:numCache>
            </c:numRef>
          </c:val>
          <c:extLst>
            <c:ext xmlns:c16="http://schemas.microsoft.com/office/drawing/2014/chart" uri="{C3380CC4-5D6E-409C-BE32-E72D297353CC}">
              <c16:uniqueId val="{00000002-EA6F-4454-B3AB-F1F31AA20D84}"/>
            </c:ext>
          </c:extLst>
        </c:ser>
        <c:ser>
          <c:idx val="2"/>
          <c:order val="2"/>
          <c:tx>
            <c:strRef>
              <c:f>'SB wo CL'!$C$68</c:f>
              <c:strCache>
                <c:ptCount val="1"/>
                <c:pt idx="0">
                  <c:v>Wholesale cost</c:v>
                </c:pt>
              </c:strCache>
            </c:strRef>
          </c:tx>
          <c:spPr>
            <a:solidFill>
              <a:srgbClr val="E06026"/>
            </a:solidFill>
            <a:ln>
              <a:noFill/>
            </a:ln>
            <a:effectLst/>
          </c:spPr>
          <c:invertIfNegative val="0"/>
          <c:dLbls>
            <c:dLbl>
              <c:idx val="2"/>
              <c:layout>
                <c:manualLayout>
                  <c:x val="1.9180134830650789E-3"/>
                  <c:y val="-3.5146209664968349E-2"/>
                </c:manualLayout>
              </c:layout>
              <c:tx>
                <c:strRef>
                  <c:f>'SB wo CL'!$K$68</c:f>
                  <c:strCache>
                    <c:ptCount val="1"/>
                    <c:pt idx="0">
                      <c:v>-4.4</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{D42B1BF8-8695-42E0-B7A6-A52C18051B67}</c15:txfldGUID>
                      <c15:f>'SB wo CL'!$K$68</c15:f>
                      <c15:dlblFieldTableCache>
                        <c:ptCount val="1"/>
                        <c:pt idx="0">
                          <c:v>-4.4</c:v>
                        </c:pt>
                      </c15:dlblFieldTableCache>
                    </c15:dlblFTEntry>
                  </c15:dlblFieldTable>
                  <c15:showDataLabelsRange val="0"/>
                </c:ext>
                <c:ext xmlns:c16="http://schemas.microsoft.com/office/drawing/2014/chart" uri="{C3380CC4-5D6E-409C-BE32-E72D297353CC}">
                  <c16:uniqueId val="{00000003-EA6F-4454-B3AB-F1F31AA20D8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CL'!$D$68:$J$68</c:f>
              <c:numCache>
                <c:formatCode>#,##0.0</c:formatCode>
                <c:ptCount val="7"/>
                <c:pt idx="0" formatCode="#,##0">
                  <c:v>1827.8113464285716</c:v>
                </c:pt>
                <c:pt idx="2">
                  <c:v>4.3573830546110912</c:v>
                </c:pt>
                <c:pt idx="6" formatCode="#,##0">
                  <c:v>1823.4539633739605</c:v>
                </c:pt>
              </c:numCache>
            </c:numRef>
          </c:val>
          <c:extLst>
            <c:ext xmlns:c16="http://schemas.microsoft.com/office/drawing/2014/chart" uri="{C3380CC4-5D6E-409C-BE32-E72D297353CC}">
              <c16:uniqueId val="{00000004-EA6F-4454-B3AB-F1F31AA20D84}"/>
            </c:ext>
          </c:extLst>
        </c:ser>
        <c:ser>
          <c:idx val="3"/>
          <c:order val="3"/>
          <c:tx>
            <c:strRef>
              <c:f>'SB wo CL'!$C$69</c:f>
              <c:strCache>
                <c:ptCount val="1"/>
                <c:pt idx="0">
                  <c:v>Environmental cost</c:v>
                </c:pt>
              </c:strCache>
            </c:strRef>
          </c:tx>
          <c:spPr>
            <a:solidFill>
              <a:srgbClr val="5F9E88"/>
            </a:solidFill>
            <a:ln>
              <a:noFill/>
            </a:ln>
            <a:effectLst/>
          </c:spPr>
          <c:invertIfNegative val="0"/>
          <c:dLbls>
            <c:dLbl>
              <c:idx val="3"/>
              <c:layout>
                <c:manualLayout>
                  <c:x val="-3.4416677582584988E-3"/>
                  <c:y val="3.1681333950903195E-2"/>
                </c:manualLayout>
              </c:layout>
              <c:tx>
                <c:strRef>
                  <c:f>'SB wo CL'!$K$69</c:f>
                  <c:strCache>
                    <c:ptCount val="1"/>
                    <c:pt idx="0">
                      <c:v>-50.7</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{981954EC-62E0-44F6-A6AA-6C70E2972E3F}</c15:txfldGUID>
                      <c15:f>'SB wo CL'!$K$69</c15:f>
                      <c15:dlblFieldTableCache>
                        <c:ptCount val="1"/>
                        <c:pt idx="0">
                          <c:v>-50.7</c:v>
                        </c:pt>
                      </c15:dlblFieldTableCache>
                    </c15:dlblFTEntry>
                  </c15:dlblFieldTable>
                  <c15:showDataLabelsRange val="0"/>
                </c:ext>
                <c:ext xmlns:c16="http://schemas.microsoft.com/office/drawing/2014/chart" uri="{C3380CC4-5D6E-409C-BE32-E72D297353CC}">
                  <c16:uniqueId val="{00000005-EA6F-4454-B3AB-F1F31AA20D8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CL'!$D$69:$J$69</c:f>
              <c:numCache>
                <c:formatCode>#,##0.0</c:formatCode>
                <c:ptCount val="7"/>
                <c:pt idx="0" formatCode="#,##0">
                  <c:v>181.83</c:v>
                </c:pt>
                <c:pt idx="3">
                  <c:v>50.73169926152346</c:v>
                </c:pt>
                <c:pt idx="6" formatCode="#,##0">
                  <c:v>131.09830073847655</c:v>
                </c:pt>
              </c:numCache>
            </c:numRef>
          </c:val>
          <c:extLst>
            <c:ext xmlns:c16="http://schemas.microsoft.com/office/drawing/2014/chart" uri="{C3380CC4-5D6E-409C-BE32-E72D297353CC}">
              <c16:uniqueId val="{00000006-EA6F-4454-B3AB-F1F31AA20D84}"/>
            </c:ext>
          </c:extLst>
        </c:ser>
        <c:ser>
          <c:idx val="4"/>
          <c:order val="4"/>
          <c:tx>
            <c:strRef>
              <c:f>'SB wo CL'!$C$70</c:f>
              <c:strCache>
                <c:ptCount val="1"/>
                <c:pt idx="0">
                  <c:v>Retail cost</c:v>
                </c:pt>
              </c:strCache>
            </c:strRef>
          </c:tx>
          <c:spPr>
            <a:solidFill>
              <a:srgbClr val="F0B9B3"/>
            </a:solidFill>
            <a:ln>
              <a:noFill/>
            </a:ln>
            <a:effectLst/>
          </c:spPr>
          <c:invertIfNegative val="0"/>
          <c:dLbls>
            <c:dLbl>
              <c:idx val="4"/>
              <c:layout>
                <c:manualLayout>
                  <c:x val="1.7216752958889279E-6"/>
                  <c:y val="-5.1994181841820857E-2"/>
                </c:manualLayout>
              </c:layout>
              <c:tx>
                <c:rich>
                  <a:bodyPr/>
                  <a:lstStyle/>
                  <a:p>
                    <a:r>
                      <a:rPr lang="en-US"/>
                      <a:t>+</a:t>
                    </a:r>
                    <a:fld id="{855FB0FA-C6C4-4CE1-B69D-60A141420F4D}"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5.6144228712643782E-2"/>
                      <c:h val="6.1355890885156382E-2"/>
                    </c:manualLayout>
                  </c15:layout>
                  <c15:dlblFieldTable/>
                  <c15:showDataLabelsRange val="0"/>
                </c:ext>
                <c:ext xmlns:c16="http://schemas.microsoft.com/office/drawing/2014/chart" uri="{C3380CC4-5D6E-409C-BE32-E72D297353CC}">
                  <c16:uniqueId val="{00000000-F3A6-424C-870B-2C4D7540DE2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CL'!$D$70:$J$70</c:f>
              <c:numCache>
                <c:formatCode>#,##0.0</c:formatCode>
                <c:ptCount val="7"/>
                <c:pt idx="0" formatCode="#,##0">
                  <c:v>306.96872817600007</c:v>
                </c:pt>
                <c:pt idx="4">
                  <c:v>53.690016125376189</c:v>
                </c:pt>
                <c:pt idx="6" formatCode="#,##0">
                  <c:v>360.65874430137626</c:v>
                </c:pt>
              </c:numCache>
            </c:numRef>
          </c:val>
          <c:extLst>
            <c:ext xmlns:c16="http://schemas.microsoft.com/office/drawing/2014/chart" uri="{C3380CC4-5D6E-409C-BE32-E72D297353CC}">
              <c16:uniqueId val="{00000007-EA6F-4454-B3AB-F1F31AA20D84}"/>
            </c:ext>
          </c:extLst>
        </c:ser>
        <c:ser>
          <c:idx val="5"/>
          <c:order val="5"/>
          <c:tx>
            <c:strRef>
              <c:f>'SB wo CL'!$C$71</c:f>
              <c:strCache>
                <c:ptCount val="1"/>
                <c:pt idx="0">
                  <c:v>Retail margin</c:v>
                </c:pt>
              </c:strCache>
            </c:strRef>
          </c:tx>
          <c:spPr>
            <a:solidFill>
              <a:srgbClr val="303F51"/>
            </a:solidFill>
            <a:ln>
              <a:noFill/>
            </a:ln>
            <a:effectLst/>
          </c:spPr>
          <c:invertIfNegative val="0"/>
          <c:dLbls>
            <c:dLbl>
              <c:idx val="5"/>
              <c:layout>
                <c:manualLayout>
                  <c:x val="1.7604084147522226E-3"/>
                  <c:y val="-3.8910452369924367E-2"/>
                </c:manualLayout>
              </c:layout>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a:t>
                    </a:r>
                    <a:fld id="{8B25AF88-133A-4E86-9032-ED79C0DCF97F}" type="VALUE">
                      <a:rPr lang="en-US">
                        <a:solidFill>
                          <a:sysClr val="windowText" lastClr="000000"/>
                        </a:solidFill>
                      </a:rPr>
                      <a:pPr>
                        <a:defRPr>
                          <a:solidFill>
                            <a:sysClr val="windowText" lastClr="000000"/>
                          </a:solidFill>
                        </a:defRPr>
                      </a:pPr>
                      <a:t>[VALUE]</a:t>
                    </a:fld>
                    <a:endParaRPr lang="en-US">
                      <a:solidFill>
                        <a:sysClr val="windowText" lastClr="000000"/>
                      </a:solidFill>
                    </a:endParaRPr>
                  </a:p>
                </c:rich>
              </c:tx>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3715534633490249E-2"/>
                      <c:h val="6.9504008619773017E-2"/>
                    </c:manualLayout>
                  </c15:layout>
                  <c15:dlblFieldTable/>
                  <c15:showDataLabelsRange val="0"/>
                </c:ext>
                <c:ext xmlns:c16="http://schemas.microsoft.com/office/drawing/2014/chart" uri="{C3380CC4-5D6E-409C-BE32-E72D297353CC}">
                  <c16:uniqueId val="{00000001-F3A6-424C-870B-2C4D7540DE22}"/>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'SB wo CL'!$D$71:$J$71</c:f>
              <c:numCache>
                <c:formatCode>#,##0.0</c:formatCode>
                <c:ptCount val="7"/>
                <c:pt idx="0" formatCode="#,##0">
                  <c:v>468.67435191741879</c:v>
                </c:pt>
                <c:pt idx="5">
                  <c:v>3.6560256064117311</c:v>
                </c:pt>
                <c:pt idx="6" formatCode="#,##0">
                  <c:v>472.33037752383052</c:v>
                </c:pt>
              </c:numCache>
            </c:numRef>
          </c:val>
          <c:extLst>
            <c:ext xmlns:c16="http://schemas.microsoft.com/office/drawing/2014/chart" uri="{C3380CC4-5D6E-409C-BE32-E72D297353CC}">
              <c16:uniqueId val="{00000008-EA6F-4454-B3AB-F1F31AA20D84}"/>
            </c:ext>
          </c:extLst>
        </c:ser>
        <c:ser>
          <c:idx val="6"/>
          <c:order val="6"/>
          <c:tx>
            <c:strRef>
              <c:f>'SB wo CL'!$C$72</c:f>
              <c:strCache>
                <c:ptCount val="1"/>
                <c:pt idx="0">
                  <c:v>DMO</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CL'!$D$72:$J$72</c:f>
              <c:numCache>
                <c:formatCode>#,##0</c:formatCode>
                <c:ptCount val="7"/>
                <c:pt idx="0">
                  <c:v>4261</c:v>
                </c:pt>
                <c:pt idx="6">
                  <c:v>4294</c:v>
                </c:pt>
              </c:numCache>
            </c:numRef>
          </c:val>
          <c:extLst>
            <c:ext xmlns:c16="http://schemas.microsoft.com/office/drawing/2014/chart" uri="{C3380CC4-5D6E-409C-BE32-E72D297353CC}">
              <c16:uniqueId val="{00000009-EA6F-4454-B3AB-F1F31AA20D84}"/>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8048"/>
        <c:crosses val="autoZero"/>
        <c:auto val="1"/>
        <c:lblAlgn val="ctr"/>
        <c:lblOffset val="100"/>
        <c:noMultiLvlLbl val="0"/>
      </c:catAx>
      <c:valAx>
        <c:axId val="616098048"/>
        <c:scaling>
          <c:orientation val="minMax"/>
          <c:max val="5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6080"/>
        <c:crosses val="autoZero"/>
        <c:crossBetween val="between"/>
      </c:valAx>
      <c:spPr>
        <a:solidFill>
          <a:srgbClr val="F2F2F2"/>
        </a:solidFill>
        <a:ln>
          <a:noFill/>
        </a:ln>
        <a:effectLst/>
      </c:spPr>
    </c:plotArea>
    <c:legend>
      <c:legendPos val="r"/>
      <c:legendEntry>
        <c:idx val="0"/>
        <c:delete val="1"/>
      </c:legendEntry>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CL'!$A$73</c:f>
          <c:strCache>
            <c:ptCount val="1"/>
            <c:pt idx="0">
              <c:v>SAPN Small Business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1442495126705652E-2"/>
          <c:y val="0.14156862745098039"/>
          <c:w val="0.7980985710119568"/>
          <c:h val="0.74478431372549014"/>
        </c:manualLayout>
      </c:layout>
      <c:barChart>
        <c:barDir val="col"/>
        <c:grouping val="stacked"/>
        <c:varyColors val="0"/>
        <c:ser>
          <c:idx val="0"/>
          <c:order val="0"/>
          <c:tx>
            <c:strRef>
              <c:f>'SB wo CL'!$C$73</c:f>
              <c:strCache>
                <c:ptCount val="1"/>
                <c:pt idx="0">
                  <c:v>Base</c:v>
                </c:pt>
              </c:strCache>
            </c:strRef>
          </c:tx>
          <c:spPr>
            <a:noFill/>
            <a:ln>
              <a:noFill/>
            </a:ln>
            <a:effectLst/>
          </c:spPr>
          <c:invertIfNegative val="0"/>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CL'!$D$73:$J$73</c:f>
              <c:numCache>
                <c:formatCode>#,##0</c:formatCode>
                <c:ptCount val="7"/>
                <c:pt idx="0">
                  <c:v>0</c:v>
                </c:pt>
                <c:pt idx="1">
                  <c:v>5351.9889687512032</c:v>
                </c:pt>
                <c:pt idx="2">
                  <c:v>5427.5155221959376</c:v>
                </c:pt>
                <c:pt idx="3">
                  <c:v>5493.7511593389991</c:v>
                </c:pt>
                <c:pt idx="4">
                  <c:v>5493.7511593389991</c:v>
                </c:pt>
                <c:pt idx="5">
                  <c:v>5520.2102801815172</c:v>
                </c:pt>
                <c:pt idx="6">
                  <c:v>0</c:v>
                </c:pt>
              </c:numCache>
            </c:numRef>
          </c:val>
          <c:extLst>
            <c:ext xmlns:c16="http://schemas.microsoft.com/office/drawing/2014/chart" uri="{C3380CC4-5D6E-409C-BE32-E72D297353CC}">
              <c16:uniqueId val="{00000000-6EE3-41EC-88D7-3A4FCD5CC3B5}"/>
            </c:ext>
          </c:extLst>
        </c:ser>
        <c:ser>
          <c:idx val="1"/>
          <c:order val="1"/>
          <c:tx>
            <c:strRef>
              <c:f>'SB wo CL'!$C$74</c:f>
              <c:strCache>
                <c:ptCount val="1"/>
                <c:pt idx="0">
                  <c:v>Network cost</c:v>
                </c:pt>
              </c:strCache>
            </c:strRef>
          </c:tx>
          <c:spPr>
            <a:solidFill>
              <a:srgbClr val="89B3CE"/>
            </a:solidFill>
            <a:ln>
              <a:noFill/>
            </a:ln>
            <a:effectLst/>
          </c:spPr>
          <c:invertIfNegative val="0"/>
          <c:dLbls>
            <c:dLbl>
              <c:idx val="1"/>
              <c:layout>
                <c:manualLayout>
                  <c:x val="-1.8713451671111235E-3"/>
                  <c:y val="-3.7392840871231257E-2"/>
                </c:manualLayout>
              </c:layout>
              <c:tx>
                <c:strRef>
                  <c:f>'SB wo CL'!$K$74</c:f>
                  <c:strCache>
                    <c:ptCount val="1"/>
                    <c:pt idx="0">
                      <c:v>+75.5</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{A999A734-C5CA-49C3-91B1-FE6416B7ACFD}</c15:txfldGUID>
                      <c15:f>'SB wo CL'!$K$74</c15:f>
                      <c15:dlblFieldTableCache>
                        <c:ptCount val="1"/>
                        <c:pt idx="0">
                          <c:v>+75.5</c:v>
                        </c:pt>
                      </c15:dlblFieldTableCache>
                    </c15:dlblFTEntry>
                  </c15:dlblFieldTable>
                  <c15:showDataLabelsRange val="0"/>
                </c:ext>
                <c:ext xmlns:c16="http://schemas.microsoft.com/office/drawing/2014/chart" uri="{C3380CC4-5D6E-409C-BE32-E72D297353CC}">
                  <c16:uniqueId val="{00000001-6EE3-41EC-88D7-3A4FCD5CC3B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CL'!$D$74:$J$74</c:f>
              <c:numCache>
                <c:formatCode>#,##0.0</c:formatCode>
                <c:ptCount val="7"/>
                <c:pt idx="0" formatCode="#,##0">
                  <c:v>2206.44985</c:v>
                </c:pt>
                <c:pt idx="1">
                  <c:v>75.526553444733963</c:v>
                </c:pt>
                <c:pt idx="6" formatCode="#,##0">
                  <c:v>2281.9764034447339</c:v>
                </c:pt>
              </c:numCache>
            </c:numRef>
          </c:val>
          <c:extLst>
            <c:ext xmlns:c16="http://schemas.microsoft.com/office/drawing/2014/chart" uri="{C3380CC4-5D6E-409C-BE32-E72D297353CC}">
              <c16:uniqueId val="{00000002-6EE3-41EC-88D7-3A4FCD5CC3B5}"/>
            </c:ext>
          </c:extLst>
        </c:ser>
        <c:ser>
          <c:idx val="2"/>
          <c:order val="2"/>
          <c:tx>
            <c:strRef>
              <c:f>'SB wo CL'!$C$75</c:f>
              <c:strCache>
                <c:ptCount val="1"/>
                <c:pt idx="0">
                  <c:v>Wholesale cost</c:v>
                </c:pt>
              </c:strCache>
            </c:strRef>
          </c:tx>
          <c:spPr>
            <a:solidFill>
              <a:srgbClr val="E06026"/>
            </a:solidFill>
            <a:ln>
              <a:noFill/>
            </a:ln>
            <a:effectLst/>
          </c:spPr>
          <c:invertIfNegative val="0"/>
          <c:dLbls>
            <c:dLbl>
              <c:idx val="2"/>
              <c:layout>
                <c:manualLayout>
                  <c:x val="7.7972709551656923E-5"/>
                  <c:y val="-3.8231279913540257E-2"/>
                </c:manualLayout>
              </c:layout>
              <c:tx>
                <c:strRef>
                  <c:f>'SB wo CL'!$K$75</c:f>
                  <c:strCache>
                    <c:ptCount val="1"/>
                    <c:pt idx="0">
                      <c:v>+129.4</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{CC233FF2-4101-486D-B41C-FADF22D47D3B}</c15:txfldGUID>
                      <c15:f>'SB wo CL'!$K$75</c15:f>
                      <c15:dlblFieldTableCache>
                        <c:ptCount val="1"/>
                        <c:pt idx="0">
                          <c:v>+129.4</c:v>
                        </c:pt>
                      </c15:dlblFieldTableCache>
                    </c15:dlblFTEntry>
                  </c15:dlblFieldTable>
                  <c15:showDataLabelsRange val="0"/>
                </c:ext>
                <c:ext xmlns:c16="http://schemas.microsoft.com/office/drawing/2014/chart" uri="{C3380CC4-5D6E-409C-BE32-E72D297353CC}">
                  <c16:uniqueId val="{00000003-6EE3-41EC-88D7-3A4FCD5CC3B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CL'!$D$75:$J$75</c:f>
              <c:numCache>
                <c:formatCode>#,##0.0</c:formatCode>
                <c:ptCount val="7"/>
                <c:pt idx="0" formatCode="#,##0">
                  <c:v>1994.7913464285712</c:v>
                </c:pt>
                <c:pt idx="2">
                  <c:v>129.37869788163653</c:v>
                </c:pt>
                <c:pt idx="6" formatCode="#,##0">
                  <c:v>2124.1700443102077</c:v>
                </c:pt>
              </c:numCache>
            </c:numRef>
          </c:val>
          <c:extLst>
            <c:ext xmlns:c16="http://schemas.microsoft.com/office/drawing/2014/chart" uri="{C3380CC4-5D6E-409C-BE32-E72D297353CC}">
              <c16:uniqueId val="{00000004-6EE3-41EC-88D7-3A4FCD5CC3B5}"/>
            </c:ext>
          </c:extLst>
        </c:ser>
        <c:ser>
          <c:idx val="3"/>
          <c:order val="3"/>
          <c:tx>
            <c:strRef>
              <c:f>'SB wo CL'!$C$76</c:f>
              <c:strCache>
                <c:ptCount val="1"/>
                <c:pt idx="0">
                  <c:v>Environmental cost</c:v>
                </c:pt>
              </c:strCache>
            </c:strRef>
          </c:tx>
          <c:spPr>
            <a:solidFill>
              <a:srgbClr val="5F9E88"/>
            </a:solidFill>
            <a:ln>
              <a:noFill/>
            </a:ln>
            <a:effectLst/>
          </c:spPr>
          <c:invertIfNegative val="0"/>
          <c:dLbls>
            <c:dLbl>
              <c:idx val="3"/>
              <c:layout>
                <c:manualLayout>
                  <c:x val="-1.8753357584688594E-3"/>
                  <c:y val="3.1865369769955187E-2"/>
                </c:manualLayout>
              </c:layout>
              <c:tx>
                <c:strRef>
                  <c:f>'SB wo CL'!$K$76</c:f>
                  <c:strCache>
                    <c:ptCount val="1"/>
                    <c:pt idx="0">
                      <c:v>-63.1</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{0BB406AF-BA1F-419B-81D9-9D70133FC017}</c15:txfldGUID>
                      <c15:f>'SB wo CL'!$K$76</c15:f>
                      <c15:dlblFieldTableCache>
                        <c:ptCount val="1"/>
                        <c:pt idx="0">
                          <c:v>-63.1</c:v>
                        </c:pt>
                      </c15:dlblFieldTableCache>
                    </c15:dlblFTEntry>
                  </c15:dlblFieldTable>
                  <c15:showDataLabelsRange val="0"/>
                </c:ext>
                <c:ext xmlns:c16="http://schemas.microsoft.com/office/drawing/2014/chart" uri="{C3380CC4-5D6E-409C-BE32-E72D297353CC}">
                  <c16:uniqueId val="{00000005-6EE3-41EC-88D7-3A4FCD5CC3B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CL'!$D$76:$J$76</c:f>
              <c:numCache>
                <c:formatCode>#,##0.0</c:formatCode>
                <c:ptCount val="7"/>
                <c:pt idx="0" formatCode="#,##0">
                  <c:v>243.76</c:v>
                </c:pt>
                <c:pt idx="3">
                  <c:v>63.143060738575258</c:v>
                </c:pt>
                <c:pt idx="6" formatCode="#,##0">
                  <c:v>180.61693926142473</c:v>
                </c:pt>
              </c:numCache>
            </c:numRef>
          </c:val>
          <c:extLst>
            <c:ext xmlns:c16="http://schemas.microsoft.com/office/drawing/2014/chart" uri="{C3380CC4-5D6E-409C-BE32-E72D297353CC}">
              <c16:uniqueId val="{00000006-6EE3-41EC-88D7-3A4FCD5CC3B5}"/>
            </c:ext>
          </c:extLst>
        </c:ser>
        <c:ser>
          <c:idx val="4"/>
          <c:order val="4"/>
          <c:tx>
            <c:strRef>
              <c:f>'SB wo CL'!$C$77</c:f>
              <c:strCache>
                <c:ptCount val="1"/>
                <c:pt idx="0">
                  <c:v>Retail cost</c:v>
                </c:pt>
              </c:strCache>
            </c:strRef>
          </c:tx>
          <c:spPr>
            <a:solidFill>
              <a:srgbClr val="F0B9B3"/>
            </a:solidFill>
            <a:ln>
              <a:noFill/>
            </a:ln>
            <a:effectLst/>
          </c:spPr>
          <c:invertIfNegative val="0"/>
          <c:dLbls>
            <c:dLbl>
              <c:idx val="4"/>
              <c:layout>
                <c:manualLayout>
                  <c:x val="0"/>
                  <c:y val="-3.6721029066413141E-2"/>
                </c:manualLayout>
              </c:layout>
              <c:tx>
                <c:rich>
                  <a:bodyPr/>
                  <a:lstStyle/>
                  <a:p>
                    <a:r>
                      <a:rPr lang="en-US"/>
                      <a:t>+</a:t>
                    </a:r>
                    <a:fld id="{F8D5561C-E5FF-48CF-A24B-83C18C2BC6C6}"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06A-4B7C-90BB-2AFF591C9F3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CL'!$D$77:$J$77</c:f>
              <c:numCache>
                <c:formatCode>#,##0.0</c:formatCode>
                <c:ptCount val="7"/>
                <c:pt idx="0" formatCode="#,##0">
                  <c:v>318.26898576000008</c:v>
                </c:pt>
                <c:pt idx="4">
                  <c:v>26.459120842518132</c:v>
                </c:pt>
                <c:pt idx="6" formatCode="#,##0">
                  <c:v>344.72810660251821</c:v>
                </c:pt>
              </c:numCache>
            </c:numRef>
          </c:val>
          <c:extLst>
            <c:ext xmlns:c16="http://schemas.microsoft.com/office/drawing/2014/chart" uri="{C3380CC4-5D6E-409C-BE32-E72D297353CC}">
              <c16:uniqueId val="{00000007-6EE3-41EC-88D7-3A4FCD5CC3B5}"/>
            </c:ext>
          </c:extLst>
        </c:ser>
        <c:ser>
          <c:idx val="5"/>
          <c:order val="5"/>
          <c:tx>
            <c:strRef>
              <c:f>'SB wo CL'!$C$78</c:f>
              <c:strCache>
                <c:ptCount val="1"/>
                <c:pt idx="0">
                  <c:v>Retail margin</c:v>
                </c:pt>
              </c:strCache>
            </c:strRef>
          </c:tx>
          <c:spPr>
            <a:solidFill>
              <a:srgbClr val="303F51"/>
            </a:solidFill>
            <a:ln>
              <a:noFill/>
            </a:ln>
            <a:effectLst/>
          </c:spPr>
          <c:invertIfNegative val="0"/>
          <c:dLbls>
            <c:dLbl>
              <c:idx val="5"/>
              <c:layout>
                <c:manualLayout>
                  <c:x val="2.8069407990667832E-3"/>
                  <c:y val="-3.0169831712212481E-2"/>
                </c:manualLayout>
              </c:layout>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a:t>
                    </a:r>
                    <a:fld id="{9B9B1232-FC89-40B9-BEB6-AC7C8E3902B2}" type="VALUE">
                      <a:rPr lang="en-US">
                        <a:solidFill>
                          <a:sysClr val="windowText" lastClr="000000"/>
                        </a:solidFill>
                      </a:rPr>
                      <a:pPr>
                        <a:defRPr>
                          <a:solidFill>
                            <a:sysClr val="windowText" lastClr="000000"/>
                          </a:solidFill>
                        </a:defRPr>
                      </a:pPr>
                      <a:t>[VALUE]</a:t>
                    </a:fld>
                    <a:endParaRPr lang="en-US">
                      <a:solidFill>
                        <a:sysClr val="windowText" lastClr="000000"/>
                      </a:solidFill>
                    </a:endParaRPr>
                  </a:p>
                </c:rich>
              </c:tx>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6451466884115989E-2"/>
                      <c:h val="5.3135719537744049E-2"/>
                    </c:manualLayout>
                  </c15:layout>
                  <c15:dlblFieldTable/>
                  <c15:showDataLabelsRange val="0"/>
                </c:ext>
                <c:ext xmlns:c16="http://schemas.microsoft.com/office/drawing/2014/chart" uri="{C3380CC4-5D6E-409C-BE32-E72D297353CC}">
                  <c16:uniqueId val="{00000001-906A-4B7C-90BB-2AFF591C9F31}"/>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CL'!$D$78:$J$78</c:f>
              <c:numCache>
                <c:formatCode>#,##0.0</c:formatCode>
                <c:ptCount val="7"/>
                <c:pt idx="0" formatCode="#,##0">
                  <c:v>588.71878656263198</c:v>
                </c:pt>
                <c:pt idx="5">
                  <c:v>20.791398041948923</c:v>
                </c:pt>
                <c:pt idx="6" formatCode="#,##0">
                  <c:v>609.5101846045809</c:v>
                </c:pt>
              </c:numCache>
            </c:numRef>
          </c:val>
          <c:extLst>
            <c:ext xmlns:c16="http://schemas.microsoft.com/office/drawing/2014/chart" uri="{C3380CC4-5D6E-409C-BE32-E72D297353CC}">
              <c16:uniqueId val="{00000008-6EE3-41EC-88D7-3A4FCD5CC3B5}"/>
            </c:ext>
          </c:extLst>
        </c:ser>
        <c:ser>
          <c:idx val="6"/>
          <c:order val="6"/>
          <c:tx>
            <c:strRef>
              <c:f>'SB wo CL'!$C$79</c:f>
              <c:strCache>
                <c:ptCount val="1"/>
                <c:pt idx="0">
                  <c:v>DMO</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CL'!$D$79:$J$79</c:f>
              <c:numCache>
                <c:formatCode>#,##0</c:formatCode>
                <c:ptCount val="7"/>
                <c:pt idx="0">
                  <c:v>5352</c:v>
                </c:pt>
                <c:pt idx="6">
                  <c:v>5541</c:v>
                </c:pt>
              </c:numCache>
            </c:numRef>
          </c:val>
          <c:extLst>
            <c:ext xmlns:c16="http://schemas.microsoft.com/office/drawing/2014/chart" uri="{C3380CC4-5D6E-409C-BE32-E72D297353CC}">
              <c16:uniqueId val="{00000009-6EE3-41EC-88D7-3A4FCD5CC3B5}"/>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8048"/>
        <c:crosses val="autoZero"/>
        <c:auto val="1"/>
        <c:lblAlgn val="ctr"/>
        <c:lblOffset val="100"/>
        <c:noMultiLvlLbl val="0"/>
      </c:catAx>
      <c:valAx>
        <c:axId val="616098048"/>
        <c:scaling>
          <c:orientation val="minMax"/>
          <c:max val="65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6080"/>
        <c:crosses val="autoZero"/>
        <c:crossBetween val="between"/>
      </c:valAx>
      <c:spPr>
        <a:solidFill>
          <a:srgbClr val="F2F2F2"/>
        </a:solidFill>
        <a:ln>
          <a:noFill/>
        </a:ln>
        <a:effectLst/>
      </c:spPr>
    </c:plotArea>
    <c:legend>
      <c:legendPos val="r"/>
      <c:legendEntry>
        <c:idx val="0"/>
        <c:delete val="1"/>
      </c:legendEntry>
      <c:legendEntry>
        <c:idx val="6"/>
        <c:delete val="1"/>
      </c:legendEntry>
      <c:layout>
        <c:manualLayout>
          <c:xMode val="edge"/>
          <c:yMode val="edge"/>
          <c:x val="0.82343970161624536"/>
          <c:y val="0.39284761463640572"/>
          <c:w val="0.17266166290617183"/>
          <c:h val="0.312735834491276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Ausgrid Small Business without CL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1442495126705652E-2"/>
          <c:y val="0.14156862745098039"/>
          <c:w val="0.79030130005679111"/>
          <c:h val="0.73694117647058821"/>
        </c:manualLayout>
      </c:layout>
      <c:barChart>
        <c:barDir val="col"/>
        <c:grouping val="stacked"/>
        <c:varyColors val="0"/>
        <c:ser>
          <c:idx val="0"/>
          <c:order val="0"/>
          <c:tx>
            <c:strRef>
              <c:f>'SB wo CL'!$C$45</c:f>
              <c:strCache>
                <c:ptCount val="1"/>
                <c:pt idx="0">
                  <c:v>Base</c:v>
                </c:pt>
              </c:strCache>
            </c:strRef>
          </c:tx>
          <c:spPr>
            <a:noFill/>
            <a:ln>
              <a:noFill/>
            </a:ln>
            <a:effectLst/>
          </c:spPr>
          <c:invertIfNegative val="0"/>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CL'!$D$45:$J$45</c:f>
              <c:numCache>
                <c:formatCode>#,##0</c:formatCode>
                <c:ptCount val="7"/>
                <c:pt idx="0">
                  <c:v>0</c:v>
                </c:pt>
                <c:pt idx="1">
                  <c:v>4611.8615329112563</c:v>
                </c:pt>
                <c:pt idx="2">
                  <c:v>4779.0076678332343</c:v>
                </c:pt>
                <c:pt idx="3">
                  <c:v>4841.6044283550473</c:v>
                </c:pt>
                <c:pt idx="4">
                  <c:v>4841.6044283550473</c:v>
                </c:pt>
                <c:pt idx="5">
                  <c:v>4937.2626746079404</c:v>
                </c:pt>
              </c:numCache>
            </c:numRef>
          </c:val>
          <c:extLst>
            <c:ext xmlns:c16="http://schemas.microsoft.com/office/drawing/2014/chart" uri="{C3380CC4-5D6E-409C-BE32-E72D297353CC}">
              <c16:uniqueId val="{00000000-6ABF-4661-8332-C4B328DDBFA4}"/>
            </c:ext>
          </c:extLst>
        </c:ser>
        <c:ser>
          <c:idx val="1"/>
          <c:order val="1"/>
          <c:tx>
            <c:strRef>
              <c:f>'SB wo CL'!$C$46</c:f>
              <c:strCache>
                <c:ptCount val="1"/>
                <c:pt idx="0">
                  <c:v>Network cost</c:v>
                </c:pt>
              </c:strCache>
            </c:strRef>
          </c:tx>
          <c:spPr>
            <a:solidFill>
              <a:srgbClr val="89B3CE"/>
            </a:solidFill>
            <a:ln>
              <a:noFill/>
            </a:ln>
            <a:effectLst/>
          </c:spPr>
          <c:invertIfNegative val="0"/>
          <c:dLbls>
            <c:dLbl>
              <c:idx val="1"/>
              <c:layout>
                <c:manualLayout>
                  <c:x val="-1.8561484918793504E-3"/>
                  <c:y val="-3.7213047459660864E-2"/>
                </c:manualLayout>
              </c:layout>
              <c:tx>
                <c:strRef>
                  <c:f>'SB wo CL'!$K$46</c:f>
                  <c:strCache>
                    <c:ptCount val="1"/>
                    <c:pt idx="0">
                      <c:v>+167.1</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{2DC28F37-2832-4CE4-A056-4DF23BA19458}</c15:txfldGUID>
                      <c15:f>'SB wo CL'!$K$46</c15:f>
                      <c15:dlblFieldTableCache>
                        <c:ptCount val="1"/>
                        <c:pt idx="0">
                          <c:v>+167.1</c:v>
                        </c:pt>
                      </c15:dlblFieldTableCache>
                    </c15:dlblFTEntry>
                  </c15:dlblFieldTable>
                  <c15:showDataLabelsRange val="0"/>
                </c:ext>
                <c:ext xmlns:c16="http://schemas.microsoft.com/office/drawing/2014/chart" uri="{C3380CC4-5D6E-409C-BE32-E72D297353CC}">
                  <c16:uniqueId val="{00000001-6ABF-4661-8332-C4B328DDBFA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CL'!$D$46:$J$46</c:f>
              <c:numCache>
                <c:formatCode>#,##0.0</c:formatCode>
                <c:ptCount val="7"/>
                <c:pt idx="0" formatCode="#,##0">
                  <c:v>1756.1919530464475</c:v>
                </c:pt>
                <c:pt idx="1">
                  <c:v>167.14613492197782</c:v>
                </c:pt>
                <c:pt idx="6" formatCode="#,##0">
                  <c:v>1923.3380879684253</c:v>
                </c:pt>
              </c:numCache>
            </c:numRef>
          </c:val>
          <c:extLst>
            <c:ext xmlns:c16="http://schemas.microsoft.com/office/drawing/2014/chart" uri="{C3380CC4-5D6E-409C-BE32-E72D297353CC}">
              <c16:uniqueId val="{00000002-6ABF-4661-8332-C4B328DDBFA4}"/>
            </c:ext>
          </c:extLst>
        </c:ser>
        <c:ser>
          <c:idx val="2"/>
          <c:order val="2"/>
          <c:tx>
            <c:strRef>
              <c:f>'SB wo CL'!$C$47</c:f>
              <c:strCache>
                <c:ptCount val="1"/>
                <c:pt idx="0">
                  <c:v>Wholesale cost</c:v>
                </c:pt>
              </c:strCache>
            </c:strRef>
          </c:tx>
          <c:spPr>
            <a:solidFill>
              <a:srgbClr val="E06026"/>
            </a:solidFill>
            <a:ln>
              <a:noFill/>
            </a:ln>
            <a:effectLst/>
          </c:spPr>
          <c:invertIfNegative val="0"/>
          <c:dLbls>
            <c:dLbl>
              <c:idx val="2"/>
              <c:layout>
                <c:manualLayout>
                  <c:x val="2.0391091464444138E-3"/>
                  <c:y val="-3.4188667593021457E-2"/>
                </c:manualLayout>
              </c:layout>
              <c:tx>
                <c:strRef>
                  <c:f>'SB wo CL'!$K$47</c:f>
                  <c:strCache>
                    <c:ptCount val="1"/>
                    <c:pt idx="0">
                      <c:v>+103.4</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{38419930-8F48-4314-AF1F-5825374B9837}</c15:txfldGUID>
                      <c15:f>'SB wo CL'!$K$47</c15:f>
                      <c15:dlblFieldTableCache>
                        <c:ptCount val="1"/>
                        <c:pt idx="0">
                          <c:v>+103.4</c:v>
                        </c:pt>
                      </c15:dlblFieldTableCache>
                    </c15:dlblFTEntry>
                  </c15:dlblFieldTable>
                  <c15:showDataLabelsRange val="0"/>
                </c:ext>
                <c:ext xmlns:c16="http://schemas.microsoft.com/office/drawing/2014/chart" uri="{C3380CC4-5D6E-409C-BE32-E72D297353CC}">
                  <c16:uniqueId val="{00000003-6ABF-4661-8332-C4B328DDBFA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CL'!$D$47:$J$47</c:f>
              <c:numCache>
                <c:formatCode>#,##0.0</c:formatCode>
                <c:ptCount val="7"/>
                <c:pt idx="0" formatCode="#,##0">
                  <c:v>1806.0313464285709</c:v>
                </c:pt>
                <c:pt idx="2">
                  <c:v>103.42773666677886</c:v>
                </c:pt>
                <c:pt idx="6" formatCode="#,##0">
                  <c:v>1909.4590830953498</c:v>
                </c:pt>
              </c:numCache>
            </c:numRef>
          </c:val>
          <c:extLst>
            <c:ext xmlns:c16="http://schemas.microsoft.com/office/drawing/2014/chart" uri="{C3380CC4-5D6E-409C-BE32-E72D297353CC}">
              <c16:uniqueId val="{00000004-6ABF-4661-8332-C4B328DDBFA4}"/>
            </c:ext>
          </c:extLst>
        </c:ser>
        <c:ser>
          <c:idx val="3"/>
          <c:order val="3"/>
          <c:tx>
            <c:strRef>
              <c:f>'SB wo CL'!$C$48</c:f>
              <c:strCache>
                <c:ptCount val="1"/>
                <c:pt idx="0">
                  <c:v>Environmental cost</c:v>
                </c:pt>
              </c:strCache>
            </c:strRef>
          </c:tx>
          <c:spPr>
            <a:solidFill>
              <a:srgbClr val="5F9E88"/>
            </a:solidFill>
            <a:ln>
              <a:noFill/>
            </a:ln>
            <a:effectLst/>
          </c:spPr>
          <c:invertIfNegative val="0"/>
          <c:dLbls>
            <c:dLbl>
              <c:idx val="3"/>
              <c:layout>
                <c:manualLayout>
                  <c:x val="-1.9493177387914229E-3"/>
                  <c:y val="2.4920487880191446E-2"/>
                </c:manualLayout>
              </c:layout>
              <c:tx>
                <c:strRef>
                  <c:f>'SB wo CL'!$K$48</c:f>
                  <c:strCache>
                    <c:ptCount val="1"/>
                    <c:pt idx="0">
                      <c:v>-40.8</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{CC94865E-4974-40A3-BF8A-30633FEE1ACA}</c15:txfldGUID>
                      <c15:f>'SB wo CL'!$K$48</c15:f>
                      <c15:dlblFieldTableCache>
                        <c:ptCount val="1"/>
                        <c:pt idx="0">
                          <c:v>-40.8</c:v>
                        </c:pt>
                      </c15:dlblFieldTableCache>
                    </c15:dlblFTEntry>
                  </c15:dlblFieldTable>
                  <c15:showDataLabelsRange val="0"/>
                </c:ext>
                <c:ext xmlns:c16="http://schemas.microsoft.com/office/drawing/2014/chart" uri="{C3380CC4-5D6E-409C-BE32-E72D297353CC}">
                  <c16:uniqueId val="{00000005-6ABF-4661-8332-C4B328DDBFA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CL'!$D$48:$J$48</c:f>
              <c:numCache>
                <c:formatCode>#,##0.0</c:formatCode>
                <c:ptCount val="7"/>
                <c:pt idx="0" formatCode="#,##0">
                  <c:v>216.04000000000002</c:v>
                </c:pt>
                <c:pt idx="3">
                  <c:v>40.830976144965859</c:v>
                </c:pt>
                <c:pt idx="6" formatCode="#,##0">
                  <c:v>175.20902385503416</c:v>
                </c:pt>
              </c:numCache>
            </c:numRef>
          </c:val>
          <c:extLst>
            <c:ext xmlns:c16="http://schemas.microsoft.com/office/drawing/2014/chart" uri="{C3380CC4-5D6E-409C-BE32-E72D297353CC}">
              <c16:uniqueId val="{00000006-6ABF-4661-8332-C4B328DDBFA4}"/>
            </c:ext>
          </c:extLst>
        </c:ser>
        <c:ser>
          <c:idx val="4"/>
          <c:order val="4"/>
          <c:tx>
            <c:strRef>
              <c:f>'SB wo CL'!$C$49</c:f>
              <c:strCache>
                <c:ptCount val="1"/>
                <c:pt idx="0">
                  <c:v>Retail cost</c:v>
                </c:pt>
              </c:strCache>
            </c:strRef>
          </c:tx>
          <c:spPr>
            <a:solidFill>
              <a:srgbClr val="F0B9B3"/>
            </a:solidFill>
            <a:ln>
              <a:noFill/>
            </a:ln>
            <a:effectLst/>
          </c:spPr>
          <c:invertIfNegative val="0"/>
          <c:dLbls>
            <c:dLbl>
              <c:idx val="4"/>
              <c:layout>
                <c:manualLayout>
                  <c:x val="8.7184216330620165E-3"/>
                  <c:y val="-3.7667757299611845E-2"/>
                </c:manualLayout>
              </c:layout>
              <c:tx>
                <c:rich>
                  <a:bodyPr/>
                  <a:lstStyle/>
                  <a:p>
                    <a:r>
                      <a:rPr lang="en-US"/>
                      <a:t>+</a:t>
                    </a:r>
                    <a:fld id="{C9689F27-BE85-4B5A-8329-351B85E52306}"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7.3042317078786209E-2"/>
                      <c:h val="6.5241315423807317E-2"/>
                    </c:manualLayout>
                  </c15:layout>
                  <c15:dlblFieldTable/>
                  <c15:showDataLabelsRange val="0"/>
                </c:ext>
                <c:ext xmlns:c16="http://schemas.microsoft.com/office/drawing/2014/chart" uri="{C3380CC4-5D6E-409C-BE32-E72D297353CC}">
                  <c16:uniqueId val="{00000000-A668-4C33-997D-43FB670CB4B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CL'!$D$49:$J$49</c:f>
              <c:numCache>
                <c:formatCode>#,##0.0</c:formatCode>
                <c:ptCount val="7"/>
                <c:pt idx="0" formatCode="#,##0">
                  <c:v>326.29346481599998</c:v>
                </c:pt>
                <c:pt idx="4">
                  <c:v>95.658246252893605</c:v>
                </c:pt>
                <c:pt idx="6" formatCode="#,##0">
                  <c:v>421.95171106889359</c:v>
                </c:pt>
              </c:numCache>
            </c:numRef>
          </c:val>
          <c:extLst>
            <c:ext xmlns:c16="http://schemas.microsoft.com/office/drawing/2014/chart" uri="{C3380CC4-5D6E-409C-BE32-E72D297353CC}">
              <c16:uniqueId val="{00000007-6ABF-4661-8332-C4B328DDBFA4}"/>
            </c:ext>
          </c:extLst>
        </c:ser>
        <c:ser>
          <c:idx val="5"/>
          <c:order val="5"/>
          <c:tx>
            <c:strRef>
              <c:f>'SB wo CL'!$C$50</c:f>
              <c:strCache>
                <c:ptCount val="1"/>
                <c:pt idx="0">
                  <c:v>Retail margin</c:v>
                </c:pt>
              </c:strCache>
            </c:strRef>
          </c:tx>
          <c:spPr>
            <a:solidFill>
              <a:srgbClr val="303F51"/>
            </a:solidFill>
            <a:ln>
              <a:noFill/>
            </a:ln>
            <a:effectLst/>
          </c:spPr>
          <c:invertIfNegative val="0"/>
          <c:dLbls>
            <c:dLbl>
              <c:idx val="5"/>
              <c:layout>
                <c:manualLayout>
                  <c:x val="-9.3843532716305202E-4"/>
                  <c:y val="-3.4710668519376257E-2"/>
                </c:manualLayout>
              </c:layout>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a:t>
                    </a:r>
                    <a:fld id="{6788DB91-EF1A-4F91-A07E-B0BA905B8E89}" type="VALUE">
                      <a:rPr lang="en-US">
                        <a:solidFill>
                          <a:sysClr val="windowText" lastClr="000000"/>
                        </a:solidFill>
                      </a:rPr>
                      <a:pPr>
                        <a:defRPr>
                          <a:solidFill>
                            <a:sysClr val="windowText" lastClr="000000"/>
                          </a:solidFill>
                        </a:defRPr>
                      </a:pPr>
                      <a:t>[VALUE]</a:t>
                    </a:fld>
                    <a:endParaRPr lang="en-US">
                      <a:solidFill>
                        <a:sysClr val="windowText" lastClr="000000"/>
                      </a:solidFill>
                    </a:endParaRPr>
                  </a:p>
                </c:rich>
              </c:tx>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8612364876984508E-2"/>
                      <c:h val="7.783167970876706E-2"/>
                    </c:manualLayout>
                  </c15:layout>
                  <c15:dlblFieldTable/>
                  <c15:showDataLabelsRange val="0"/>
                </c:ext>
                <c:ext xmlns:c16="http://schemas.microsoft.com/office/drawing/2014/chart" uri="{C3380CC4-5D6E-409C-BE32-E72D297353CC}">
                  <c16:uniqueId val="{00000001-A668-4C33-997D-43FB670CB4B3}"/>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'SB wo CL'!$D$50:$J$50</c:f>
              <c:numCache>
                <c:formatCode>#,##0.0</c:formatCode>
                <c:ptCount val="7"/>
                <c:pt idx="0" formatCode="#,##0">
                  <c:v>507.30476862023806</c:v>
                </c:pt>
                <c:pt idx="5">
                  <c:v>40.218118636668805</c:v>
                </c:pt>
                <c:pt idx="6" formatCode="#,##0">
                  <c:v>547.52288725690687</c:v>
                </c:pt>
              </c:numCache>
            </c:numRef>
          </c:val>
          <c:extLst>
            <c:ext xmlns:c16="http://schemas.microsoft.com/office/drawing/2014/chart" uri="{C3380CC4-5D6E-409C-BE32-E72D297353CC}">
              <c16:uniqueId val="{00000008-6ABF-4661-8332-C4B328DDBFA4}"/>
            </c:ext>
          </c:extLst>
        </c:ser>
        <c:ser>
          <c:idx val="6"/>
          <c:order val="6"/>
          <c:tx>
            <c:strRef>
              <c:f>'SB wo CL'!$C$51</c:f>
              <c:strCache>
                <c:ptCount val="1"/>
                <c:pt idx="0">
                  <c:v>DMO</c:v>
                </c:pt>
              </c:strCache>
            </c:strRef>
          </c:tx>
          <c:spPr>
            <a:noFill/>
            <a:ln>
              <a:noFill/>
            </a:ln>
            <a:effectLst/>
          </c:spPr>
          <c:invertIfNegative val="0"/>
          <c:dLbls>
            <c:dLbl>
              <c:idx val="6"/>
              <c:layout>
                <c:manualLayout>
                  <c:x val="2.6814630627311936E-4"/>
                  <c:y val="0.1453330245484020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50-45E1-BE6A-7366EC412A05}"/>
                </c:ext>
              </c:extLst>
            </c:dLbl>
            <c:spPr>
              <a:noFill/>
              <a:ln>
                <a:noFill/>
              </a:ln>
              <a:effectLst/>
            </c:spPr>
            <c:txPr>
              <a:bodyPr rot="0" spcFirstLastPara="1" vertOverflow="ellipsis" vert="horz" wrap="square" anchor="ctr" anchorCtr="1"/>
              <a:lstStyle/>
              <a:p>
                <a:pPr>
                  <a:defRPr sz="1050" b="1"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2024-25</c:v>
                </c:pt>
                <c:pt idx="1">
                  <c:v>Network cost</c:v>
                </c:pt>
                <c:pt idx="2">
                  <c:v>Wholesale cost</c:v>
                </c:pt>
                <c:pt idx="3">
                  <c:v>Environmental cost</c:v>
                </c:pt>
                <c:pt idx="4">
                  <c:v>Retail cost</c:v>
                </c:pt>
                <c:pt idx="5">
                  <c:v>Retail margin</c:v>
                </c:pt>
                <c:pt idx="6">
                  <c:v>2025-26</c:v>
                </c:pt>
              </c:strCache>
            </c:strRef>
          </c:cat>
          <c:val>
            <c:numRef>
              <c:f>'SB wo CL'!$D$51:$J$51</c:f>
              <c:numCache>
                <c:formatCode>#,##0</c:formatCode>
                <c:ptCount val="7"/>
                <c:pt idx="0">
                  <c:v>4612</c:v>
                </c:pt>
                <c:pt idx="6">
                  <c:v>4977</c:v>
                </c:pt>
              </c:numCache>
            </c:numRef>
          </c:val>
          <c:extLst>
            <c:ext xmlns:c16="http://schemas.microsoft.com/office/drawing/2014/chart" uri="{C3380CC4-5D6E-409C-BE32-E72D297353CC}">
              <c16:uniqueId val="{00000009-6ABF-4661-8332-C4B328DDBFA4}"/>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8048"/>
        <c:crosses val="autoZero"/>
        <c:auto val="1"/>
        <c:lblAlgn val="ctr"/>
        <c:lblOffset val="100"/>
        <c:noMultiLvlLbl val="0"/>
      </c:catAx>
      <c:valAx>
        <c:axId val="616098048"/>
        <c:scaling>
          <c:orientation val="minMax"/>
          <c:max val="555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6096080"/>
        <c:crosses val="autoZero"/>
        <c:crossBetween val="between"/>
      </c:valAx>
      <c:spPr>
        <a:solidFill>
          <a:srgbClr val="F2F2F2"/>
        </a:solidFill>
        <a:ln>
          <a:noFill/>
        </a:ln>
        <a:effectLst/>
      </c:spPr>
    </c:plotArea>
    <c:legend>
      <c:legendPos val="r"/>
      <c:legendEntry>
        <c:idx val="0"/>
        <c:delete val="1"/>
      </c:legendEntry>
      <c:legendEntry>
        <c:idx val="6"/>
        <c:delete val="1"/>
      </c:legendEntry>
      <c:layout>
        <c:manualLayout>
          <c:xMode val="edge"/>
          <c:yMode val="edge"/>
          <c:x val="0.81954106613866251"/>
          <c:y val="0.39284761463640572"/>
          <c:w val="0.17850961612254609"/>
          <c:h val="0.312735834491276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Ausgrid!$D$3</c:f>
          <c:strCache>
            <c:ptCount val="1"/>
            <c:pt idx="0">
              <c:v>Ausgrid Residential with CL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Ausgrid!$F$33</c:f>
              <c:strCache>
                <c:ptCount val="1"/>
                <c:pt idx="0">
                  <c:v>Network cost</c:v>
                </c:pt>
              </c:strCache>
            </c:strRef>
          </c:tx>
          <c:spPr>
            <a:solidFill>
              <a:srgbClr val="89B3CE"/>
            </a:solidFill>
            <a:ln>
              <a:noFill/>
            </a:ln>
            <a:effectLst/>
          </c:spPr>
          <c:invertIfNegative val="0"/>
          <c:dLbls>
            <c:dLbl>
              <c:idx val="0"/>
              <c:tx>
                <c:strRef>
                  <c:f>Ausgrid!$S$33</c:f>
                  <c:strCache>
                    <c:ptCount val="1"/>
                    <c:pt idx="0">
                      <c:v>34.1%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{DCBF505D-15AD-4607-B443-366D2986B091}</c15:txfldGUID>
                      <c15:f>Ausgrid!$S$33</c15:f>
                      <c15:dlblFieldTableCache>
                        <c:ptCount val="1"/>
                        <c:pt idx="0">
                          <c:v>34.1%</c:v>
                        </c:pt>
                      </c15:dlblFieldTableCache>
                    </c15:dlblFTEntry>
                  </c15:dlblFieldTable>
                  <c15:showDataLabelsRange val="0"/>
                </c:ext>
                <c:ext xmlns:c16="http://schemas.microsoft.com/office/drawing/2014/chart" uri="{C3380CC4-5D6E-409C-BE32-E72D297353CC}">
                  <c16:uniqueId val="{00000000-D6CA-42EA-9312-8B86CB7F901B}"/>
                </c:ext>
              </c:extLst>
            </c:dLbl>
            <c:dLbl>
              <c:idx val="1"/>
              <c:tx>
                <c:strRef>
                  <c:f>Ausgrid!$X$33</c:f>
                  <c:strCache>
                    <c:ptCount val="1"/>
                    <c:pt idx="0">
                      <c:v>34.0%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{4B6DC5EE-D7A0-4848-9465-7DE6944BDA5E}</c15:txfldGUID>
                      <c15:f>Ausgrid!$X$33</c15:f>
                      <c15:dlblFieldTableCache>
                        <c:ptCount val="1"/>
                        <c:pt idx="0">
                          <c:v>34.0%</c:v>
                        </c:pt>
                      </c15:dlblFieldTableCache>
                    </c15:dlblFTEntry>
                  </c15:dlblFieldTable>
                  <c15:showDataLabelsRange val="0"/>
                </c:ext>
                <c:ext xmlns:c16="http://schemas.microsoft.com/office/drawing/2014/chart" uri="{C3380CC4-5D6E-409C-BE32-E72D297353CC}">
                  <c16:uniqueId val="{00000001-D6CA-42EA-9312-8B86CB7F901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(Ausgrid!$R$29,Ausgrid!$U$29)</c:f>
              <c:strCache>
                <c:ptCount val="2"/>
                <c:pt idx="0">
                  <c:v>2024-25</c:v>
                </c:pt>
                <c:pt idx="1">
                  <c:v>2025-26</c:v>
                </c:pt>
              </c:strCache>
            </c:strRef>
          </c:cat>
          <c:val>
            <c:numRef>
              <c:f>(Ausgrid!$R$33,Ausgrid!$W$33)</c:f>
              <c:numCache>
                <c:formatCode>#,##0.00</c:formatCode>
                <c:ptCount val="2"/>
                <c:pt idx="0">
                  <c:v>854.75665134240103</c:v>
                </c:pt>
                <c:pt idx="1">
                  <c:v>925.12969712875804</c:v>
                </c:pt>
              </c:numCache>
            </c:numRef>
          </c:val>
          <c:extLst>
            <c:ext xmlns:c16="http://schemas.microsoft.com/office/drawing/2014/chart" uri="{C3380CC4-5D6E-409C-BE32-E72D297353CC}">
              <c16:uniqueId val="{00000002-D6CA-42EA-9312-8B86CB7F901B}"/>
            </c:ext>
          </c:extLst>
        </c:ser>
        <c:ser>
          <c:idx val="1"/>
          <c:order val="1"/>
          <c:tx>
            <c:strRef>
              <c:f>Ausgrid!$F$34</c:f>
              <c:strCache>
                <c:ptCount val="1"/>
                <c:pt idx="0">
                  <c:v>Wholesale cost</c:v>
                </c:pt>
              </c:strCache>
            </c:strRef>
          </c:tx>
          <c:spPr>
            <a:solidFill>
              <a:srgbClr val="E06026"/>
            </a:solidFill>
            <a:ln>
              <a:noFill/>
            </a:ln>
            <a:effectLst/>
          </c:spPr>
          <c:invertIfNegative val="0"/>
          <c:dLbls>
            <c:dLbl>
              <c:idx val="0"/>
              <c:tx>
                <c:strRef>
                  <c:f>Ausgrid!$S$34</c:f>
                  <c:strCache>
                    <c:ptCount val="1"/>
                    <c:pt idx="0">
                      <c:v>44.2%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{76D27545-1AB3-4C48-821F-F4A538695A0B}</c15:txfldGUID>
                      <c15:f>Ausgrid!$S$34</c15:f>
                      <c15:dlblFieldTableCache>
                        <c:ptCount val="1"/>
                        <c:pt idx="0">
                          <c:v>44.2%</c:v>
                        </c:pt>
                      </c15:dlblFieldTableCache>
                    </c15:dlblFTEntry>
                  </c15:dlblFieldTable>
                  <c15:showDataLabelsRange val="0"/>
                </c:ext>
                <c:ext xmlns:c16="http://schemas.microsoft.com/office/drawing/2014/chart" uri="{C3380CC4-5D6E-409C-BE32-E72D297353CC}">
                  <c16:uniqueId val="{00000003-D6CA-42EA-9312-8B86CB7F901B}"/>
                </c:ext>
              </c:extLst>
            </c:dLbl>
            <c:dLbl>
              <c:idx val="1"/>
              <c:tx>
                <c:strRef>
                  <c:f>Ausgrid!$X$34</c:f>
                  <c:strCache>
                    <c:ptCount val="1"/>
                    <c:pt idx="0">
                      <c:v>44.1%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{87FCA35B-261E-474B-90CB-910DE0332105}</c15:txfldGUID>
                      <c15:f>Ausgrid!$X$34</c15:f>
                      <c15:dlblFieldTableCache>
                        <c:ptCount val="1"/>
                        <c:pt idx="0">
                          <c:v>44.1%</c:v>
                        </c:pt>
                      </c15:dlblFieldTableCache>
                    </c15:dlblFTEntry>
                  </c15:dlblFieldTable>
                  <c15:showDataLabelsRange val="0"/>
                </c:ext>
                <c:ext xmlns:c16="http://schemas.microsoft.com/office/drawing/2014/chart" uri="{C3380CC4-5D6E-409C-BE32-E72D297353CC}">
                  <c16:uniqueId val="{00000004-D6CA-42EA-9312-8B86CB7F901B}"/>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(Ausgrid!$R$29,Ausgrid!$U$29)</c:f>
              <c:strCache>
                <c:ptCount val="2"/>
                <c:pt idx="0">
                  <c:v>2024-25</c:v>
                </c:pt>
                <c:pt idx="1">
                  <c:v>2025-26</c:v>
                </c:pt>
              </c:strCache>
            </c:strRef>
          </c:cat>
          <c:val>
            <c:numRef>
              <c:f>(Ausgrid!$R$34,Ausgrid!$W$34)</c:f>
              <c:numCache>
                <c:formatCode>#,##0.00</c:formatCode>
                <c:ptCount val="2"/>
                <c:pt idx="0">
                  <c:v>1108.6752496285712</c:v>
                </c:pt>
                <c:pt idx="1">
                  <c:v>1197.1706064508228</c:v>
                </c:pt>
              </c:numCache>
            </c:numRef>
          </c:val>
          <c:extLst>
            <c:ext xmlns:c16="http://schemas.microsoft.com/office/drawing/2014/chart" uri="{C3380CC4-5D6E-409C-BE32-E72D297353CC}">
              <c16:uniqueId val="{00000005-D6CA-42EA-9312-8B86CB7F901B}"/>
            </c:ext>
          </c:extLst>
        </c:ser>
        <c:ser>
          <c:idx val="2"/>
          <c:order val="2"/>
          <c:tx>
            <c:strRef>
              <c:f>Ausgrid!$F$35</c:f>
              <c:strCache>
                <c:ptCount val="1"/>
                <c:pt idx="0">
                  <c:v>Environmental cost</c:v>
                </c:pt>
              </c:strCache>
            </c:strRef>
          </c:tx>
          <c:spPr>
            <a:solidFill>
              <a:srgbClr val="5F9E88"/>
            </a:solidFill>
            <a:ln>
              <a:noFill/>
            </a:ln>
            <a:effectLst/>
          </c:spPr>
          <c:invertIfNegative val="0"/>
          <c:dLbls>
            <c:dLbl>
              <c:idx val="0"/>
              <c:tx>
                <c:strRef>
                  <c:f>Ausgrid!$S$35</c:f>
                  <c:strCache>
                    <c:ptCount val="1"/>
                    <c:pt idx="0">
                      <c:v>5.9%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{56B59A89-07AC-49B3-9A44-27872A0E2CC3}</c15:txfldGUID>
                      <c15:f>Ausgrid!$S$35</c15:f>
                      <c15:dlblFieldTableCache>
                        <c:ptCount val="1"/>
                        <c:pt idx="0">
                          <c:v>5.9%</c:v>
                        </c:pt>
                      </c15:dlblFieldTableCache>
                    </c15:dlblFTEntry>
                  </c15:dlblFieldTable>
                  <c15:showDataLabelsRange val="0"/>
                </c:ext>
                <c:ext xmlns:c16="http://schemas.microsoft.com/office/drawing/2014/chart" uri="{C3380CC4-5D6E-409C-BE32-E72D297353CC}">
                  <c16:uniqueId val="{00000006-D6CA-42EA-9312-8B86CB7F901B}"/>
                </c:ext>
              </c:extLst>
            </c:dLbl>
            <c:dLbl>
              <c:idx val="1"/>
              <c:tx>
                <c:strRef>
                  <c:f>Ausgrid!$X$35</c:f>
                  <c:strCache>
                    <c:ptCount val="1"/>
                    <c:pt idx="0">
                      <c:v>4.4%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{21ADB4FF-D8E1-49B3-B0A6-3E2EF9111948}</c15:txfldGUID>
                      <c15:f>Ausgrid!$X$35</c15:f>
                      <c15:dlblFieldTableCache>
                        <c:ptCount val="1"/>
                        <c:pt idx="0">
                          <c:v>4.4%</c:v>
                        </c:pt>
                      </c15:dlblFieldTableCache>
                    </c15:dlblFTEntry>
                  </c15:dlblFieldTable>
                  <c15:showDataLabelsRange val="0"/>
                </c:ext>
                <c:ext xmlns:c16="http://schemas.microsoft.com/office/drawing/2014/chart" uri="{C3380CC4-5D6E-409C-BE32-E72D297353CC}">
                  <c16:uniqueId val="{00000007-D6CA-42EA-9312-8B86CB7F901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(Ausgrid!$R$29,Ausgrid!$U$29)</c:f>
              <c:strCache>
                <c:ptCount val="2"/>
                <c:pt idx="0">
                  <c:v>2024-25</c:v>
                </c:pt>
                <c:pt idx="1">
                  <c:v>2025-26</c:v>
                </c:pt>
              </c:strCache>
            </c:strRef>
          </c:cat>
          <c:val>
            <c:numRef>
              <c:f>(Ausgrid!$R$35,Ausgrid!$W$35)</c:f>
              <c:numCache>
                <c:formatCode>#,##0.00</c:formatCode>
                <c:ptCount val="2"/>
                <c:pt idx="0">
                  <c:v>147.14919999999998</c:v>
                </c:pt>
                <c:pt idx="1">
                  <c:v>119.14213622142321</c:v>
                </c:pt>
              </c:numCache>
            </c:numRef>
          </c:val>
          <c:extLst>
            <c:ext xmlns:c16="http://schemas.microsoft.com/office/drawing/2014/chart" uri="{C3380CC4-5D6E-409C-BE32-E72D297353CC}">
              <c16:uniqueId val="{00000008-D6CA-42EA-9312-8B86CB7F901B}"/>
            </c:ext>
          </c:extLst>
        </c:ser>
        <c:ser>
          <c:idx val="3"/>
          <c:order val="3"/>
          <c:tx>
            <c:strRef>
              <c:f>Ausgrid!$F$36</c:f>
              <c:strCache>
                <c:ptCount val="1"/>
                <c:pt idx="0">
                  <c:v>Retail cost</c:v>
                </c:pt>
              </c:strCache>
            </c:strRef>
          </c:tx>
          <c:spPr>
            <a:solidFill>
              <a:srgbClr val="F0B9B3"/>
            </a:solidFill>
            <a:ln>
              <a:noFill/>
            </a:ln>
            <a:effectLst/>
          </c:spPr>
          <c:invertIfNegative val="0"/>
          <c:dLbls>
            <c:dLbl>
              <c:idx val="0"/>
              <c:tx>
                <c:rich>
                  <a:bodyPr/>
                  <a:lstStyle/>
                  <a:p>
                    <a:fld id="{810E4D6D-85A2-49CA-A069-E55712756C63}"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6CA-42EA-9312-8B86CB7F901B}"/>
                </c:ext>
              </c:extLst>
            </c:dLbl>
            <c:dLbl>
              <c:idx val="1"/>
              <c:tx>
                <c:rich>
                  <a:bodyPr/>
                  <a:lstStyle/>
                  <a:p>
                    <a:fld id="{BEF6ACBB-7227-48B9-B527-7EC1AE6C96E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6CA-42EA-9312-8B86CB7F901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(Ausgrid!$R$29,Ausgrid!$U$29)</c:f>
              <c:strCache>
                <c:ptCount val="2"/>
                <c:pt idx="0">
                  <c:v>2024-25</c:v>
                </c:pt>
                <c:pt idx="1">
                  <c:v>2025-26</c:v>
                </c:pt>
              </c:strCache>
            </c:strRef>
          </c:cat>
          <c:val>
            <c:numRef>
              <c:f>(Ausgrid!$R$36,Ausgrid!$W$36)</c:f>
              <c:numCache>
                <c:formatCode>#,##0.00</c:formatCode>
                <c:ptCount val="2"/>
                <c:pt idx="0">
                  <c:v>248.16968193600002</c:v>
                </c:pt>
                <c:pt idx="1">
                  <c:v>312.51267628903128</c:v>
                </c:pt>
              </c:numCache>
            </c:numRef>
          </c:val>
          <c:extLst>
            <c:ext xmlns:c15="http://schemas.microsoft.com/office/drawing/2012/chart" uri="{02D57815-91ED-43cb-92C2-25804820EDAC}">
              <c15:datalabelsRange>
                <c15:f>(Ausgrid!$S$36,Ausgrid!$X$36)</c15:f>
                <c15:dlblRangeCache>
                  <c:ptCount val="2"/>
                  <c:pt idx="0">
                    <c:v>9.9%</c:v>
                  </c:pt>
                  <c:pt idx="1">
                    <c:v>11.5%</c:v>
                  </c:pt>
                </c15:dlblRangeCache>
              </c15:datalabelsRange>
            </c:ext>
            <c:ext xmlns:c16="http://schemas.microsoft.com/office/drawing/2014/chart" uri="{C3380CC4-5D6E-409C-BE32-E72D297353CC}">
              <c16:uniqueId val="{0000000B-D6CA-42EA-9312-8B86CB7F901B}"/>
            </c:ext>
          </c:extLst>
        </c:ser>
        <c:ser>
          <c:idx val="5"/>
          <c:order val="4"/>
          <c:tx>
            <c:strRef>
              <c:f>Ausgrid!$F$37</c:f>
              <c:strCache>
                <c:ptCount val="1"/>
                <c:pt idx="0">
                  <c:v>Retail margin</c:v>
                </c:pt>
              </c:strCache>
            </c:strRef>
          </c:tx>
          <c:spPr>
            <a:solidFill>
              <a:srgbClr val="303F51"/>
            </a:solidFill>
            <a:ln>
              <a:noFill/>
            </a:ln>
            <a:effectLst/>
          </c:spPr>
          <c:invertIfNegative val="0"/>
          <c:dLbls>
            <c:dLbl>
              <c:idx val="0"/>
              <c:tx>
                <c:rich>
                  <a:bodyPr/>
                  <a:lstStyle/>
                  <a:p>
                    <a:fld id="{38721134-C43B-4E2A-A51C-F44719865381}"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D6CA-42EA-9312-8B86CB7F901B}"/>
                </c:ext>
              </c:extLst>
            </c:dLbl>
            <c:dLbl>
              <c:idx val="1"/>
              <c:tx>
                <c:rich>
                  <a:bodyPr/>
                  <a:lstStyle/>
                  <a:p>
                    <a:fld id="{FD5BBF8C-0854-4E1A-8E45-0BC87D15036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6CA-42EA-9312-8B86CB7F901B}"/>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(Ausgrid!$R$37,Ausgrid!$W$37)</c:f>
              <c:numCache>
                <c:formatCode>#,##0.00</c:formatCode>
                <c:ptCount val="2"/>
                <c:pt idx="0">
                  <c:v>150.55856061108352</c:v>
                </c:pt>
                <c:pt idx="1">
                  <c:v>163.01841166532176</c:v>
                </c:pt>
              </c:numCache>
            </c:numRef>
          </c:val>
          <c:extLst>
            <c:ext xmlns:c15="http://schemas.microsoft.com/office/drawing/2012/chart" uri="{02D57815-91ED-43cb-92C2-25804820EDAC}">
              <c15:datalabelsRange>
                <c15:f>(Ausgrid!$S$37,Ausgrid!$X$37)</c15:f>
                <c15:dlblRangeCache>
                  <c:ptCount val="2"/>
                  <c:pt idx="0">
                    <c:v>6.0%</c:v>
                  </c:pt>
                  <c:pt idx="1">
                    <c:v>6.0%</c:v>
                  </c:pt>
                </c15:dlblRangeCache>
              </c15:datalabelsRange>
            </c:ext>
            <c:ext xmlns:c16="http://schemas.microsoft.com/office/drawing/2014/chart" uri="{C3380CC4-5D6E-409C-BE32-E72D297353CC}">
              <c16:uniqueId val="{0000000E-D6CA-42EA-9312-8B86CB7F901B}"/>
            </c:ext>
          </c:extLst>
        </c:ser>
        <c:ser>
          <c:idx val="4"/>
          <c:order val="5"/>
          <c:tx>
            <c:v>DMO</c:v>
          </c:tx>
          <c:spPr>
            <a:noFill/>
            <a:ln>
              <a:noFill/>
            </a:ln>
            <a:effectLst/>
          </c:spPr>
          <c:invertIfNegative val="0"/>
          <c:dLbls>
            <c:dLbl>
              <c:idx val="1"/>
              <c:layout>
                <c:manualLayout>
                  <c:x val="6.0464395695791736E-3"/>
                  <c:y val="0.1351858216420016"/>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800E-442B-814E-9B34489BD459}"/>
                </c:ext>
              </c:extLst>
            </c:dLbl>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(Ausgrid!$R$29,Ausgrid!$U$29)</c:f>
              <c:strCache>
                <c:ptCount val="2"/>
                <c:pt idx="0">
                  <c:v>2024-25</c:v>
                </c:pt>
                <c:pt idx="1">
                  <c:v>2025-26</c:v>
                </c:pt>
              </c:strCache>
            </c:strRef>
          </c:cat>
          <c:val>
            <c:numRef>
              <c:f>(Ausgrid!$Q$32,Ausgrid!$Q$38)</c:f>
              <c:numCache>
                <c:formatCode>#,##0.00</c:formatCode>
                <c:ptCount val="2"/>
                <c:pt idx="0">
                  <c:v>2509</c:v>
                </c:pt>
                <c:pt idx="1">
                  <c:v>2717</c:v>
                </c:pt>
              </c:numCache>
            </c:numRef>
          </c:val>
          <c:extLst>
            <c:ext xmlns:c16="http://schemas.microsoft.com/office/drawing/2014/chart" uri="{C3380CC4-5D6E-409C-BE32-E72D297353CC}">
              <c16:uniqueId val="{00000012-D6CA-42EA-9312-8B86CB7F901B}"/>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256"/>
        <c:crosses val="autoZero"/>
        <c:auto val="1"/>
        <c:lblAlgn val="ctr"/>
        <c:lblOffset val="100"/>
        <c:noMultiLvlLbl val="0"/>
      </c:catAx>
      <c:valAx>
        <c:axId val="228354256"/>
        <c:scaling>
          <c:orientation val="minMax"/>
          <c:max val="30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912"/>
        <c:crosses val="autoZero"/>
        <c:crossBetween val="between"/>
      </c:valAx>
      <c:spPr>
        <a:solidFill>
          <a:srgbClr val="F2F2F2"/>
        </a:solid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Ausgrid!$C$3</c:f>
          <c:strCache>
            <c:ptCount val="1"/>
            <c:pt idx="0">
              <c:v>Ausgrid Residential without CL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Ausgrid!$F$33</c:f>
              <c:strCache>
                <c:ptCount val="1"/>
                <c:pt idx="0">
                  <c:v>Network cost</c:v>
                </c:pt>
              </c:strCache>
            </c:strRef>
          </c:tx>
          <c:spPr>
            <a:solidFill>
              <a:srgbClr val="89B3CE"/>
            </a:solidFill>
            <a:ln>
              <a:noFill/>
            </a:ln>
            <a:effectLst/>
          </c:spPr>
          <c:invertIfNegative val="0"/>
          <c:dLbls>
            <c:dLbl>
              <c:idx val="0"/>
              <c:tx>
                <c:strRef>
                  <c:f>Ausgrid!$J$33</c:f>
                  <c:strCache>
                    <c:ptCount val="1"/>
                    <c:pt idx="0">
                      <c:v>36.3%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{07AF20D9-6BFB-44B0-BDF1-64F79F239DAB}</c15:txfldGUID>
                      <c15:f>Ausgrid!$J$33</c15:f>
                      <c15:dlblFieldTableCache>
                        <c:ptCount val="1"/>
                        <c:pt idx="0">
                          <c:v>36.3%</c:v>
                        </c:pt>
                      </c15:dlblFieldTableCache>
                    </c15:dlblFTEntry>
                  </c15:dlblFieldTable>
                  <c15:showDataLabelsRange val="0"/>
                </c:ext>
                <c:ext xmlns:c16="http://schemas.microsoft.com/office/drawing/2014/chart" uri="{C3380CC4-5D6E-409C-BE32-E72D297353CC}">
                  <c16:uniqueId val="{00000000-C92A-413D-8D88-618D8700F382}"/>
                </c:ext>
              </c:extLst>
            </c:dLbl>
            <c:dLbl>
              <c:idx val="1"/>
              <c:tx>
                <c:strRef>
                  <c:f>Ausgrid!$O$33</c:f>
                  <c:strCache>
                    <c:ptCount val="1"/>
                    <c:pt idx="0">
                      <c:v>36.2%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{D09B1CF2-EA8C-4BFB-BB8B-0C87F5142A51}</c15:txfldGUID>
                      <c15:f>Ausgrid!$O$33</c15:f>
                      <c15:dlblFieldTableCache>
                        <c:ptCount val="1"/>
                        <c:pt idx="0">
                          <c:v>36.2%</c:v>
                        </c:pt>
                      </c15:dlblFieldTableCache>
                    </c15:dlblFTEntry>
                  </c15:dlblFieldTable>
                  <c15:showDataLabelsRange val="0"/>
                </c:ext>
                <c:ext xmlns:c16="http://schemas.microsoft.com/office/drawing/2014/chart" uri="{C3380CC4-5D6E-409C-BE32-E72D297353CC}">
                  <c16:uniqueId val="{00000001-C92A-413D-8D88-618D8700F38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2024-25</c:v>
                </c:pt>
                <c:pt idx="1">
                  <c:v>2025-26</c:v>
                </c:pt>
              </c:strCache>
            </c:strRef>
          </c:cat>
          <c:val>
            <c:numRef>
              <c:f>(Ausgrid!$I$33,Ausgrid!$N$33)</c:f>
              <c:numCache>
                <c:formatCode>#,##0.00</c:formatCode>
                <c:ptCount val="2"/>
                <c:pt idx="0">
                  <c:v>656.75497844808194</c:v>
                </c:pt>
                <c:pt idx="1">
                  <c:v>711.92496176013196</c:v>
                </c:pt>
              </c:numCache>
            </c:numRef>
          </c:val>
          <c:extLst>
            <c:ext xmlns:c16="http://schemas.microsoft.com/office/drawing/2014/chart" uri="{C3380CC4-5D6E-409C-BE32-E72D297353CC}">
              <c16:uniqueId val="{00000002-C92A-413D-8D88-618D8700F382}"/>
            </c:ext>
          </c:extLst>
        </c:ser>
        <c:ser>
          <c:idx val="1"/>
          <c:order val="1"/>
          <c:tx>
            <c:strRef>
              <c:f>Ausgrid!$F$34</c:f>
              <c:strCache>
                <c:ptCount val="1"/>
                <c:pt idx="0">
                  <c:v>Wholesale cost</c:v>
                </c:pt>
              </c:strCache>
            </c:strRef>
          </c:tx>
          <c:spPr>
            <a:solidFill>
              <a:srgbClr val="E06026"/>
            </a:solidFill>
            <a:ln>
              <a:noFill/>
            </a:ln>
            <a:effectLst/>
          </c:spPr>
          <c:invertIfNegative val="0"/>
          <c:dLbls>
            <c:dLbl>
              <c:idx val="0"/>
              <c:tx>
                <c:strRef>
                  <c:f>Ausgrid!$J$34</c:f>
                  <c:strCache>
                    <c:ptCount val="1"/>
                    <c:pt idx="0">
                      <c:v>39.4%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{39492B9A-EB8B-41D0-825B-9BD5462261E3}</c15:txfldGUID>
                      <c15:f>Ausgrid!$J$34</c15:f>
                      <c15:dlblFieldTableCache>
                        <c:ptCount val="1"/>
                        <c:pt idx="0">
                          <c:v>39.4%</c:v>
                        </c:pt>
                      </c15:dlblFieldTableCache>
                    </c15:dlblFTEntry>
                  </c15:dlblFieldTable>
                  <c15:showDataLabelsRange val="0"/>
                </c:ext>
                <c:ext xmlns:c16="http://schemas.microsoft.com/office/drawing/2014/chart" uri="{C3380CC4-5D6E-409C-BE32-E72D297353CC}">
                  <c16:uniqueId val="{00000003-C92A-413D-8D88-618D8700F382}"/>
                </c:ext>
              </c:extLst>
            </c:dLbl>
            <c:dLbl>
              <c:idx val="1"/>
              <c:tx>
                <c:strRef>
                  <c:f>Ausgrid!$O$34</c:f>
                  <c:strCache>
                    <c:ptCount val="1"/>
                    <c:pt idx="0">
                      <c:v>38.4%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{5D6093F6-9888-41E1-9CD5-23E3C8B3D133}</c15:txfldGUID>
                      <c15:f>Ausgrid!$O$34</c15:f>
                      <c15:dlblFieldTableCache>
                        <c:ptCount val="1"/>
                        <c:pt idx="0">
                          <c:v>38.4%</c:v>
                        </c:pt>
                      </c15:dlblFieldTableCache>
                    </c15:dlblFTEntry>
                  </c15:dlblFieldTable>
                  <c15:showDataLabelsRange val="0"/>
                </c:ext>
                <c:ext xmlns:c16="http://schemas.microsoft.com/office/drawing/2014/chart" uri="{C3380CC4-5D6E-409C-BE32-E72D297353CC}">
                  <c16:uniqueId val="{00000004-C92A-413D-8D88-618D8700F382}"/>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2024-25</c:v>
                </c:pt>
                <c:pt idx="1">
                  <c:v>2025-26</c:v>
                </c:pt>
              </c:strCache>
            </c:strRef>
          </c:cat>
          <c:val>
            <c:numRef>
              <c:f>(Ausgrid!$I$34,Ausgrid!$N$34)</c:f>
              <c:numCache>
                <c:formatCode>#,##0.00</c:formatCode>
                <c:ptCount val="2"/>
                <c:pt idx="0">
                  <c:v>712.34100252857127</c:v>
                </c:pt>
                <c:pt idx="1">
                  <c:v>753.97249122143467</c:v>
                </c:pt>
              </c:numCache>
            </c:numRef>
          </c:val>
          <c:extLst>
            <c:ext xmlns:c16="http://schemas.microsoft.com/office/drawing/2014/chart" uri="{C3380CC4-5D6E-409C-BE32-E72D297353CC}">
              <c16:uniqueId val="{00000005-C92A-413D-8D88-618D8700F382}"/>
            </c:ext>
          </c:extLst>
        </c:ser>
        <c:ser>
          <c:idx val="2"/>
          <c:order val="2"/>
          <c:tx>
            <c:strRef>
              <c:f>Ausgrid!$F$35</c:f>
              <c:strCache>
                <c:ptCount val="1"/>
                <c:pt idx="0">
                  <c:v>Environmental cost</c:v>
                </c:pt>
              </c:strCache>
            </c:strRef>
          </c:tx>
          <c:spPr>
            <a:solidFill>
              <a:srgbClr val="5F9E88"/>
            </a:solidFill>
            <a:ln>
              <a:noFill/>
            </a:ln>
            <a:effectLst/>
          </c:spPr>
          <c:invertIfNegative val="0"/>
          <c:dLbls>
            <c:dLbl>
              <c:idx val="0"/>
              <c:tx>
                <c:strRef>
                  <c:f>Ausgrid!$J$35</c:f>
                  <c:strCache>
                    <c:ptCount val="1"/>
                    <c:pt idx="0">
                      <c:v>4.7%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{22E368EC-83D8-4C16-AB14-B8AD78B08EA2}</c15:txfldGUID>
                      <c15:f>Ausgrid!$J$35</c15:f>
                      <c15:dlblFieldTableCache>
                        <c:ptCount val="1"/>
                        <c:pt idx="0">
                          <c:v>4.7%</c:v>
                        </c:pt>
                      </c15:dlblFieldTableCache>
                    </c15:dlblFTEntry>
                  </c15:dlblFieldTable>
                  <c15:showDataLabelsRange val="0"/>
                </c:ext>
                <c:ext xmlns:c16="http://schemas.microsoft.com/office/drawing/2014/chart" uri="{C3380CC4-5D6E-409C-BE32-E72D297353CC}">
                  <c16:uniqueId val="{00000006-C92A-413D-8D88-618D8700F382}"/>
                </c:ext>
              </c:extLst>
            </c:dLbl>
            <c:dLbl>
              <c:idx val="1"/>
              <c:tx>
                <c:strRef>
                  <c:f>Ausgrid!$O$35</c:f>
                  <c:strCache>
                    <c:ptCount val="1"/>
                    <c:pt idx="0">
                      <c:v>3.5%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{C1285FC6-9EC8-497C-A7DF-7D0DF25D5E8B}</c15:txfldGUID>
                      <c15:f>Ausgrid!$O$35</c15:f>
                      <c15:dlblFieldTableCache>
                        <c:ptCount val="1"/>
                        <c:pt idx="0">
                          <c:v>3.5%</c:v>
                        </c:pt>
                      </c15:dlblFieldTableCache>
                    </c15:dlblFTEntry>
                  </c15:dlblFieldTable>
                  <c15:showDataLabelsRange val="0"/>
                </c:ext>
                <c:ext xmlns:c16="http://schemas.microsoft.com/office/drawing/2014/chart" uri="{C3380CC4-5D6E-409C-BE32-E72D297353CC}">
                  <c16:uniqueId val="{00000007-C92A-413D-8D88-618D8700F38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2024-25</c:v>
                </c:pt>
                <c:pt idx="1">
                  <c:v>2025-26</c:v>
                </c:pt>
              </c:strCache>
            </c:strRef>
          </c:cat>
          <c:val>
            <c:numRef>
              <c:f>(Ausgrid!$I$35,Ausgrid!$N$35)</c:f>
              <c:numCache>
                <c:formatCode>#,##0.00</c:formatCode>
                <c:ptCount val="2"/>
                <c:pt idx="0">
                  <c:v>84.255600000000001</c:v>
                </c:pt>
                <c:pt idx="1">
                  <c:v>68.331519303463324</c:v>
                </c:pt>
              </c:numCache>
            </c:numRef>
          </c:val>
          <c:extLst>
            <c:ext xmlns:c16="http://schemas.microsoft.com/office/drawing/2014/chart" uri="{C3380CC4-5D6E-409C-BE32-E72D297353CC}">
              <c16:uniqueId val="{00000008-C92A-413D-8D88-618D8700F382}"/>
            </c:ext>
          </c:extLst>
        </c:ser>
        <c:ser>
          <c:idx val="3"/>
          <c:order val="3"/>
          <c:tx>
            <c:strRef>
              <c:f>Ausgrid!$F$36</c:f>
              <c:strCache>
                <c:ptCount val="1"/>
                <c:pt idx="0">
                  <c:v>Retail cost</c:v>
                </c:pt>
              </c:strCache>
            </c:strRef>
          </c:tx>
          <c:spPr>
            <a:solidFill>
              <a:srgbClr val="F0B9B3"/>
            </a:solidFill>
            <a:ln>
              <a:noFill/>
            </a:ln>
            <a:effectLst/>
          </c:spPr>
          <c:invertIfNegative val="0"/>
          <c:dLbls>
            <c:dLbl>
              <c:idx val="0"/>
              <c:tx>
                <c:rich>
                  <a:bodyPr/>
                  <a:lstStyle/>
                  <a:p>
                    <a:fld id="{E03A8DC1-D058-42C9-8B0B-F2B8F72B6CCD}"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92A-413D-8D88-618D8700F382}"/>
                </c:ext>
              </c:extLst>
            </c:dLbl>
            <c:dLbl>
              <c:idx val="1"/>
              <c:tx>
                <c:rich>
                  <a:bodyPr/>
                  <a:lstStyle/>
                  <a:p>
                    <a:fld id="{2873DD9B-C76D-413E-A27D-BA26AE9A135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92A-413D-8D88-618D8700F38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2024-25</c:v>
                </c:pt>
                <c:pt idx="1">
                  <c:v>2025-26</c:v>
                </c:pt>
              </c:strCache>
            </c:strRef>
          </c:cat>
          <c:val>
            <c:numRef>
              <c:f>(Ausgrid!$I$36,Ausgrid!$N$36)</c:f>
              <c:numCache>
                <c:formatCode>#,##0.00</c:formatCode>
                <c:ptCount val="2"/>
                <c:pt idx="0">
                  <c:v>248.16968193600002</c:v>
                </c:pt>
                <c:pt idx="1">
                  <c:v>312.51267628903128</c:v>
                </c:pt>
              </c:numCache>
            </c:numRef>
          </c:val>
          <c:extLst>
            <c:ext xmlns:c15="http://schemas.microsoft.com/office/drawing/2012/chart" uri="{02D57815-91ED-43cb-92C2-25804820EDAC}">
              <c15:datalabelsRange>
                <c15:f>(Ausgrid!$J$36,Ausgrid!$O$36)</c15:f>
                <c15:dlblRangeCache>
                  <c:ptCount val="2"/>
                  <c:pt idx="0">
                    <c:v>13.7%</c:v>
                  </c:pt>
                  <c:pt idx="1">
                    <c:v>15.9%</c:v>
                  </c:pt>
                </c15:dlblRangeCache>
              </c15:datalabelsRange>
            </c:ext>
            <c:ext xmlns:c16="http://schemas.microsoft.com/office/drawing/2014/chart" uri="{C3380CC4-5D6E-409C-BE32-E72D297353CC}">
              <c16:uniqueId val="{0000000B-C92A-413D-8D88-618D8700F382}"/>
            </c:ext>
          </c:extLst>
        </c:ser>
        <c:ser>
          <c:idx val="5"/>
          <c:order val="4"/>
          <c:tx>
            <c:strRef>
              <c:f>Ausgrid!$F$37</c:f>
              <c:strCache>
                <c:ptCount val="1"/>
                <c:pt idx="0">
                  <c:v>Retail margin</c:v>
                </c:pt>
              </c:strCache>
            </c:strRef>
          </c:tx>
          <c:spPr>
            <a:solidFill>
              <a:srgbClr val="303F51"/>
            </a:solidFill>
            <a:ln>
              <a:noFill/>
            </a:ln>
            <a:effectLst/>
          </c:spPr>
          <c:invertIfNegative val="0"/>
          <c:dLbls>
            <c:dLbl>
              <c:idx val="0"/>
              <c:tx>
                <c:rich>
                  <a:bodyPr/>
                  <a:lstStyle/>
                  <a:p>
                    <a:fld id="{E57A871A-6938-453E-9D0B-A43F78D749D6}"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C92A-413D-8D88-618D8700F382}"/>
                </c:ext>
              </c:extLst>
            </c:dLbl>
            <c:dLbl>
              <c:idx val="1"/>
              <c:tx>
                <c:rich>
                  <a:bodyPr/>
                  <a:lstStyle/>
                  <a:p>
                    <a:fld id="{71BE0F0A-40F6-4C00-9AF9-FD31338901C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92A-413D-8D88-618D8700F382}"/>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(Ausgrid!$I$37,Ausgrid!$N$37)</c:f>
              <c:numCache>
                <c:formatCode>#,##0.00</c:formatCode>
                <c:ptCount val="2"/>
                <c:pt idx="0">
                  <c:v>108.60774018591405</c:v>
                </c:pt>
                <c:pt idx="1">
                  <c:v>117.87712650472736</c:v>
                </c:pt>
              </c:numCache>
            </c:numRef>
          </c:val>
          <c:extLst>
            <c:ext xmlns:c15="http://schemas.microsoft.com/office/drawing/2012/chart" uri="{02D57815-91ED-43cb-92C2-25804820EDAC}">
              <c15:datalabelsRange>
                <c15:f>(Ausgrid!$J$37,Ausgrid!$O$37)</c15:f>
                <c15:dlblRangeCache>
                  <c:ptCount val="2"/>
                  <c:pt idx="0">
                    <c:v>6.0%</c:v>
                  </c:pt>
                  <c:pt idx="1">
                    <c:v>6.0%</c:v>
                  </c:pt>
                </c15:dlblRangeCache>
              </c15:datalabelsRange>
            </c:ext>
            <c:ext xmlns:c16="http://schemas.microsoft.com/office/drawing/2014/chart" uri="{C3380CC4-5D6E-409C-BE32-E72D297353CC}">
              <c16:uniqueId val="{0000000E-C92A-413D-8D88-618D8700F382}"/>
            </c:ext>
          </c:extLst>
        </c:ser>
        <c:ser>
          <c:idx val="4"/>
          <c:order val="5"/>
          <c:tx>
            <c:v>DMO</c:v>
          </c:tx>
          <c:spPr>
            <a:noFill/>
            <a:ln>
              <a:noFill/>
            </a:ln>
            <a:effectLst/>
          </c:spPr>
          <c:invertIfNegative val="0"/>
          <c:dLbls>
            <c:dLbl>
              <c:idx val="1"/>
              <c:layout>
                <c:manualLayout>
                  <c:x val="-8.6321326622501853E-4"/>
                  <c:y val="0.13972248582933647"/>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8AD1-4D33-85BC-5C7F0B512B00}"/>
                </c:ext>
              </c:extLst>
            </c:dLbl>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2024-25</c:v>
                </c:pt>
                <c:pt idx="1">
                  <c:v>2025-26</c:v>
                </c:pt>
              </c:strCache>
            </c:strRef>
          </c:cat>
          <c:val>
            <c:numRef>
              <c:f>(Ausgrid!$H$32,Ausgrid!$H$38)</c:f>
              <c:numCache>
                <c:formatCode>#,##0.00</c:formatCode>
                <c:ptCount val="2"/>
                <c:pt idx="0">
                  <c:v>1810</c:v>
                </c:pt>
                <c:pt idx="1">
                  <c:v>1965</c:v>
                </c:pt>
              </c:numCache>
            </c:numRef>
          </c:val>
          <c:extLst>
            <c:ext xmlns:c16="http://schemas.microsoft.com/office/drawing/2014/chart" uri="{C3380CC4-5D6E-409C-BE32-E72D297353CC}">
              <c16:uniqueId val="{00000012-C92A-413D-8D88-618D8700F382}"/>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256"/>
        <c:crosses val="autoZero"/>
        <c:auto val="1"/>
        <c:lblAlgn val="ctr"/>
        <c:lblOffset val="100"/>
        <c:noMultiLvlLbl val="0"/>
      </c:catAx>
      <c:valAx>
        <c:axId val="228354256"/>
        <c:scaling>
          <c:orientation val="minMax"/>
          <c:max val="22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912"/>
        <c:crosses val="autoZero"/>
        <c:crossBetween val="between"/>
      </c:valAx>
      <c:spPr>
        <a:solidFill>
          <a:srgbClr val="F2F2F2"/>
        </a:solid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Ausgrid!$E$3</c:f>
          <c:strCache>
            <c:ptCount val="1"/>
            <c:pt idx="0">
              <c:v>Ausgrid Small Business without CL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Ausgrid!$F$33</c:f>
              <c:strCache>
                <c:ptCount val="1"/>
                <c:pt idx="0">
                  <c:v>Network cost</c:v>
                </c:pt>
              </c:strCache>
            </c:strRef>
          </c:tx>
          <c:spPr>
            <a:solidFill>
              <a:srgbClr val="89B3CE"/>
            </a:solidFill>
            <a:ln>
              <a:noFill/>
            </a:ln>
            <a:effectLst/>
          </c:spPr>
          <c:invertIfNegative val="0"/>
          <c:dLbls>
            <c:dLbl>
              <c:idx val="0"/>
              <c:tx>
                <c:strRef>
                  <c:f>Ausgrid!$AB$33</c:f>
                  <c:strCache>
                    <c:ptCount val="1"/>
                    <c:pt idx="0">
                      <c:v>38.1%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{A0FBF99F-C68C-4184-8A92-1B7FF779A90F}</c15:txfldGUID>
                      <c15:f>Ausgrid!$AB$33</c15:f>
                      <c15:dlblFieldTableCache>
                        <c:ptCount val="1"/>
                        <c:pt idx="0">
                          <c:v>38.1%</c:v>
                        </c:pt>
                      </c15:dlblFieldTableCache>
                    </c15:dlblFTEntry>
                  </c15:dlblFieldTable>
                  <c15:showDataLabelsRange val="0"/>
                </c:ext>
                <c:ext xmlns:c16="http://schemas.microsoft.com/office/drawing/2014/chart" uri="{C3380CC4-5D6E-409C-BE32-E72D297353CC}">
                  <c16:uniqueId val="{00000000-A49C-4EFD-A9CE-F6D82CBDA0E6}"/>
                </c:ext>
              </c:extLst>
            </c:dLbl>
            <c:dLbl>
              <c:idx val="1"/>
              <c:tx>
                <c:strRef>
                  <c:f>Ausgrid!$AG$33</c:f>
                  <c:strCache>
                    <c:ptCount val="1"/>
                    <c:pt idx="0">
                      <c:v>38.6%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{BC4AF3AA-924E-42DF-BA99-68ADEB0A3FE4}</c15:txfldGUID>
                      <c15:f>Ausgrid!$AG$33</c15:f>
                      <c15:dlblFieldTableCache>
                        <c:ptCount val="1"/>
                        <c:pt idx="0">
                          <c:v>38.6%</c:v>
                        </c:pt>
                      </c15:dlblFieldTableCache>
                    </c15:dlblFTEntry>
                  </c15:dlblFieldTable>
                  <c15:showDataLabelsRange val="0"/>
                </c:ext>
                <c:ext xmlns:c16="http://schemas.microsoft.com/office/drawing/2014/chart" uri="{C3380CC4-5D6E-409C-BE32-E72D297353CC}">
                  <c16:uniqueId val="{00000001-A49C-4EFD-A9CE-F6D82CBDA0E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(Ausgrid!$AA$29,Ausgrid!$AD$29)</c:f>
              <c:strCache>
                <c:ptCount val="2"/>
                <c:pt idx="0">
                  <c:v>2024-25</c:v>
                </c:pt>
                <c:pt idx="1">
                  <c:v>2025-26</c:v>
                </c:pt>
              </c:strCache>
            </c:strRef>
          </c:cat>
          <c:val>
            <c:numRef>
              <c:f>(Ausgrid!$AA$33,Ausgrid!$AF$33)</c:f>
              <c:numCache>
                <c:formatCode>#,##0.00</c:formatCode>
                <c:ptCount val="2"/>
                <c:pt idx="0">
                  <c:v>1756.1919530464475</c:v>
                </c:pt>
                <c:pt idx="1">
                  <c:v>1923.3380879684253</c:v>
                </c:pt>
              </c:numCache>
            </c:numRef>
          </c:val>
          <c:extLst>
            <c:ext xmlns:c16="http://schemas.microsoft.com/office/drawing/2014/chart" uri="{C3380CC4-5D6E-409C-BE32-E72D297353CC}">
              <c16:uniqueId val="{00000002-A49C-4EFD-A9CE-F6D82CBDA0E6}"/>
            </c:ext>
          </c:extLst>
        </c:ser>
        <c:ser>
          <c:idx val="1"/>
          <c:order val="1"/>
          <c:tx>
            <c:strRef>
              <c:f>Ausgrid!$F$34</c:f>
              <c:strCache>
                <c:ptCount val="1"/>
                <c:pt idx="0">
                  <c:v>Wholesale cost</c:v>
                </c:pt>
              </c:strCache>
            </c:strRef>
          </c:tx>
          <c:spPr>
            <a:solidFill>
              <a:srgbClr val="E06026"/>
            </a:solidFill>
            <a:ln>
              <a:noFill/>
            </a:ln>
            <a:effectLst/>
          </c:spPr>
          <c:invertIfNegative val="0"/>
          <c:dLbls>
            <c:dLbl>
              <c:idx val="0"/>
              <c:tx>
                <c:strRef>
                  <c:f>Ausgrid!$AB$34</c:f>
                  <c:strCache>
                    <c:ptCount val="1"/>
                    <c:pt idx="0">
                      <c:v>39.2%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{BF93AC7B-FA9A-4F0C-A55D-95580FF9B41D}</c15:txfldGUID>
                      <c15:f>Ausgrid!$AB$34</c15:f>
                      <c15:dlblFieldTableCache>
                        <c:ptCount val="1"/>
                        <c:pt idx="0">
                          <c:v>39.2%</c:v>
                        </c:pt>
                      </c15:dlblFieldTableCache>
                    </c15:dlblFTEntry>
                  </c15:dlblFieldTable>
                  <c15:showDataLabelsRange val="0"/>
                </c:ext>
                <c:ext xmlns:c16="http://schemas.microsoft.com/office/drawing/2014/chart" uri="{C3380CC4-5D6E-409C-BE32-E72D297353CC}">
                  <c16:uniqueId val="{00000003-A49C-4EFD-A9CE-F6D82CBDA0E6}"/>
                </c:ext>
              </c:extLst>
            </c:dLbl>
            <c:dLbl>
              <c:idx val="1"/>
              <c:tx>
                <c:strRef>
                  <c:f>Ausgrid!$AG$34</c:f>
                  <c:strCache>
                    <c:ptCount val="1"/>
                    <c:pt idx="0">
                      <c:v>38.4%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{FB4A805E-ACEF-4A05-8880-E9062583F688}</c15:txfldGUID>
                      <c15:f>Ausgrid!$AG$34</c15:f>
                      <c15:dlblFieldTableCache>
                        <c:ptCount val="1"/>
                        <c:pt idx="0">
                          <c:v>38.4%</c:v>
                        </c:pt>
                      </c15:dlblFieldTableCache>
                    </c15:dlblFTEntry>
                  </c15:dlblFieldTable>
                  <c15:showDataLabelsRange val="0"/>
                </c:ext>
                <c:ext xmlns:c16="http://schemas.microsoft.com/office/drawing/2014/chart" uri="{C3380CC4-5D6E-409C-BE32-E72D297353CC}">
                  <c16:uniqueId val="{00000004-A49C-4EFD-A9CE-F6D82CBDA0E6}"/>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(Ausgrid!$AA$29,Ausgrid!$AD$29)</c:f>
              <c:strCache>
                <c:ptCount val="2"/>
                <c:pt idx="0">
                  <c:v>2024-25</c:v>
                </c:pt>
                <c:pt idx="1">
                  <c:v>2025-26</c:v>
                </c:pt>
              </c:strCache>
            </c:strRef>
          </c:cat>
          <c:val>
            <c:numRef>
              <c:f>(Ausgrid!$AA$34,Ausgrid!$AF$34)</c:f>
              <c:numCache>
                <c:formatCode>#,##0.00</c:formatCode>
                <c:ptCount val="2"/>
                <c:pt idx="0">
                  <c:v>1806.0313464285709</c:v>
                </c:pt>
                <c:pt idx="1">
                  <c:v>1909.4590830953498</c:v>
                </c:pt>
              </c:numCache>
            </c:numRef>
          </c:val>
          <c:extLst>
            <c:ext xmlns:c16="http://schemas.microsoft.com/office/drawing/2014/chart" uri="{C3380CC4-5D6E-409C-BE32-E72D297353CC}">
              <c16:uniqueId val="{00000005-A49C-4EFD-A9CE-F6D82CBDA0E6}"/>
            </c:ext>
          </c:extLst>
        </c:ser>
        <c:ser>
          <c:idx val="2"/>
          <c:order val="2"/>
          <c:tx>
            <c:strRef>
              <c:f>Ausgrid!$F$35</c:f>
              <c:strCache>
                <c:ptCount val="1"/>
                <c:pt idx="0">
                  <c:v>Environmental cost</c:v>
                </c:pt>
              </c:strCache>
            </c:strRef>
          </c:tx>
          <c:spPr>
            <a:solidFill>
              <a:srgbClr val="5F9E88"/>
            </a:solidFill>
            <a:ln>
              <a:noFill/>
            </a:ln>
            <a:effectLst/>
          </c:spPr>
          <c:invertIfNegative val="0"/>
          <c:dLbls>
            <c:dLbl>
              <c:idx val="0"/>
              <c:tx>
                <c:strRef>
                  <c:f>Ausgrid!$AB$35</c:f>
                  <c:strCache>
                    <c:ptCount val="1"/>
                    <c:pt idx="0">
                      <c:v>4.7%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{9CECBD76-257B-4DAB-AF79-96AA2BBC310A}</c15:txfldGUID>
                      <c15:f>Ausgrid!$AB$35</c15:f>
                      <c15:dlblFieldTableCache>
                        <c:ptCount val="1"/>
                        <c:pt idx="0">
                          <c:v>4.7%</c:v>
                        </c:pt>
                      </c15:dlblFieldTableCache>
                    </c15:dlblFTEntry>
                  </c15:dlblFieldTable>
                  <c15:showDataLabelsRange val="0"/>
                </c:ext>
                <c:ext xmlns:c16="http://schemas.microsoft.com/office/drawing/2014/chart" uri="{C3380CC4-5D6E-409C-BE32-E72D297353CC}">
                  <c16:uniqueId val="{00000006-A49C-4EFD-A9CE-F6D82CBDA0E6}"/>
                </c:ext>
              </c:extLst>
            </c:dLbl>
            <c:dLbl>
              <c:idx val="1"/>
              <c:tx>
                <c:strRef>
                  <c:f>Ausgrid!$AG$35</c:f>
                  <c:strCache>
                    <c:ptCount val="1"/>
                    <c:pt idx="0">
                      <c:v>3.5%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{B8DC86DF-5EBC-456D-B603-E188A67A3E89}</c15:txfldGUID>
                      <c15:f>Ausgrid!$AG$35</c15:f>
                      <c15:dlblFieldTableCache>
                        <c:ptCount val="1"/>
                        <c:pt idx="0">
                          <c:v>3.5%</c:v>
                        </c:pt>
                      </c15:dlblFieldTableCache>
                    </c15:dlblFTEntry>
                  </c15:dlblFieldTable>
                  <c15:showDataLabelsRange val="0"/>
                </c:ext>
                <c:ext xmlns:c16="http://schemas.microsoft.com/office/drawing/2014/chart" uri="{C3380CC4-5D6E-409C-BE32-E72D297353CC}">
                  <c16:uniqueId val="{00000007-A49C-4EFD-A9CE-F6D82CBDA0E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(Ausgrid!$AA$29,Ausgrid!$AD$29)</c:f>
              <c:strCache>
                <c:ptCount val="2"/>
                <c:pt idx="0">
                  <c:v>2024-25</c:v>
                </c:pt>
                <c:pt idx="1">
                  <c:v>2025-26</c:v>
                </c:pt>
              </c:strCache>
            </c:strRef>
          </c:cat>
          <c:val>
            <c:numRef>
              <c:f>(Ausgrid!$AA$35,Ausgrid!$AF$35)</c:f>
              <c:numCache>
                <c:formatCode>#,##0.00</c:formatCode>
                <c:ptCount val="2"/>
                <c:pt idx="0">
                  <c:v>216.04000000000002</c:v>
                </c:pt>
                <c:pt idx="1">
                  <c:v>175.20902385503416</c:v>
                </c:pt>
              </c:numCache>
            </c:numRef>
          </c:val>
          <c:extLst>
            <c:ext xmlns:c16="http://schemas.microsoft.com/office/drawing/2014/chart" uri="{C3380CC4-5D6E-409C-BE32-E72D297353CC}">
              <c16:uniqueId val="{00000008-A49C-4EFD-A9CE-F6D82CBDA0E6}"/>
            </c:ext>
          </c:extLst>
        </c:ser>
        <c:ser>
          <c:idx val="3"/>
          <c:order val="3"/>
          <c:tx>
            <c:strRef>
              <c:f>Ausgrid!$F$36</c:f>
              <c:strCache>
                <c:ptCount val="1"/>
                <c:pt idx="0">
                  <c:v>Retail cost</c:v>
                </c:pt>
              </c:strCache>
            </c:strRef>
          </c:tx>
          <c:spPr>
            <a:solidFill>
              <a:srgbClr val="F0B9B3"/>
            </a:solidFill>
            <a:ln>
              <a:noFill/>
            </a:ln>
            <a:effectLst/>
          </c:spPr>
          <c:invertIfNegative val="0"/>
          <c:dLbls>
            <c:dLbl>
              <c:idx val="0"/>
              <c:tx>
                <c:rich>
                  <a:bodyPr/>
                  <a:lstStyle/>
                  <a:p>
                    <a:fld id="{4480A32B-8528-44CF-8047-0A9A311D3E1C}"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49C-4EFD-A9CE-F6D82CBDA0E6}"/>
                </c:ext>
              </c:extLst>
            </c:dLbl>
            <c:dLbl>
              <c:idx val="1"/>
              <c:tx>
                <c:rich>
                  <a:bodyPr/>
                  <a:lstStyle/>
                  <a:p>
                    <a:fld id="{71F0A986-842D-4E63-AD3E-8289B63B8D4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49C-4EFD-A9CE-F6D82CBDA0E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(Ausgrid!$AA$29,Ausgrid!$AD$29)</c:f>
              <c:strCache>
                <c:ptCount val="2"/>
                <c:pt idx="0">
                  <c:v>2024-25</c:v>
                </c:pt>
                <c:pt idx="1">
                  <c:v>2025-26</c:v>
                </c:pt>
              </c:strCache>
            </c:strRef>
          </c:cat>
          <c:val>
            <c:numRef>
              <c:f>(Ausgrid!$AA$36,Ausgrid!$AF$36)</c:f>
              <c:numCache>
                <c:formatCode>#,##0.00</c:formatCode>
                <c:ptCount val="2"/>
                <c:pt idx="0">
                  <c:v>326.29346481599998</c:v>
                </c:pt>
                <c:pt idx="1">
                  <c:v>421.95171106889359</c:v>
                </c:pt>
              </c:numCache>
            </c:numRef>
          </c:val>
          <c:extLst>
            <c:ext xmlns:c15="http://schemas.microsoft.com/office/drawing/2012/chart" uri="{02D57815-91ED-43cb-92C2-25804820EDAC}">
              <c15:datalabelsRange>
                <c15:f>(Ausgrid!$AB$36,Ausgrid!$AG$36)</c15:f>
                <c15:dlblRangeCache>
                  <c:ptCount val="2"/>
                  <c:pt idx="0">
                    <c:v>7.1%</c:v>
                  </c:pt>
                  <c:pt idx="1">
                    <c:v>8.5%</c:v>
                  </c:pt>
                </c15:dlblRangeCache>
              </c15:datalabelsRange>
            </c:ext>
            <c:ext xmlns:c16="http://schemas.microsoft.com/office/drawing/2014/chart" uri="{C3380CC4-5D6E-409C-BE32-E72D297353CC}">
              <c16:uniqueId val="{0000000B-A49C-4EFD-A9CE-F6D82CBDA0E6}"/>
            </c:ext>
          </c:extLst>
        </c:ser>
        <c:ser>
          <c:idx val="5"/>
          <c:order val="4"/>
          <c:tx>
            <c:strRef>
              <c:f>Ausgrid!$F$37</c:f>
              <c:strCache>
                <c:ptCount val="1"/>
                <c:pt idx="0">
                  <c:v>Retail margin</c:v>
                </c:pt>
              </c:strCache>
            </c:strRef>
          </c:tx>
          <c:spPr>
            <a:solidFill>
              <a:srgbClr val="303F51"/>
            </a:solidFill>
            <a:ln>
              <a:noFill/>
            </a:ln>
            <a:effectLst/>
          </c:spPr>
          <c:invertIfNegative val="0"/>
          <c:dLbls>
            <c:dLbl>
              <c:idx val="0"/>
              <c:tx>
                <c:rich>
                  <a:bodyPr/>
                  <a:lstStyle/>
                  <a:p>
                    <a:fld id="{10E9C953-3F9E-44C5-A4C6-E3AAF3949D6F}"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49C-4EFD-A9CE-F6D82CBDA0E6}"/>
                </c:ext>
              </c:extLst>
            </c:dLbl>
            <c:dLbl>
              <c:idx val="1"/>
              <c:tx>
                <c:rich>
                  <a:bodyPr/>
                  <a:lstStyle/>
                  <a:p>
                    <a:fld id="{AB1FE154-FA8C-413B-9080-1F6A323649E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49C-4EFD-A9CE-F6D82CBDA0E6}"/>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(Ausgrid!$AA$37,Ausgrid!$AF$37)</c:f>
              <c:numCache>
                <c:formatCode>#,##0.00</c:formatCode>
                <c:ptCount val="2"/>
                <c:pt idx="0">
                  <c:v>507.30476862023806</c:v>
                </c:pt>
                <c:pt idx="1">
                  <c:v>547.52288725690687</c:v>
                </c:pt>
              </c:numCache>
            </c:numRef>
          </c:val>
          <c:extLst>
            <c:ext xmlns:c15="http://schemas.microsoft.com/office/drawing/2012/chart" uri="{02D57815-91ED-43cb-92C2-25804820EDAC}">
              <c15:datalabelsRange>
                <c15:f>(Ausgrid!$AB$37,Ausgrid!$AG$37)</c15:f>
                <c15:dlblRangeCache>
                  <c:ptCount val="2"/>
                  <c:pt idx="0">
                    <c:v>11.0%</c:v>
                  </c:pt>
                  <c:pt idx="1">
                    <c:v>11.0%</c:v>
                  </c:pt>
                </c15:dlblRangeCache>
              </c15:datalabelsRange>
            </c:ext>
            <c:ext xmlns:c16="http://schemas.microsoft.com/office/drawing/2014/chart" uri="{C3380CC4-5D6E-409C-BE32-E72D297353CC}">
              <c16:uniqueId val="{0000000E-A49C-4EFD-A9CE-F6D82CBDA0E6}"/>
            </c:ext>
          </c:extLst>
        </c:ser>
        <c:ser>
          <c:idx val="4"/>
          <c:order val="5"/>
          <c:tx>
            <c:v>DMO</c:v>
          </c:tx>
          <c:spPr>
            <a:noFill/>
            <a:ln>
              <a:noFill/>
            </a:ln>
            <a:effectLst/>
          </c:spPr>
          <c:invertIfNegative val="0"/>
          <c:dLbls>
            <c:dLbl>
              <c:idx val="0"/>
              <c:dLblPos val="inBase"/>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E50-4960-9BFB-E80A5186E981}"/>
                </c:ext>
              </c:extLst>
            </c:dLbl>
            <c:dLbl>
              <c:idx val="1"/>
              <c:layout>
                <c:manualLayout>
                  <c:x val="-6.0969478051884733E-3"/>
                  <c:y val="0.13778587122863714"/>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8C94-4205-807B-888708A3A4C4}"/>
                </c:ext>
              </c:extLst>
            </c:dLbl>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(Ausgrid!$AA$29,Ausgrid!$AD$29)</c:f>
              <c:strCache>
                <c:ptCount val="2"/>
                <c:pt idx="0">
                  <c:v>2024-25</c:v>
                </c:pt>
                <c:pt idx="1">
                  <c:v>2025-26</c:v>
                </c:pt>
              </c:strCache>
            </c:strRef>
          </c:cat>
          <c:val>
            <c:numRef>
              <c:f>(Ausgrid!$Z$32,Ausgrid!$Z$38)</c:f>
              <c:numCache>
                <c:formatCode>#,##0.00</c:formatCode>
                <c:ptCount val="2"/>
                <c:pt idx="0">
                  <c:v>4612</c:v>
                </c:pt>
                <c:pt idx="1">
                  <c:v>4977</c:v>
                </c:pt>
              </c:numCache>
            </c:numRef>
          </c:val>
          <c:extLst>
            <c:ext xmlns:c16="http://schemas.microsoft.com/office/drawing/2014/chart" uri="{C3380CC4-5D6E-409C-BE32-E72D297353CC}">
              <c16:uniqueId val="{00000012-A49C-4EFD-A9CE-F6D82CBDA0E6}"/>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256"/>
        <c:crosses val="autoZero"/>
        <c:auto val="1"/>
        <c:lblAlgn val="ctr"/>
        <c:lblOffset val="100"/>
        <c:noMultiLvlLbl val="0"/>
      </c:catAx>
      <c:valAx>
        <c:axId val="228354256"/>
        <c:scaling>
          <c:orientation val="minMax"/>
          <c:max val="54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912"/>
        <c:crosses val="autoZero"/>
        <c:crossBetween val="between"/>
      </c:valAx>
      <c:spPr>
        <a:solidFill>
          <a:srgbClr val="F2F2F2"/>
        </a:solid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Endeavour!$D$3</c:f>
          <c:strCache>
            <c:ptCount val="1"/>
            <c:pt idx="0">
              <c:v>Endeavour Residential with CL</c:v>
            </c:pt>
          </c:strCache>
        </c:strRef>
      </c:tx>
      <c:layout>
        <c:manualLayout>
          <c:xMode val="edge"/>
          <c:yMode val="edge"/>
          <c:x val="0.28465645311049209"/>
          <c:y val="1.30293159609120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Endeavour!$F$33</c:f>
              <c:strCache>
                <c:ptCount val="1"/>
                <c:pt idx="0">
                  <c:v>Network cost</c:v>
                </c:pt>
              </c:strCache>
            </c:strRef>
          </c:tx>
          <c:spPr>
            <a:solidFill>
              <a:srgbClr val="89B3CE"/>
            </a:solidFill>
            <a:ln>
              <a:noFill/>
            </a:ln>
            <a:effectLst/>
          </c:spPr>
          <c:invertIfNegative val="0"/>
          <c:dLbls>
            <c:dLbl>
              <c:idx val="0"/>
              <c:tx>
                <c:strRef>
                  <c:f>Endeavour!$S$33</c:f>
                  <c:strCache>
                    <c:ptCount val="1"/>
                    <c:pt idx="0">
                      <c:v>33.4%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{0E3A8823-DE4A-4D86-BA43-6C73940DC01F}</c15:txfldGUID>
                      <c15:f>Endeavour!$S$33</c15:f>
                      <c15:dlblFieldTableCache>
                        <c:ptCount val="1"/>
                        <c:pt idx="0">
                          <c:v>33.4%</c:v>
                        </c:pt>
                      </c15:dlblFieldTableCache>
                    </c15:dlblFTEntry>
                  </c15:dlblFieldTable>
                  <c15:showDataLabelsRange val="0"/>
                </c:ext>
                <c:ext xmlns:c16="http://schemas.microsoft.com/office/drawing/2014/chart" uri="{C3380CC4-5D6E-409C-BE32-E72D297353CC}">
                  <c16:uniqueId val="{00000000-6A76-43FC-BFE5-9CBAB72D06F8}"/>
                </c:ext>
              </c:extLst>
            </c:dLbl>
            <c:dLbl>
              <c:idx val="1"/>
              <c:tx>
                <c:strRef>
                  <c:f>Endeavour!$X$33</c:f>
                  <c:strCache>
                    <c:ptCount val="1"/>
                    <c:pt idx="0">
                      <c:v>33.8%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{16A437B3-1029-49F9-B123-5D97E9A13522}</c15:txfldGUID>
                      <c15:f>Endeavour!$X$33</c15:f>
                      <c15:dlblFieldTableCache>
                        <c:ptCount val="1"/>
                        <c:pt idx="0">
                          <c:v>33.8%</c:v>
                        </c:pt>
                      </c15:dlblFieldTableCache>
                    </c15:dlblFTEntry>
                  </c15:dlblFieldTable>
                  <c15:showDataLabelsRange val="0"/>
                </c:ext>
                <c:ext xmlns:c16="http://schemas.microsoft.com/office/drawing/2014/chart" uri="{C3380CC4-5D6E-409C-BE32-E72D297353CC}">
                  <c16:uniqueId val="{00000001-6A76-43FC-BFE5-9CBAB72D06F8}"/>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(Endeavour!$R$29,Endeavour!$U$29)</c:f>
              <c:strCache>
                <c:ptCount val="2"/>
                <c:pt idx="0">
                  <c:v>2024-25</c:v>
                </c:pt>
                <c:pt idx="1">
                  <c:v>2025-26</c:v>
                </c:pt>
              </c:strCache>
            </c:strRef>
          </c:cat>
          <c:val>
            <c:numRef>
              <c:f>(Endeavour!$R$33,Endeavour!$W$33)</c:f>
              <c:numCache>
                <c:formatCode>#,##0.00</c:formatCode>
                <c:ptCount val="2"/>
                <c:pt idx="0">
                  <c:v>934.1436698</c:v>
                </c:pt>
                <c:pt idx="1">
                  <c:v>1037.5532573999999</c:v>
                </c:pt>
              </c:numCache>
            </c:numRef>
          </c:val>
          <c:extLst>
            <c:ext xmlns:c16="http://schemas.microsoft.com/office/drawing/2014/chart" uri="{C3380CC4-5D6E-409C-BE32-E72D297353CC}">
              <c16:uniqueId val="{00000002-6A76-43FC-BFE5-9CBAB72D06F8}"/>
            </c:ext>
          </c:extLst>
        </c:ser>
        <c:ser>
          <c:idx val="1"/>
          <c:order val="1"/>
          <c:tx>
            <c:strRef>
              <c:f>Endeavour!$F$34</c:f>
              <c:strCache>
                <c:ptCount val="1"/>
                <c:pt idx="0">
                  <c:v>Wholesale cost</c:v>
                </c:pt>
              </c:strCache>
            </c:strRef>
          </c:tx>
          <c:spPr>
            <a:solidFill>
              <a:srgbClr val="E06026"/>
            </a:solidFill>
            <a:ln>
              <a:noFill/>
            </a:ln>
            <a:effectLst/>
          </c:spPr>
          <c:invertIfNegative val="0"/>
          <c:dLbls>
            <c:dLbl>
              <c:idx val="0"/>
              <c:tx>
                <c:strRef>
                  <c:f>Endeavour!$S$34</c:f>
                  <c:strCache>
                    <c:ptCount val="1"/>
                    <c:pt idx="0">
                      <c:v>45.3%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{C0BE074C-E50A-47DF-BADE-A1A83BD1868A}</c15:txfldGUID>
                      <c15:f>Endeavour!$S$34</c15:f>
                      <c15:dlblFieldTableCache>
                        <c:ptCount val="1"/>
                        <c:pt idx="0">
                          <c:v>45.3%</c:v>
                        </c:pt>
                      </c15:dlblFieldTableCache>
                    </c15:dlblFTEntry>
                  </c15:dlblFieldTable>
                  <c15:showDataLabelsRange val="0"/>
                </c:ext>
                <c:ext xmlns:c16="http://schemas.microsoft.com/office/drawing/2014/chart" uri="{C3380CC4-5D6E-409C-BE32-E72D297353CC}">
                  <c16:uniqueId val="{00000003-6A76-43FC-BFE5-9CBAB72D06F8}"/>
                </c:ext>
              </c:extLst>
            </c:dLbl>
            <c:dLbl>
              <c:idx val="1"/>
              <c:tx>
                <c:strRef>
                  <c:f>Endeavour!$X$34</c:f>
                  <c:strCache>
                    <c:ptCount val="1"/>
                    <c:pt idx="0">
                      <c:v>44.7%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{BEB9A499-1D28-4019-A64E-DD92816889DC}</c15:txfldGUID>
                      <c15:f>Endeavour!$X$34</c15:f>
                      <c15:dlblFieldTableCache>
                        <c:ptCount val="1"/>
                        <c:pt idx="0">
                          <c:v>44.7%</c:v>
                        </c:pt>
                      </c15:dlblFieldTableCache>
                    </c15:dlblFTEntry>
                  </c15:dlblFieldTable>
                  <c15:showDataLabelsRange val="0"/>
                </c:ext>
                <c:ext xmlns:c16="http://schemas.microsoft.com/office/drawing/2014/chart" uri="{C3380CC4-5D6E-409C-BE32-E72D297353CC}">
                  <c16:uniqueId val="{00000004-6A76-43FC-BFE5-9CBAB72D06F8}"/>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(Endeavour!$R$29,Endeavour!$U$29)</c:f>
              <c:strCache>
                <c:ptCount val="2"/>
                <c:pt idx="0">
                  <c:v>2024-25</c:v>
                </c:pt>
                <c:pt idx="1">
                  <c:v>2025-26</c:v>
                </c:pt>
              </c:strCache>
            </c:strRef>
          </c:cat>
          <c:val>
            <c:numRef>
              <c:f>(Endeavour!$R$34,Endeavour!$W$34)</c:f>
              <c:numCache>
                <c:formatCode>#,##0.00</c:formatCode>
                <c:ptCount val="2"/>
                <c:pt idx="0">
                  <c:v>1268.5376490285714</c:v>
                </c:pt>
                <c:pt idx="1">
                  <c:v>1373.9644465801262</c:v>
                </c:pt>
              </c:numCache>
            </c:numRef>
          </c:val>
          <c:extLst>
            <c:ext xmlns:c16="http://schemas.microsoft.com/office/drawing/2014/chart" uri="{C3380CC4-5D6E-409C-BE32-E72D297353CC}">
              <c16:uniqueId val="{00000005-6A76-43FC-BFE5-9CBAB72D06F8}"/>
            </c:ext>
          </c:extLst>
        </c:ser>
        <c:ser>
          <c:idx val="2"/>
          <c:order val="2"/>
          <c:tx>
            <c:strRef>
              <c:f>Endeavour!$F$35</c:f>
              <c:strCache>
                <c:ptCount val="1"/>
                <c:pt idx="0">
                  <c:v>Environmental cost</c:v>
                </c:pt>
              </c:strCache>
            </c:strRef>
          </c:tx>
          <c:spPr>
            <a:solidFill>
              <a:srgbClr val="5F9E88"/>
            </a:solidFill>
            <a:ln>
              <a:noFill/>
            </a:ln>
            <a:effectLst/>
          </c:spPr>
          <c:invertIfNegative val="0"/>
          <c:dLbls>
            <c:dLbl>
              <c:idx val="0"/>
              <c:tx>
                <c:strRef>
                  <c:f>Endeavour!$S$35</c:f>
                  <c:strCache>
                    <c:ptCount val="1"/>
                    <c:pt idx="0">
                      <c:v>5.8%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{148246D1-C649-4E75-A031-3C402DE7F314}</c15:txfldGUID>
                      <c15:f>Endeavour!$S$35</c15:f>
                      <c15:dlblFieldTableCache>
                        <c:ptCount val="1"/>
                        <c:pt idx="0">
                          <c:v>5.8%</c:v>
                        </c:pt>
                      </c15:dlblFieldTableCache>
                    </c15:dlblFTEntry>
                  </c15:dlblFieldTable>
                  <c15:showDataLabelsRange val="0"/>
                </c:ext>
                <c:ext xmlns:c16="http://schemas.microsoft.com/office/drawing/2014/chart" uri="{C3380CC4-5D6E-409C-BE32-E72D297353CC}">
                  <c16:uniqueId val="{00000006-6A76-43FC-BFE5-9CBAB72D06F8}"/>
                </c:ext>
              </c:extLst>
            </c:dLbl>
            <c:dLbl>
              <c:idx val="1"/>
              <c:tx>
                <c:strRef>
                  <c:f>Endeavour!$X$35</c:f>
                  <c:strCache>
                    <c:ptCount val="1"/>
                    <c:pt idx="0">
                      <c:v>4.3%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{5EC4F8B6-5687-4AD1-B0DB-4B8224D48393}</c15:txfldGUID>
                      <c15:f>Endeavour!$X$35</c15:f>
                      <c15:dlblFieldTableCache>
                        <c:ptCount val="1"/>
                        <c:pt idx="0">
                          <c:v>4.3%</c:v>
                        </c:pt>
                      </c15:dlblFieldTableCache>
                    </c15:dlblFTEntry>
                  </c15:dlblFieldTable>
                  <c15:showDataLabelsRange val="0"/>
                </c:ext>
                <c:ext xmlns:c16="http://schemas.microsoft.com/office/drawing/2014/chart" uri="{C3380CC4-5D6E-409C-BE32-E72D297353CC}">
                  <c16:uniqueId val="{00000007-6A76-43FC-BFE5-9CBAB72D06F8}"/>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(Endeavour!$R$29,Endeavour!$U$29)</c:f>
              <c:strCache>
                <c:ptCount val="2"/>
                <c:pt idx="0">
                  <c:v>2024-25</c:v>
                </c:pt>
                <c:pt idx="1">
                  <c:v>2025-26</c:v>
                </c:pt>
              </c:strCache>
            </c:strRef>
          </c:cat>
          <c:val>
            <c:numRef>
              <c:f>(Endeavour!$R$35,Endeavour!$W$35)</c:f>
              <c:numCache>
                <c:formatCode>#,##0.00</c:formatCode>
                <c:ptCount val="2"/>
                <c:pt idx="0">
                  <c:v>161.2534</c:v>
                </c:pt>
                <c:pt idx="1">
                  <c:v>132.00289899841519</c:v>
                </c:pt>
              </c:numCache>
            </c:numRef>
          </c:val>
          <c:extLst>
            <c:ext xmlns:c16="http://schemas.microsoft.com/office/drawing/2014/chart" uri="{C3380CC4-5D6E-409C-BE32-E72D297353CC}">
              <c16:uniqueId val="{00000008-6A76-43FC-BFE5-9CBAB72D06F8}"/>
            </c:ext>
          </c:extLst>
        </c:ser>
        <c:ser>
          <c:idx val="3"/>
          <c:order val="3"/>
          <c:tx>
            <c:strRef>
              <c:f>Endeavour!$F$36</c:f>
              <c:strCache>
                <c:ptCount val="1"/>
                <c:pt idx="0">
                  <c:v>Retail cost</c:v>
                </c:pt>
              </c:strCache>
            </c:strRef>
          </c:tx>
          <c:spPr>
            <a:solidFill>
              <a:srgbClr val="F0B9B3"/>
            </a:solidFill>
            <a:ln>
              <a:noFill/>
            </a:ln>
            <a:effectLst/>
          </c:spPr>
          <c:invertIfNegative val="0"/>
          <c:dLbls>
            <c:dLbl>
              <c:idx val="0"/>
              <c:tx>
                <c:rich>
                  <a:bodyPr/>
                  <a:lstStyle/>
                  <a:p>
                    <a:fld id="{283FBAD7-C605-4129-BB78-72C992AEA44E}"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A76-43FC-BFE5-9CBAB72D06F8}"/>
                </c:ext>
              </c:extLst>
            </c:dLbl>
            <c:dLbl>
              <c:idx val="1"/>
              <c:tx>
                <c:rich>
                  <a:bodyPr/>
                  <a:lstStyle/>
                  <a:p>
                    <a:fld id="{1DDD5470-5D4C-4CF2-B56D-4F055A06911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A76-43FC-BFE5-9CBAB72D06F8}"/>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(Endeavour!$R$29,Endeavour!$U$29)</c:f>
              <c:strCache>
                <c:ptCount val="2"/>
                <c:pt idx="0">
                  <c:v>2024-25</c:v>
                </c:pt>
                <c:pt idx="1">
                  <c:v>2025-26</c:v>
                </c:pt>
              </c:strCache>
            </c:strRef>
          </c:cat>
          <c:val>
            <c:numRef>
              <c:f>(Endeavour!$R$36,Endeavour!$W$36)</c:f>
              <c:numCache>
                <c:formatCode>#,##0.00</c:formatCode>
                <c:ptCount val="2"/>
                <c:pt idx="0">
                  <c:v>268.94377382400006</c:v>
                </c:pt>
                <c:pt idx="1">
                  <c:v>344.30566121810301</c:v>
                </c:pt>
              </c:numCache>
            </c:numRef>
          </c:val>
          <c:extLst>
            <c:ext xmlns:c15="http://schemas.microsoft.com/office/drawing/2012/chart" uri="{02D57815-91ED-43cb-92C2-25804820EDAC}">
              <c15:datalabelsRange>
                <c15:f>(Endeavour!$S$36,Endeavour!$X$36)</c15:f>
                <c15:dlblRangeCache>
                  <c:ptCount val="2"/>
                  <c:pt idx="0">
                    <c:v>9.6%</c:v>
                  </c:pt>
                  <c:pt idx="1">
                    <c:v>11.2%</c:v>
                  </c:pt>
                </c15:dlblRangeCache>
              </c15:datalabelsRange>
            </c:ext>
            <c:ext xmlns:c16="http://schemas.microsoft.com/office/drawing/2014/chart" uri="{C3380CC4-5D6E-409C-BE32-E72D297353CC}">
              <c16:uniqueId val="{0000000B-6A76-43FC-BFE5-9CBAB72D06F8}"/>
            </c:ext>
          </c:extLst>
        </c:ser>
        <c:ser>
          <c:idx val="5"/>
          <c:order val="4"/>
          <c:tx>
            <c:strRef>
              <c:f>Endeavour!$F$37</c:f>
              <c:strCache>
                <c:ptCount val="1"/>
                <c:pt idx="0">
                  <c:v>Retail margin</c:v>
                </c:pt>
              </c:strCache>
            </c:strRef>
          </c:tx>
          <c:spPr>
            <a:solidFill>
              <a:srgbClr val="303F51"/>
            </a:solidFill>
            <a:ln>
              <a:noFill/>
            </a:ln>
            <a:effectLst/>
          </c:spPr>
          <c:invertIfNegative val="0"/>
          <c:dLbls>
            <c:dLbl>
              <c:idx val="0"/>
              <c:tx>
                <c:rich>
                  <a:bodyPr/>
                  <a:lstStyle/>
                  <a:p>
                    <a:fld id="{5C536AF6-DFE4-4A1A-8B80-3ABC398EA937}"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A76-43FC-BFE5-9CBAB72D06F8}"/>
                </c:ext>
              </c:extLst>
            </c:dLbl>
            <c:dLbl>
              <c:idx val="1"/>
              <c:tx>
                <c:rich>
                  <a:bodyPr/>
                  <a:lstStyle/>
                  <a:p>
                    <a:fld id="{0A541CFA-E7D2-472E-B814-8A602B1E294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A76-43FC-BFE5-9CBAB72D06F8}"/>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(Endeavour!$R$37,Endeavour!$W$37)</c:f>
              <c:numCache>
                <c:formatCode>#,##0.00</c:formatCode>
                <c:ptCount val="2"/>
                <c:pt idx="0">
                  <c:v>168.05607399910059</c:v>
                </c:pt>
                <c:pt idx="1">
                  <c:v>184.32933601255172</c:v>
                </c:pt>
              </c:numCache>
            </c:numRef>
          </c:val>
          <c:extLst>
            <c:ext xmlns:c15="http://schemas.microsoft.com/office/drawing/2012/chart" uri="{02D57815-91ED-43cb-92C2-25804820EDAC}">
              <c15:datalabelsRange>
                <c15:f>(Endeavour!$S$37,Endeavour!$X$37)</c15:f>
                <c15:dlblRangeCache>
                  <c:ptCount val="2"/>
                  <c:pt idx="0">
                    <c:v>6.0%</c:v>
                  </c:pt>
                  <c:pt idx="1">
                    <c:v>6.0%</c:v>
                  </c:pt>
                </c15:dlblRangeCache>
              </c15:datalabelsRange>
            </c:ext>
            <c:ext xmlns:c16="http://schemas.microsoft.com/office/drawing/2014/chart" uri="{C3380CC4-5D6E-409C-BE32-E72D297353CC}">
              <c16:uniqueId val="{0000000E-6A76-43FC-BFE5-9CBAB72D06F8}"/>
            </c:ext>
          </c:extLst>
        </c:ser>
        <c:ser>
          <c:idx val="4"/>
          <c:order val="5"/>
          <c:tx>
            <c:v>DMO</c:v>
          </c:tx>
          <c:spPr>
            <a:noFill/>
            <a:ln>
              <a:noFill/>
            </a:ln>
            <a:effectLst/>
          </c:spPr>
          <c:invertIfNegative val="0"/>
          <c:dLbls>
            <c:dLbl>
              <c:idx val="1"/>
              <c:layout>
                <c:manualLayout>
                  <c:x val="-1.3944026495295331E-3"/>
                  <c:y val="0.14621628322518318"/>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863D-4C88-B40B-F933F7E89AE9}"/>
                </c:ext>
              </c:extLst>
            </c:dLbl>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(Endeavour!$R$29,Endeavour!$U$29)</c:f>
              <c:strCache>
                <c:ptCount val="2"/>
                <c:pt idx="0">
                  <c:v>2024-25</c:v>
                </c:pt>
                <c:pt idx="1">
                  <c:v>2025-26</c:v>
                </c:pt>
              </c:strCache>
            </c:strRef>
          </c:cat>
          <c:val>
            <c:numRef>
              <c:f>(Endeavour!$Q$32,Endeavour!$Q$38)</c:f>
              <c:numCache>
                <c:formatCode>#,##0.00</c:formatCode>
                <c:ptCount val="2"/>
                <c:pt idx="0">
                  <c:v>2801</c:v>
                </c:pt>
                <c:pt idx="1">
                  <c:v>3072</c:v>
                </c:pt>
              </c:numCache>
            </c:numRef>
          </c:val>
          <c:extLst>
            <c:ext xmlns:c16="http://schemas.microsoft.com/office/drawing/2014/chart" uri="{C3380CC4-5D6E-409C-BE32-E72D297353CC}">
              <c16:uniqueId val="{0000000F-6A76-43FC-BFE5-9CBAB72D06F8}"/>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256"/>
        <c:crosses val="autoZero"/>
        <c:auto val="1"/>
        <c:lblAlgn val="ctr"/>
        <c:lblOffset val="100"/>
        <c:noMultiLvlLbl val="0"/>
      </c:catAx>
      <c:valAx>
        <c:axId val="228354256"/>
        <c:scaling>
          <c:orientation val="minMax"/>
          <c:max val="34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912"/>
        <c:crosses val="autoZero"/>
        <c:crossBetween val="between"/>
      </c:valAx>
      <c:spPr>
        <a:solidFill>
          <a:srgbClr val="F2F2F2"/>
        </a:solid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Endeavour!$C$3</c:f>
          <c:strCache>
            <c:ptCount val="1"/>
            <c:pt idx="0">
              <c:v>Endeavour Residential without CL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Endeavour!$F$33</c:f>
              <c:strCache>
                <c:ptCount val="1"/>
                <c:pt idx="0">
                  <c:v>Network cost</c:v>
                </c:pt>
              </c:strCache>
            </c:strRef>
          </c:tx>
          <c:spPr>
            <a:solidFill>
              <a:srgbClr val="89B3CE"/>
            </a:solidFill>
            <a:ln>
              <a:noFill/>
            </a:ln>
            <a:effectLst/>
          </c:spPr>
          <c:invertIfNegative val="0"/>
          <c:dLbls>
            <c:dLbl>
              <c:idx val="0"/>
              <c:tx>
                <c:strRef>
                  <c:f>Endeavour!$J$33</c:f>
                  <c:strCache>
                    <c:ptCount val="1"/>
                    <c:pt idx="0">
                      <c:v>34.4%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{369EB12E-2D27-45BE-96F1-95856E20F64B}</c15:txfldGUID>
                      <c15:f>Endeavour!$J$33</c15:f>
                      <c15:dlblFieldTableCache>
                        <c:ptCount val="1"/>
                        <c:pt idx="0">
                          <c:v>34.4%</c:v>
                        </c:pt>
                      </c15:dlblFieldTableCache>
                    </c15:dlblFTEntry>
                  </c15:dlblFieldTable>
                  <c15:showDataLabelsRange val="0"/>
                </c:ext>
                <c:ext xmlns:c16="http://schemas.microsoft.com/office/drawing/2014/chart" uri="{C3380CC4-5D6E-409C-BE32-E72D297353CC}">
                  <c16:uniqueId val="{00000000-F337-45BE-834B-F7930ECD51BC}"/>
                </c:ext>
              </c:extLst>
            </c:dLbl>
            <c:dLbl>
              <c:idx val="1"/>
              <c:tx>
                <c:strRef>
                  <c:f>Endeavour!$O$33</c:f>
                  <c:strCache>
                    <c:ptCount val="1"/>
                    <c:pt idx="0">
                      <c:v>34.7%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{9502A7FA-0DB4-4853-B8B7-284CBCD76B6B}</c15:txfldGUID>
                      <c15:f>Endeavour!$O$33</c15:f>
                      <c15:dlblFieldTableCache>
                        <c:ptCount val="1"/>
                        <c:pt idx="0">
                          <c:v>34.7%</c:v>
                        </c:pt>
                      </c15:dlblFieldTableCache>
                    </c15:dlblFTEntry>
                  </c15:dlblFieldTable>
                  <c15:showDataLabelsRange val="0"/>
                </c:ext>
                <c:ext xmlns:c16="http://schemas.microsoft.com/office/drawing/2014/chart" uri="{C3380CC4-5D6E-409C-BE32-E72D297353CC}">
                  <c16:uniqueId val="{00000001-F337-45BE-834B-F7930ECD51B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2024-25</c:v>
                </c:pt>
                <c:pt idx="1">
                  <c:v>2025-26</c:v>
                </c:pt>
              </c:strCache>
            </c:strRef>
          </c:cat>
          <c:val>
            <c:numRef>
              <c:f>(Endeavour!$I$33,Endeavour!$N$33)</c:f>
              <c:numCache>
                <c:formatCode>#,##0.00</c:formatCode>
                <c:ptCount val="2"/>
                <c:pt idx="0">
                  <c:v>764.81430299999988</c:v>
                </c:pt>
                <c:pt idx="1">
                  <c:v>836.50737499999991</c:v>
                </c:pt>
              </c:numCache>
            </c:numRef>
          </c:val>
          <c:extLst>
            <c:ext xmlns:c16="http://schemas.microsoft.com/office/drawing/2014/chart" uri="{C3380CC4-5D6E-409C-BE32-E72D297353CC}">
              <c16:uniqueId val="{00000002-F337-45BE-834B-F7930ECD51BC}"/>
            </c:ext>
          </c:extLst>
        </c:ser>
        <c:ser>
          <c:idx val="1"/>
          <c:order val="1"/>
          <c:tx>
            <c:strRef>
              <c:f>Endeavour!$F$34</c:f>
              <c:strCache>
                <c:ptCount val="1"/>
                <c:pt idx="0">
                  <c:v>Wholesale cost</c:v>
                </c:pt>
              </c:strCache>
            </c:strRef>
          </c:tx>
          <c:spPr>
            <a:solidFill>
              <a:srgbClr val="E06026"/>
            </a:solidFill>
            <a:ln>
              <a:noFill/>
            </a:ln>
            <a:effectLst/>
          </c:spPr>
          <c:invertIfNegative val="0"/>
          <c:dLbls>
            <c:dLbl>
              <c:idx val="0"/>
              <c:tx>
                <c:strRef>
                  <c:f>Endeavour!$J$34</c:f>
                  <c:strCache>
                    <c:ptCount val="1"/>
                    <c:pt idx="0">
                      <c:v>42.7%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{439F0EC5-98C6-4299-8849-DEE6491FDF97}</c15:txfldGUID>
                      <c15:f>Endeavour!$J$34</c15:f>
                      <c15:dlblFieldTableCache>
                        <c:ptCount val="1"/>
                        <c:pt idx="0">
                          <c:v>42.7%</c:v>
                        </c:pt>
                      </c15:dlblFieldTableCache>
                    </c15:dlblFTEntry>
                  </c15:dlblFieldTable>
                  <c15:showDataLabelsRange val="0"/>
                </c:ext>
                <c:ext xmlns:c16="http://schemas.microsoft.com/office/drawing/2014/chart" uri="{C3380CC4-5D6E-409C-BE32-E72D297353CC}">
                  <c16:uniqueId val="{00000003-F337-45BE-834B-F7930ECD51BC}"/>
                </c:ext>
              </c:extLst>
            </c:dLbl>
            <c:dLbl>
              <c:idx val="1"/>
              <c:tx>
                <c:strRef>
                  <c:f>Endeavour!$O$34</c:f>
                  <c:strCache>
                    <c:ptCount val="1"/>
                    <c:pt idx="0">
                      <c:v>41.4%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{306C293E-2CF1-43D7-86A4-91EB3A689381}</c15:txfldGUID>
                      <c15:f>Endeavour!$O$34</c15:f>
                      <c15:dlblFieldTableCache>
                        <c:ptCount val="1"/>
                        <c:pt idx="0">
                          <c:v>41.4%</c:v>
                        </c:pt>
                      </c15:dlblFieldTableCache>
                    </c15:dlblFTEntry>
                  </c15:dlblFieldTable>
                  <c15:showDataLabelsRange val="0"/>
                </c:ext>
                <c:ext xmlns:c16="http://schemas.microsoft.com/office/drawing/2014/chart" uri="{C3380CC4-5D6E-409C-BE32-E72D297353CC}">
                  <c16:uniqueId val="{00000004-F337-45BE-834B-F7930ECD51BC}"/>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2024-25</c:v>
                </c:pt>
                <c:pt idx="1">
                  <c:v>2025-26</c:v>
                </c:pt>
              </c:strCache>
            </c:strRef>
          </c:cat>
          <c:val>
            <c:numRef>
              <c:f>(Endeavour!$I$34,Endeavour!$N$34)</c:f>
              <c:numCache>
                <c:formatCode>#,##0.00</c:formatCode>
                <c:ptCount val="2"/>
                <c:pt idx="0">
                  <c:v>949.36140152857149</c:v>
                </c:pt>
                <c:pt idx="1">
                  <c:v>998.46091350140671</c:v>
                </c:pt>
              </c:numCache>
            </c:numRef>
          </c:val>
          <c:extLst>
            <c:ext xmlns:c16="http://schemas.microsoft.com/office/drawing/2014/chart" uri="{C3380CC4-5D6E-409C-BE32-E72D297353CC}">
              <c16:uniqueId val="{00000005-F337-45BE-834B-F7930ECD51BC}"/>
            </c:ext>
          </c:extLst>
        </c:ser>
        <c:ser>
          <c:idx val="2"/>
          <c:order val="2"/>
          <c:tx>
            <c:strRef>
              <c:f>Endeavour!$F$35</c:f>
              <c:strCache>
                <c:ptCount val="1"/>
                <c:pt idx="0">
                  <c:v>Environmental cost</c:v>
                </c:pt>
              </c:strCache>
            </c:strRef>
          </c:tx>
          <c:spPr>
            <a:solidFill>
              <a:srgbClr val="5F9E88"/>
            </a:solidFill>
            <a:ln>
              <a:noFill/>
            </a:ln>
            <a:effectLst/>
          </c:spPr>
          <c:invertIfNegative val="0"/>
          <c:dLbls>
            <c:dLbl>
              <c:idx val="0"/>
              <c:tx>
                <c:strRef>
                  <c:f>Endeavour!$J$35</c:f>
                  <c:strCache>
                    <c:ptCount val="1"/>
                    <c:pt idx="0">
                      <c:v>4.8%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{ADFB9659-E80B-4FD8-9F28-220DE7FFEE67}</c15:txfldGUID>
                      <c15:f>Endeavour!$J$35</c15:f>
                      <c15:dlblFieldTableCache>
                        <c:ptCount val="1"/>
                        <c:pt idx="0">
                          <c:v>4.8%</c:v>
                        </c:pt>
                      </c15:dlblFieldTableCache>
                    </c15:dlblFTEntry>
                  </c15:dlblFieldTable>
                  <c15:showDataLabelsRange val="0"/>
                </c:ext>
                <c:ext xmlns:c16="http://schemas.microsoft.com/office/drawing/2014/chart" uri="{C3380CC4-5D6E-409C-BE32-E72D297353CC}">
                  <c16:uniqueId val="{00000006-F337-45BE-834B-F7930ECD51BC}"/>
                </c:ext>
              </c:extLst>
            </c:dLbl>
            <c:dLbl>
              <c:idx val="1"/>
              <c:tx>
                <c:strRef>
                  <c:f>Endeavour!$O$35</c:f>
                  <c:strCache>
                    <c:ptCount val="1"/>
                    <c:pt idx="0">
                      <c:v>3.6%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{9B39B8C5-9E6B-48C0-B917-BFCC62441BE9}</c15:txfldGUID>
                      <c15:f>Endeavour!$O$35</c15:f>
                      <c15:dlblFieldTableCache>
                        <c:ptCount val="1"/>
                        <c:pt idx="0">
                          <c:v>3.6%</c:v>
                        </c:pt>
                      </c15:dlblFieldTableCache>
                    </c15:dlblFTEntry>
                  </c15:dlblFieldTable>
                  <c15:showDataLabelsRange val="0"/>
                </c:ext>
                <c:ext xmlns:c16="http://schemas.microsoft.com/office/drawing/2014/chart" uri="{C3380CC4-5D6E-409C-BE32-E72D297353CC}">
                  <c16:uniqueId val="{00000007-F337-45BE-834B-F7930ECD51B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2024-25</c:v>
                </c:pt>
                <c:pt idx="1">
                  <c:v>2025-26</c:v>
                </c:pt>
              </c:strCache>
            </c:strRef>
          </c:cat>
          <c:val>
            <c:numRef>
              <c:f>(Endeavour!$I$35,Endeavour!$N$35)</c:f>
              <c:numCache>
                <c:formatCode>#,##0.00</c:formatCode>
                <c:ptCount val="2"/>
                <c:pt idx="0">
                  <c:v>106.77590000000001</c:v>
                </c:pt>
                <c:pt idx="1">
                  <c:v>87.407325012464099</c:v>
                </c:pt>
              </c:numCache>
            </c:numRef>
          </c:val>
          <c:extLst>
            <c:ext xmlns:c16="http://schemas.microsoft.com/office/drawing/2014/chart" uri="{C3380CC4-5D6E-409C-BE32-E72D297353CC}">
              <c16:uniqueId val="{00000008-F337-45BE-834B-F7930ECD51BC}"/>
            </c:ext>
          </c:extLst>
        </c:ser>
        <c:ser>
          <c:idx val="3"/>
          <c:order val="3"/>
          <c:tx>
            <c:strRef>
              <c:f>Endeavour!$F$36</c:f>
              <c:strCache>
                <c:ptCount val="1"/>
                <c:pt idx="0">
                  <c:v>Retail cost</c:v>
                </c:pt>
              </c:strCache>
            </c:strRef>
          </c:tx>
          <c:spPr>
            <a:solidFill>
              <a:srgbClr val="F0B9B3"/>
            </a:solidFill>
            <a:ln>
              <a:noFill/>
            </a:ln>
            <a:effectLst/>
          </c:spPr>
          <c:invertIfNegative val="0"/>
          <c:dLbls>
            <c:dLbl>
              <c:idx val="0"/>
              <c:tx>
                <c:rich>
                  <a:bodyPr/>
                  <a:lstStyle/>
                  <a:p>
                    <a:fld id="{CB04D797-D8AD-4CE5-950C-7CA9C44DD4DD}"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337-45BE-834B-F7930ECD51BC}"/>
                </c:ext>
              </c:extLst>
            </c:dLbl>
            <c:dLbl>
              <c:idx val="1"/>
              <c:tx>
                <c:rich>
                  <a:bodyPr/>
                  <a:lstStyle/>
                  <a:p>
                    <a:fld id="{516465D0-1D52-4863-9712-B4A501D3BE7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337-45BE-834B-F7930ECD51B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2024-25</c:v>
                </c:pt>
                <c:pt idx="1">
                  <c:v>2025-26</c:v>
                </c:pt>
              </c:strCache>
            </c:strRef>
          </c:cat>
          <c:val>
            <c:numRef>
              <c:f>(Endeavour!$I$36,Endeavour!$N$36)</c:f>
              <c:numCache>
                <c:formatCode>#,##0.00</c:formatCode>
                <c:ptCount val="2"/>
                <c:pt idx="0">
                  <c:v>268.94377382400006</c:v>
                </c:pt>
                <c:pt idx="1">
                  <c:v>344.30566121810301</c:v>
                </c:pt>
              </c:numCache>
            </c:numRef>
          </c:val>
          <c:extLst>
            <c:ext xmlns:c15="http://schemas.microsoft.com/office/drawing/2012/chart" uri="{02D57815-91ED-43cb-92C2-25804820EDAC}">
              <c15:datalabelsRange>
                <c15:f>(Endeavour!$J$36,Endeavour!$O$36)</c15:f>
                <c15:dlblRangeCache>
                  <c:ptCount val="2"/>
                  <c:pt idx="0">
                    <c:v>12.1%</c:v>
                  </c:pt>
                  <c:pt idx="1">
                    <c:v>14.3%</c:v>
                  </c:pt>
                </c15:dlblRangeCache>
              </c15:datalabelsRange>
            </c:ext>
            <c:ext xmlns:c16="http://schemas.microsoft.com/office/drawing/2014/chart" uri="{C3380CC4-5D6E-409C-BE32-E72D297353CC}">
              <c16:uniqueId val="{0000000B-F337-45BE-834B-F7930ECD51BC}"/>
            </c:ext>
          </c:extLst>
        </c:ser>
        <c:ser>
          <c:idx val="5"/>
          <c:order val="4"/>
          <c:tx>
            <c:strRef>
              <c:f>Endeavour!$F$37</c:f>
              <c:strCache>
                <c:ptCount val="1"/>
                <c:pt idx="0">
                  <c:v>Retail margin</c:v>
                </c:pt>
              </c:strCache>
            </c:strRef>
          </c:tx>
          <c:spPr>
            <a:solidFill>
              <a:srgbClr val="303F51"/>
            </a:solidFill>
            <a:ln>
              <a:noFill/>
            </a:ln>
            <a:effectLst/>
          </c:spPr>
          <c:invertIfNegative val="0"/>
          <c:dLbls>
            <c:dLbl>
              <c:idx val="0"/>
              <c:tx>
                <c:rich>
                  <a:bodyPr/>
                  <a:lstStyle/>
                  <a:p>
                    <a:fld id="{41CB8FF2-DD92-407D-9863-C2C368A3715D}"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F337-45BE-834B-F7930ECD51BC}"/>
                </c:ext>
              </c:extLst>
            </c:dLbl>
            <c:dLbl>
              <c:idx val="1"/>
              <c:tx>
                <c:rich>
                  <a:bodyPr/>
                  <a:lstStyle/>
                  <a:p>
                    <a:fld id="{169C32DA-8E2D-4FB6-8B7F-354325CBEFA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337-45BE-834B-F7930ECD51BC}"/>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(Endeavour!$I$37,Endeavour!$N$37)</c:f>
              <c:numCache>
                <c:formatCode>#,##0.00</c:formatCode>
                <c:ptCount val="2"/>
                <c:pt idx="0">
                  <c:v>133.39757734165369</c:v>
                </c:pt>
                <c:pt idx="1">
                  <c:v>144.68178349353047</c:v>
                </c:pt>
              </c:numCache>
            </c:numRef>
          </c:val>
          <c:extLst>
            <c:ext xmlns:c15="http://schemas.microsoft.com/office/drawing/2012/chart" uri="{02D57815-91ED-43cb-92C2-25804820EDAC}">
              <c15:datalabelsRange>
                <c15:f>(Endeavour!$J$37,Endeavour!$O$37)</c15:f>
                <c15:dlblRangeCache>
                  <c:ptCount val="2"/>
                  <c:pt idx="0">
                    <c:v>6.0%</c:v>
                  </c:pt>
                  <c:pt idx="1">
                    <c:v>6.0%</c:v>
                  </c:pt>
                </c15:dlblRangeCache>
              </c15:datalabelsRange>
            </c:ext>
            <c:ext xmlns:c16="http://schemas.microsoft.com/office/drawing/2014/chart" uri="{C3380CC4-5D6E-409C-BE32-E72D297353CC}">
              <c16:uniqueId val="{0000000E-F337-45BE-834B-F7930ECD51BC}"/>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2024-25</c:v>
                </c:pt>
                <c:pt idx="1">
                  <c:v>2025-26</c:v>
                </c:pt>
              </c:strCache>
            </c:strRef>
          </c:cat>
          <c:val>
            <c:numRef>
              <c:f>(Endeavour!$H$32,Endeavour!$H$38)</c:f>
              <c:numCache>
                <c:formatCode>#,##0.00</c:formatCode>
                <c:ptCount val="2"/>
                <c:pt idx="0">
                  <c:v>2223</c:v>
                </c:pt>
                <c:pt idx="1">
                  <c:v>2411</c:v>
                </c:pt>
              </c:numCache>
            </c:numRef>
          </c:val>
          <c:extLst>
            <c:ext xmlns:c16="http://schemas.microsoft.com/office/drawing/2014/chart" uri="{C3380CC4-5D6E-409C-BE32-E72D297353CC}">
              <c16:uniqueId val="{0000000F-F337-45BE-834B-F7930ECD51BC}"/>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256"/>
        <c:crosses val="autoZero"/>
        <c:auto val="1"/>
        <c:lblAlgn val="ctr"/>
        <c:lblOffset val="100"/>
        <c:noMultiLvlLbl val="0"/>
      </c:catAx>
      <c:valAx>
        <c:axId val="228354256"/>
        <c:scaling>
          <c:orientation val="minMax"/>
          <c:max val="27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912"/>
        <c:crosses val="autoZero"/>
        <c:crossBetween val="between"/>
      </c:valAx>
      <c:spPr>
        <a:solidFill>
          <a:srgbClr val="F2F2F2"/>
        </a:solid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Endeavour!$E$3</c:f>
          <c:strCache>
            <c:ptCount val="1"/>
            <c:pt idx="0">
              <c:v>Endeavour Small Business without CL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Endeavour!$F$33</c:f>
              <c:strCache>
                <c:ptCount val="1"/>
                <c:pt idx="0">
                  <c:v>Network cost</c:v>
                </c:pt>
              </c:strCache>
            </c:strRef>
          </c:tx>
          <c:spPr>
            <a:solidFill>
              <a:srgbClr val="89B3CE"/>
            </a:solidFill>
            <a:ln>
              <a:noFill/>
            </a:ln>
            <a:effectLst/>
          </c:spPr>
          <c:invertIfNegative val="0"/>
          <c:dLbls>
            <c:dLbl>
              <c:idx val="0"/>
              <c:tx>
                <c:strRef>
                  <c:f>Endeavour!$AB$33</c:f>
                  <c:strCache>
                    <c:ptCount val="1"/>
                    <c:pt idx="0">
                      <c:v>32.9%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{BED5FB38-9211-421A-9F7C-980E6736D0D6}</c15:txfldGUID>
                      <c15:f>Endeavour!$AB$33</c15:f>
                      <c15:dlblFieldTableCache>
                        <c:ptCount val="1"/>
                        <c:pt idx="0">
                          <c:v>32.9%</c:v>
                        </c:pt>
                      </c15:dlblFieldTableCache>
                    </c15:dlblFTEntry>
                  </c15:dlblFieldTable>
                  <c15:showDataLabelsRange val="0"/>
                </c:ext>
                <c:ext xmlns:c16="http://schemas.microsoft.com/office/drawing/2014/chart" uri="{C3380CC4-5D6E-409C-BE32-E72D297353CC}">
                  <c16:uniqueId val="{00000000-EAC3-4CBC-B0D1-2CBBD24F975C}"/>
                </c:ext>
              </c:extLst>
            </c:dLbl>
            <c:dLbl>
              <c:idx val="1"/>
              <c:tx>
                <c:strRef>
                  <c:f>Endeavour!$AG$33</c:f>
                  <c:strCache>
                    <c:ptCount val="1"/>
                    <c:pt idx="0">
                      <c:v>33.5%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{17376F57-5BF3-40BD-B161-7668C9129747}</c15:txfldGUID>
                      <c15:f>Endeavour!$AG$33</c15:f>
                      <c15:dlblFieldTableCache>
                        <c:ptCount val="1"/>
                        <c:pt idx="0">
                          <c:v>33.5%</c:v>
                        </c:pt>
                      </c15:dlblFieldTableCache>
                    </c15:dlblFTEntry>
                  </c15:dlblFieldTable>
                  <c15:showDataLabelsRange val="0"/>
                </c:ext>
                <c:ext xmlns:c16="http://schemas.microsoft.com/office/drawing/2014/chart" uri="{C3380CC4-5D6E-409C-BE32-E72D297353CC}">
                  <c16:uniqueId val="{00000001-EAC3-4CBC-B0D1-2CBBD24F975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(Endeavour!$AA$29,Endeavour!$AD$29)</c:f>
              <c:strCache>
                <c:ptCount val="2"/>
                <c:pt idx="0">
                  <c:v>2024-25</c:v>
                </c:pt>
                <c:pt idx="1">
                  <c:v>2025-26</c:v>
                </c:pt>
              </c:strCache>
            </c:strRef>
          </c:cat>
          <c:val>
            <c:numRef>
              <c:f>(Endeavour!$AA$33,Endeavour!$AF$33)</c:f>
              <c:numCache>
                <c:formatCode>#,##0.00</c:formatCode>
                <c:ptCount val="2"/>
                <c:pt idx="0">
                  <c:v>1453.9531930000001</c:v>
                </c:pt>
                <c:pt idx="1">
                  <c:v>1597.5537049999998</c:v>
                </c:pt>
              </c:numCache>
            </c:numRef>
          </c:val>
          <c:extLst>
            <c:ext xmlns:c16="http://schemas.microsoft.com/office/drawing/2014/chart" uri="{C3380CC4-5D6E-409C-BE32-E72D297353CC}">
              <c16:uniqueId val="{00000002-EAC3-4CBC-B0D1-2CBBD24F975C}"/>
            </c:ext>
          </c:extLst>
        </c:ser>
        <c:ser>
          <c:idx val="1"/>
          <c:order val="1"/>
          <c:tx>
            <c:strRef>
              <c:f>Endeavour!$F$34</c:f>
              <c:strCache>
                <c:ptCount val="1"/>
                <c:pt idx="0">
                  <c:v>Wholesale cost</c:v>
                </c:pt>
              </c:strCache>
            </c:strRef>
          </c:tx>
          <c:spPr>
            <a:solidFill>
              <a:srgbClr val="E06026"/>
            </a:solidFill>
            <a:ln>
              <a:noFill/>
            </a:ln>
            <a:effectLst/>
          </c:spPr>
          <c:invertIfNegative val="0"/>
          <c:dLbls>
            <c:dLbl>
              <c:idx val="0"/>
              <c:tx>
                <c:strRef>
                  <c:f>Endeavour!$AB$34</c:f>
                  <c:strCache>
                    <c:ptCount val="1"/>
                    <c:pt idx="0">
                      <c:v>43.5%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{5EEC44B2-4B0B-4D84-ADC8-369AA52A6A51}</c15:txfldGUID>
                      <c15:f>Endeavour!$AB$34</c15:f>
                      <c15:dlblFieldTableCache>
                        <c:ptCount val="1"/>
                        <c:pt idx="0">
                          <c:v>43.5%</c:v>
                        </c:pt>
                      </c15:dlblFieldTableCache>
                    </c15:dlblFTEntry>
                  </c15:dlblFieldTable>
                  <c15:showDataLabelsRange val="0"/>
                </c:ext>
                <c:ext xmlns:c16="http://schemas.microsoft.com/office/drawing/2014/chart" uri="{C3380CC4-5D6E-409C-BE32-E72D297353CC}">
                  <c16:uniqueId val="{00000003-EAC3-4CBC-B0D1-2CBBD24F975C}"/>
                </c:ext>
              </c:extLst>
            </c:dLbl>
            <c:dLbl>
              <c:idx val="1"/>
              <c:tx>
                <c:strRef>
                  <c:f>Endeavour!$AG$34</c:f>
                  <c:strCache>
                    <c:ptCount val="1"/>
                    <c:pt idx="0">
                      <c:v>42.3%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{621481C5-D036-471A-95BD-A3B42E628F9C}</c15:txfldGUID>
                      <c15:f>Endeavour!$AG$34</c15:f>
                      <c15:dlblFieldTableCache>
                        <c:ptCount val="1"/>
                        <c:pt idx="0">
                          <c:v>42.3%</c:v>
                        </c:pt>
                      </c15:dlblFieldTableCache>
                    </c15:dlblFTEntry>
                  </c15:dlblFieldTable>
                  <c15:showDataLabelsRange val="0"/>
                </c:ext>
                <c:ext xmlns:c16="http://schemas.microsoft.com/office/drawing/2014/chart" uri="{C3380CC4-5D6E-409C-BE32-E72D297353CC}">
                  <c16:uniqueId val="{00000004-EAC3-4CBC-B0D1-2CBBD24F975C}"/>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(Endeavour!$AA$29,Endeavour!$AD$29)</c:f>
              <c:strCache>
                <c:ptCount val="2"/>
                <c:pt idx="0">
                  <c:v>2024-25</c:v>
                </c:pt>
                <c:pt idx="1">
                  <c:v>2025-26</c:v>
                </c:pt>
              </c:strCache>
            </c:strRef>
          </c:cat>
          <c:val>
            <c:numRef>
              <c:f>(Endeavour!$AA$34,Endeavour!$AF$34)</c:f>
              <c:numCache>
                <c:formatCode>#,##0.00</c:formatCode>
                <c:ptCount val="2"/>
                <c:pt idx="0">
                  <c:v>1923.8413464285716</c:v>
                </c:pt>
                <c:pt idx="1">
                  <c:v>2021.8353909019459</c:v>
                </c:pt>
              </c:numCache>
            </c:numRef>
          </c:val>
          <c:extLst>
            <c:ext xmlns:c16="http://schemas.microsoft.com/office/drawing/2014/chart" uri="{C3380CC4-5D6E-409C-BE32-E72D297353CC}">
              <c16:uniqueId val="{00000005-EAC3-4CBC-B0D1-2CBBD24F975C}"/>
            </c:ext>
          </c:extLst>
        </c:ser>
        <c:ser>
          <c:idx val="2"/>
          <c:order val="2"/>
          <c:tx>
            <c:strRef>
              <c:f>Endeavour!$F$35</c:f>
              <c:strCache>
                <c:ptCount val="1"/>
                <c:pt idx="0">
                  <c:v>Environmental cost</c:v>
                </c:pt>
              </c:strCache>
            </c:strRef>
          </c:tx>
          <c:spPr>
            <a:solidFill>
              <a:srgbClr val="5F9E88"/>
            </a:solidFill>
            <a:ln>
              <a:noFill/>
            </a:ln>
            <a:effectLst/>
          </c:spPr>
          <c:invertIfNegative val="0"/>
          <c:dLbls>
            <c:dLbl>
              <c:idx val="0"/>
              <c:tx>
                <c:strRef>
                  <c:f>Endeavour!$AB$35</c:f>
                  <c:strCache>
                    <c:ptCount val="1"/>
                    <c:pt idx="0">
                      <c:v>4.9%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{B13675E6-6CF1-45B8-B2F0-93E0965BEC39}</c15:txfldGUID>
                      <c15:f>Endeavour!$AB$35</c15:f>
                      <c15:dlblFieldTableCache>
                        <c:ptCount val="1"/>
                        <c:pt idx="0">
                          <c:v>4.9%</c:v>
                        </c:pt>
                      </c15:dlblFieldTableCache>
                    </c15:dlblFTEntry>
                  </c15:dlblFieldTable>
                  <c15:showDataLabelsRange val="0"/>
                </c:ext>
                <c:ext xmlns:c16="http://schemas.microsoft.com/office/drawing/2014/chart" uri="{C3380CC4-5D6E-409C-BE32-E72D297353CC}">
                  <c16:uniqueId val="{00000006-EAC3-4CBC-B0D1-2CBBD24F975C}"/>
                </c:ext>
              </c:extLst>
            </c:dLbl>
            <c:dLbl>
              <c:idx val="1"/>
              <c:tx>
                <c:strRef>
                  <c:f>Endeavour!$AG$35</c:f>
                  <c:strCache>
                    <c:ptCount val="1"/>
                    <c:pt idx="0">
                      <c:v>3.7%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{79451BA5-8582-45DF-9699-F42AC5C9E04E}</c15:txfldGUID>
                      <c15:f>Endeavour!$AG$35</c15:f>
                      <c15:dlblFieldTableCache>
                        <c:ptCount val="1"/>
                        <c:pt idx="0">
                          <c:v>3.7%</c:v>
                        </c:pt>
                      </c15:dlblFieldTableCache>
                    </c15:dlblFTEntry>
                  </c15:dlblFieldTable>
                  <c15:showDataLabelsRange val="0"/>
                </c:ext>
                <c:ext xmlns:c16="http://schemas.microsoft.com/office/drawing/2014/chart" uri="{C3380CC4-5D6E-409C-BE32-E72D297353CC}">
                  <c16:uniqueId val="{00000007-EAC3-4CBC-B0D1-2CBBD24F975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(Endeavour!$AA$29,Endeavour!$AD$29)</c:f>
              <c:strCache>
                <c:ptCount val="2"/>
                <c:pt idx="0">
                  <c:v>2024-25</c:v>
                </c:pt>
                <c:pt idx="1">
                  <c:v>2025-26</c:v>
                </c:pt>
              </c:strCache>
            </c:strRef>
          </c:cat>
          <c:val>
            <c:numRef>
              <c:f>(Endeavour!$AA$35,Endeavour!$AF$35)</c:f>
              <c:numCache>
                <c:formatCode>#,##0.00</c:formatCode>
                <c:ptCount val="2"/>
                <c:pt idx="0">
                  <c:v>217.91</c:v>
                </c:pt>
                <c:pt idx="1">
                  <c:v>178.38229594380428</c:v>
                </c:pt>
              </c:numCache>
            </c:numRef>
          </c:val>
          <c:extLst>
            <c:ext xmlns:c16="http://schemas.microsoft.com/office/drawing/2014/chart" uri="{C3380CC4-5D6E-409C-BE32-E72D297353CC}">
              <c16:uniqueId val="{00000008-EAC3-4CBC-B0D1-2CBBD24F975C}"/>
            </c:ext>
          </c:extLst>
        </c:ser>
        <c:ser>
          <c:idx val="3"/>
          <c:order val="3"/>
          <c:tx>
            <c:strRef>
              <c:f>Endeavour!$F$36</c:f>
              <c:strCache>
                <c:ptCount val="1"/>
                <c:pt idx="0">
                  <c:v>Retail cost</c:v>
                </c:pt>
              </c:strCache>
            </c:strRef>
          </c:tx>
          <c:spPr>
            <a:solidFill>
              <a:srgbClr val="F0B9B3"/>
            </a:solidFill>
            <a:ln>
              <a:noFill/>
            </a:ln>
            <a:effectLst/>
          </c:spPr>
          <c:invertIfNegative val="0"/>
          <c:dLbls>
            <c:dLbl>
              <c:idx val="0"/>
              <c:tx>
                <c:rich>
                  <a:bodyPr/>
                  <a:lstStyle/>
                  <a:p>
                    <a:fld id="{7C8EFDBB-9069-4408-ABA7-7491A1962D05}"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AC3-4CBC-B0D1-2CBBD24F975C}"/>
                </c:ext>
              </c:extLst>
            </c:dLbl>
            <c:dLbl>
              <c:idx val="1"/>
              <c:tx>
                <c:rich>
                  <a:bodyPr/>
                  <a:lstStyle/>
                  <a:p>
                    <a:fld id="{A02BDB07-E790-47A2-823B-2AFD0773F91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AC3-4CBC-B0D1-2CBBD24F975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(Endeavour!$AA$29,Endeavour!$AD$29)</c:f>
              <c:strCache>
                <c:ptCount val="2"/>
                <c:pt idx="0">
                  <c:v>2024-25</c:v>
                </c:pt>
                <c:pt idx="1">
                  <c:v>2025-26</c:v>
                </c:pt>
              </c:strCache>
            </c:strRef>
          </c:cat>
          <c:val>
            <c:numRef>
              <c:f>(Endeavour!$AA$36,Endeavour!$AF$36)</c:f>
              <c:numCache>
                <c:formatCode>#,##0.00</c:formatCode>
                <c:ptCount val="2"/>
                <c:pt idx="0">
                  <c:v>339.65581320000007</c:v>
                </c:pt>
                <c:pt idx="1">
                  <c:v>452.18958272305747</c:v>
                </c:pt>
              </c:numCache>
            </c:numRef>
          </c:val>
          <c:extLst>
            <c:ext xmlns:c15="http://schemas.microsoft.com/office/drawing/2012/chart" uri="{02D57815-91ED-43cb-92C2-25804820EDAC}">
              <c15:datalabelsRange>
                <c15:f>(Endeavour!$AB$36,Endeavour!$AG$36)</c15:f>
                <c15:dlblRangeCache>
                  <c:ptCount val="2"/>
                  <c:pt idx="0">
                    <c:v>7.7%</c:v>
                  </c:pt>
                  <c:pt idx="1">
                    <c:v>9.5%</c:v>
                  </c:pt>
                </c15:dlblRangeCache>
              </c15:datalabelsRange>
            </c:ext>
            <c:ext xmlns:c16="http://schemas.microsoft.com/office/drawing/2014/chart" uri="{C3380CC4-5D6E-409C-BE32-E72D297353CC}">
              <c16:uniqueId val="{0000000B-EAC3-4CBC-B0D1-2CBBD24F975C}"/>
            </c:ext>
          </c:extLst>
        </c:ser>
        <c:ser>
          <c:idx val="5"/>
          <c:order val="4"/>
          <c:tx>
            <c:strRef>
              <c:f>Endeavour!$F$37</c:f>
              <c:strCache>
                <c:ptCount val="1"/>
                <c:pt idx="0">
                  <c:v>Retail margin</c:v>
                </c:pt>
              </c:strCache>
            </c:strRef>
          </c:tx>
          <c:spPr>
            <a:solidFill>
              <a:srgbClr val="303F51"/>
            </a:solidFill>
            <a:ln>
              <a:noFill/>
            </a:ln>
            <a:effectLst/>
          </c:spPr>
          <c:invertIfNegative val="0"/>
          <c:dLbls>
            <c:dLbl>
              <c:idx val="0"/>
              <c:tx>
                <c:rich>
                  <a:bodyPr/>
                  <a:lstStyle/>
                  <a:p>
                    <a:fld id="{5DC93EA2-2F90-43F5-A1A4-926D59088449}"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AC3-4CBC-B0D1-2CBBD24F975C}"/>
                </c:ext>
              </c:extLst>
            </c:dLbl>
            <c:dLbl>
              <c:idx val="1"/>
              <c:tx>
                <c:rich>
                  <a:bodyPr/>
                  <a:lstStyle/>
                  <a:p>
                    <a:fld id="{2AD5ABFB-D347-4A8C-ADA2-8BF9998F2D8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AC3-4CBC-B0D1-2CBBD24F975C}"/>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(Endeavour!$AA$37,Endeavour!$AF$37)</c:f>
              <c:numCache>
                <c:formatCode>#,##0.00</c:formatCode>
                <c:ptCount val="2"/>
                <c:pt idx="0">
                  <c:v>486.3928525720703</c:v>
                </c:pt>
                <c:pt idx="1">
                  <c:v>525.27607550850462</c:v>
                </c:pt>
              </c:numCache>
            </c:numRef>
          </c:val>
          <c:extLst>
            <c:ext xmlns:c15="http://schemas.microsoft.com/office/drawing/2012/chart" uri="{02D57815-91ED-43cb-92C2-25804820EDAC}">
              <c15:datalabelsRange>
                <c15:f>(Endeavour!$AB$37,Endeavour!$AG$37)</c15:f>
                <c15:dlblRangeCache>
                  <c:ptCount val="2"/>
                  <c:pt idx="0">
                    <c:v>11.0%</c:v>
                  </c:pt>
                  <c:pt idx="1">
                    <c:v>11.0%</c:v>
                  </c:pt>
                </c15:dlblRangeCache>
              </c15:datalabelsRange>
            </c:ext>
            <c:ext xmlns:c16="http://schemas.microsoft.com/office/drawing/2014/chart" uri="{C3380CC4-5D6E-409C-BE32-E72D297353CC}">
              <c16:uniqueId val="{0000000E-EAC3-4CBC-B0D1-2CBBD24F975C}"/>
            </c:ext>
          </c:extLst>
        </c:ser>
        <c:ser>
          <c:idx val="4"/>
          <c:order val="5"/>
          <c:tx>
            <c:v>DMO</c:v>
          </c:tx>
          <c:spPr>
            <a:noFill/>
            <a:ln>
              <a:noFill/>
            </a:ln>
            <a:effectLst/>
          </c:spPr>
          <c:invertIfNegative val="0"/>
          <c:dLbls>
            <c:dLbl>
              <c:idx val="1"/>
              <c:layout>
                <c:manualLayout>
                  <c:x val="9.1596069816641862E-4"/>
                  <c:y val="0.13839827713843461"/>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19D-4F36-8498-6BD238E9B7DB}"/>
                </c:ext>
              </c:extLst>
            </c:dLbl>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(Endeavour!$AA$29,Endeavour!$AD$29)</c:f>
              <c:strCache>
                <c:ptCount val="2"/>
                <c:pt idx="0">
                  <c:v>2024-25</c:v>
                </c:pt>
                <c:pt idx="1">
                  <c:v>2025-26</c:v>
                </c:pt>
              </c:strCache>
            </c:strRef>
          </c:cat>
          <c:val>
            <c:numRef>
              <c:f>(Endeavour!$Z$32,Endeavour!$Z$38)</c:f>
              <c:numCache>
                <c:formatCode>#,##0.00</c:formatCode>
                <c:ptCount val="2"/>
                <c:pt idx="0">
                  <c:v>4422</c:v>
                </c:pt>
                <c:pt idx="1">
                  <c:v>4775</c:v>
                </c:pt>
              </c:numCache>
            </c:numRef>
          </c:val>
          <c:extLst>
            <c:ext xmlns:c16="http://schemas.microsoft.com/office/drawing/2014/chart" uri="{C3380CC4-5D6E-409C-BE32-E72D297353CC}">
              <c16:uniqueId val="{0000000F-EAC3-4CBC-B0D1-2CBBD24F975C}"/>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256"/>
        <c:crosses val="autoZero"/>
        <c:auto val="1"/>
        <c:lblAlgn val="ctr"/>
        <c:lblOffset val="100"/>
        <c:noMultiLvlLbl val="0"/>
      </c:catAx>
      <c:valAx>
        <c:axId val="228354256"/>
        <c:scaling>
          <c:orientation val="minMax"/>
          <c:max val="52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912"/>
        <c:crosses val="autoZero"/>
        <c:crossBetween val="between"/>
      </c:valAx>
      <c:spPr>
        <a:solidFill>
          <a:srgbClr val="F2F2F2"/>
        </a:solid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Essential!$D$3</c:f>
          <c:strCache>
            <c:ptCount val="1"/>
            <c:pt idx="0">
              <c:v>Essential Residential with CL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Essential!$F$33</c:f>
              <c:strCache>
                <c:ptCount val="1"/>
                <c:pt idx="0">
                  <c:v>Network cost</c:v>
                </c:pt>
              </c:strCache>
            </c:strRef>
          </c:tx>
          <c:spPr>
            <a:solidFill>
              <a:srgbClr val="89B3CE"/>
            </a:solidFill>
            <a:ln>
              <a:noFill/>
            </a:ln>
            <a:effectLst/>
          </c:spPr>
          <c:invertIfNegative val="0"/>
          <c:dLbls>
            <c:dLbl>
              <c:idx val="0"/>
              <c:tx>
                <c:strRef>
                  <c:f>Essential!$S$33</c:f>
                  <c:strCache>
                    <c:ptCount val="1"/>
                    <c:pt idx="0">
                      <c:v>43.5%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{738FF942-480C-4E19-8531-93AFCAF029E7}</c15:txfldGUID>
                      <c15:f>Essential!$S$33</c15:f>
                      <c15:dlblFieldTableCache>
                        <c:ptCount val="1"/>
                        <c:pt idx="0">
                          <c:v>43.5%</c:v>
                        </c:pt>
                      </c15:dlblFieldTableCache>
                    </c15:dlblFTEntry>
                  </c15:dlblFieldTable>
                  <c15:showDataLabelsRange val="0"/>
                </c:ext>
                <c:ext xmlns:c16="http://schemas.microsoft.com/office/drawing/2014/chart" uri="{C3380CC4-5D6E-409C-BE32-E72D297353CC}">
                  <c16:uniqueId val="{00000000-08FD-4F0C-8D80-51A31A2D35E7}"/>
                </c:ext>
              </c:extLst>
            </c:dLbl>
            <c:dLbl>
              <c:idx val="1"/>
              <c:tx>
                <c:strRef>
                  <c:f>Essential!$X$33</c:f>
                  <c:strCache>
                    <c:ptCount val="1"/>
                    <c:pt idx="0">
                      <c:v>43.1%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{FFC4FDA3-5E96-4258-9F62-94CC28EC032C}</c15:txfldGUID>
                      <c15:f>Essential!$X$33</c15:f>
                      <c15:dlblFieldTableCache>
                        <c:ptCount val="1"/>
                        <c:pt idx="0">
                          <c:v>43.1%</c:v>
                        </c:pt>
                      </c15:dlblFieldTableCache>
                    </c15:dlblFTEntry>
                  </c15:dlblFieldTable>
                  <c15:showDataLabelsRange val="0"/>
                </c:ext>
                <c:ext xmlns:c16="http://schemas.microsoft.com/office/drawing/2014/chart" uri="{C3380CC4-5D6E-409C-BE32-E72D297353CC}">
                  <c16:uniqueId val="{00000001-08FD-4F0C-8D80-51A31A2D35E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(Essential!$R$29,Essential!$U$29)</c:f>
              <c:strCache>
                <c:ptCount val="2"/>
                <c:pt idx="0">
                  <c:v>2024-25</c:v>
                </c:pt>
                <c:pt idx="1">
                  <c:v>2025-26</c:v>
                </c:pt>
              </c:strCache>
            </c:strRef>
          </c:cat>
          <c:val>
            <c:numRef>
              <c:f>(Essential!$R$33,Essential!$W$33)</c:f>
              <c:numCache>
                <c:formatCode>#,##0.00</c:formatCode>
                <c:ptCount val="2"/>
                <c:pt idx="0">
                  <c:v>1276.3711230908807</c:v>
                </c:pt>
                <c:pt idx="1">
                  <c:v>1383.2560911362978</c:v>
                </c:pt>
              </c:numCache>
            </c:numRef>
          </c:val>
          <c:extLst>
            <c:ext xmlns:c16="http://schemas.microsoft.com/office/drawing/2014/chart" uri="{C3380CC4-5D6E-409C-BE32-E72D297353CC}">
              <c16:uniqueId val="{00000002-08FD-4F0C-8D80-51A31A2D35E7}"/>
            </c:ext>
          </c:extLst>
        </c:ser>
        <c:ser>
          <c:idx val="1"/>
          <c:order val="1"/>
          <c:tx>
            <c:strRef>
              <c:f>Essential!$F$34</c:f>
              <c:strCache>
                <c:ptCount val="1"/>
                <c:pt idx="0">
                  <c:v>Wholesale cost</c:v>
                </c:pt>
              </c:strCache>
            </c:strRef>
          </c:tx>
          <c:spPr>
            <a:solidFill>
              <a:srgbClr val="E06026"/>
            </a:solidFill>
            <a:ln>
              <a:noFill/>
            </a:ln>
            <a:effectLst/>
          </c:spPr>
          <c:invertIfNegative val="0"/>
          <c:dLbls>
            <c:dLbl>
              <c:idx val="0"/>
              <c:tx>
                <c:strRef>
                  <c:f>Essential!$S$34</c:f>
                  <c:strCache>
                    <c:ptCount val="1"/>
                    <c:pt idx="0">
                      <c:v>36.5%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{87808E92-80D9-4C15-8640-179742283E02}</c15:txfldGUID>
                      <c15:f>Essential!$S$34</c15:f>
                      <c15:dlblFieldTableCache>
                        <c:ptCount val="1"/>
                        <c:pt idx="0">
                          <c:v>36.5%</c:v>
                        </c:pt>
                      </c15:dlblFieldTableCache>
                    </c15:dlblFTEntry>
                  </c15:dlblFieldTable>
                  <c15:showDataLabelsRange val="0"/>
                </c:ext>
                <c:ext xmlns:c16="http://schemas.microsoft.com/office/drawing/2014/chart" uri="{C3380CC4-5D6E-409C-BE32-E72D297353CC}">
                  <c16:uniqueId val="{00000003-08FD-4F0C-8D80-51A31A2D35E7}"/>
                </c:ext>
              </c:extLst>
            </c:dLbl>
            <c:dLbl>
              <c:idx val="1"/>
              <c:tx>
                <c:strRef>
                  <c:f>Essential!$X$34</c:f>
                  <c:strCache>
                    <c:ptCount val="1"/>
                    <c:pt idx="0">
                      <c:v>36.6%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{291F6356-1C9D-485D-854B-4997A45C9852}</c15:txfldGUID>
                      <c15:f>Essential!$X$34</c15:f>
                      <c15:dlblFieldTableCache>
                        <c:ptCount val="1"/>
                        <c:pt idx="0">
                          <c:v>36.6%</c:v>
                        </c:pt>
                      </c15:dlblFieldTableCache>
                    </c15:dlblFTEntry>
                  </c15:dlblFieldTable>
                  <c15:showDataLabelsRange val="0"/>
                </c:ext>
                <c:ext xmlns:c16="http://schemas.microsoft.com/office/drawing/2014/chart" uri="{C3380CC4-5D6E-409C-BE32-E72D297353CC}">
                  <c16:uniqueId val="{00000004-08FD-4F0C-8D80-51A31A2D35E7}"/>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(Essential!$R$29,Essential!$U$29)</c:f>
              <c:strCache>
                <c:ptCount val="2"/>
                <c:pt idx="0">
                  <c:v>2024-25</c:v>
                </c:pt>
                <c:pt idx="1">
                  <c:v>2025-26</c:v>
                </c:pt>
              </c:strCache>
            </c:strRef>
          </c:cat>
          <c:val>
            <c:numRef>
              <c:f>(Essential!$R$34,Essential!$W$34)</c:f>
              <c:numCache>
                <c:formatCode>#,##0.00</c:formatCode>
                <c:ptCount val="2"/>
                <c:pt idx="0">
                  <c:v>1068.7608498285715</c:v>
                </c:pt>
                <c:pt idx="1">
                  <c:v>1176.0102264212942</c:v>
                </c:pt>
              </c:numCache>
            </c:numRef>
          </c:val>
          <c:extLst>
            <c:ext xmlns:c16="http://schemas.microsoft.com/office/drawing/2014/chart" uri="{C3380CC4-5D6E-409C-BE32-E72D297353CC}">
              <c16:uniqueId val="{00000005-08FD-4F0C-8D80-51A31A2D35E7}"/>
            </c:ext>
          </c:extLst>
        </c:ser>
        <c:ser>
          <c:idx val="2"/>
          <c:order val="2"/>
          <c:tx>
            <c:strRef>
              <c:f>Essential!$F$35</c:f>
              <c:strCache>
                <c:ptCount val="1"/>
                <c:pt idx="0">
                  <c:v>Environmental cost</c:v>
                </c:pt>
              </c:strCache>
            </c:strRef>
          </c:tx>
          <c:spPr>
            <a:solidFill>
              <a:srgbClr val="5F9E88"/>
            </a:solidFill>
            <a:ln>
              <a:noFill/>
            </a:ln>
            <a:effectLst/>
          </c:spPr>
          <c:invertIfNegative val="0"/>
          <c:dLbls>
            <c:dLbl>
              <c:idx val="0"/>
              <c:tx>
                <c:strRef>
                  <c:f>Essential!$S$35</c:f>
                  <c:strCache>
                    <c:ptCount val="1"/>
                    <c:pt idx="0">
                      <c:v>4.8%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{53EDFFC6-A575-4544-A86E-EF4ECCC5A31B}</c15:txfldGUID>
                      <c15:f>Essential!$S$35</c15:f>
                      <c15:dlblFieldTableCache>
                        <c:ptCount val="1"/>
                        <c:pt idx="0">
                          <c:v>4.8%</c:v>
                        </c:pt>
                      </c15:dlblFieldTableCache>
                    </c15:dlblFTEntry>
                  </c15:dlblFieldTable>
                  <c15:showDataLabelsRange val="0"/>
                </c:ext>
                <c:ext xmlns:c16="http://schemas.microsoft.com/office/drawing/2014/chart" uri="{C3380CC4-5D6E-409C-BE32-E72D297353CC}">
                  <c16:uniqueId val="{00000006-08FD-4F0C-8D80-51A31A2D35E7}"/>
                </c:ext>
              </c:extLst>
            </c:dLbl>
            <c:dLbl>
              <c:idx val="1"/>
              <c:tx>
                <c:strRef>
                  <c:f>Essential!$X$35</c:f>
                  <c:strCache>
                    <c:ptCount val="1"/>
                    <c:pt idx="0">
                      <c:v>3.6%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{24E93A6B-5FFA-4A02-ABCA-7D51A708423A}</c15:txfldGUID>
                      <c15:f>Essential!$X$35</c15:f>
                      <c15:dlblFieldTableCache>
                        <c:ptCount val="1"/>
                        <c:pt idx="0">
                          <c:v>3.6%</c:v>
                        </c:pt>
                      </c15:dlblFieldTableCache>
                    </c15:dlblFTEntry>
                  </c15:dlblFieldTable>
                  <c15:showDataLabelsRange val="0"/>
                </c:ext>
                <c:ext xmlns:c16="http://schemas.microsoft.com/office/drawing/2014/chart" uri="{C3380CC4-5D6E-409C-BE32-E72D297353CC}">
                  <c16:uniqueId val="{00000007-08FD-4F0C-8D80-51A31A2D35E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(Essential!$R$29,Essential!$U$29)</c:f>
              <c:strCache>
                <c:ptCount val="2"/>
                <c:pt idx="0">
                  <c:v>2024-25</c:v>
                </c:pt>
                <c:pt idx="1">
                  <c:v>2025-26</c:v>
                </c:pt>
              </c:strCache>
            </c:strRef>
          </c:cat>
          <c:val>
            <c:numRef>
              <c:f>(Essential!$R$35,Essential!$W$35)</c:f>
              <c:numCache>
                <c:formatCode>#,##0.00</c:formatCode>
                <c:ptCount val="2"/>
                <c:pt idx="0">
                  <c:v>140.4084</c:v>
                </c:pt>
                <c:pt idx="1">
                  <c:v>115.02710507524283</c:v>
                </c:pt>
              </c:numCache>
            </c:numRef>
          </c:val>
          <c:extLst>
            <c:ext xmlns:c16="http://schemas.microsoft.com/office/drawing/2014/chart" uri="{C3380CC4-5D6E-409C-BE32-E72D297353CC}">
              <c16:uniqueId val="{00000008-08FD-4F0C-8D80-51A31A2D35E7}"/>
            </c:ext>
          </c:extLst>
        </c:ser>
        <c:ser>
          <c:idx val="3"/>
          <c:order val="3"/>
          <c:tx>
            <c:strRef>
              <c:f>Essential!$F$36</c:f>
              <c:strCache>
                <c:ptCount val="1"/>
                <c:pt idx="0">
                  <c:v>Retail cost</c:v>
                </c:pt>
              </c:strCache>
            </c:strRef>
          </c:tx>
          <c:spPr>
            <a:solidFill>
              <a:srgbClr val="F0B9B3"/>
            </a:solidFill>
            <a:ln>
              <a:noFill/>
            </a:ln>
            <a:effectLst/>
          </c:spPr>
          <c:invertIfNegative val="0"/>
          <c:dLbls>
            <c:dLbl>
              <c:idx val="0"/>
              <c:tx>
                <c:rich>
                  <a:bodyPr/>
                  <a:lstStyle/>
                  <a:p>
                    <a:fld id="{184833BD-36C5-482F-85A5-1C144DD5D656}"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8FD-4F0C-8D80-51A31A2D35E7}"/>
                </c:ext>
              </c:extLst>
            </c:dLbl>
            <c:dLbl>
              <c:idx val="1"/>
              <c:tx>
                <c:rich>
                  <a:bodyPr/>
                  <a:lstStyle/>
                  <a:p>
                    <a:fld id="{9998BE47-7FF0-47F1-9A8B-1FD88773779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8FD-4F0C-8D80-51A31A2D35E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(Essential!$R$29,Essential!$U$29)</c:f>
              <c:strCache>
                <c:ptCount val="2"/>
                <c:pt idx="0">
                  <c:v>2024-25</c:v>
                </c:pt>
                <c:pt idx="1">
                  <c:v>2025-26</c:v>
                </c:pt>
              </c:strCache>
            </c:strRef>
          </c:cat>
          <c:val>
            <c:numRef>
              <c:f>(Essential!$R$36,Essential!$W$36)</c:f>
              <c:numCache>
                <c:formatCode>#,##0.00</c:formatCode>
                <c:ptCount val="2"/>
                <c:pt idx="0">
                  <c:v>270.02784441600005</c:v>
                </c:pt>
                <c:pt idx="1">
                  <c:v>343.7615024031029</c:v>
                </c:pt>
              </c:numCache>
            </c:numRef>
          </c:val>
          <c:extLst>
            <c:ext xmlns:c15="http://schemas.microsoft.com/office/drawing/2012/chart" uri="{02D57815-91ED-43cb-92C2-25804820EDAC}">
              <c15:datalabelsRange>
                <c15:f>(Essential!$S$36,Essential!$X$36)</c15:f>
                <c15:dlblRangeCache>
                  <c:ptCount val="2"/>
                  <c:pt idx="0">
                    <c:v>9.2%</c:v>
                  </c:pt>
                  <c:pt idx="1">
                    <c:v>10.7%</c:v>
                  </c:pt>
                </c15:dlblRangeCache>
              </c15:datalabelsRange>
            </c:ext>
            <c:ext xmlns:c16="http://schemas.microsoft.com/office/drawing/2014/chart" uri="{C3380CC4-5D6E-409C-BE32-E72D297353CC}">
              <c16:uniqueId val="{0000000B-08FD-4F0C-8D80-51A31A2D35E7}"/>
            </c:ext>
          </c:extLst>
        </c:ser>
        <c:ser>
          <c:idx val="5"/>
          <c:order val="4"/>
          <c:tx>
            <c:strRef>
              <c:f>Essential!$F$37</c:f>
              <c:strCache>
                <c:ptCount val="1"/>
                <c:pt idx="0">
                  <c:v>Retail margin</c:v>
                </c:pt>
              </c:strCache>
            </c:strRef>
          </c:tx>
          <c:spPr>
            <a:solidFill>
              <a:srgbClr val="303F51"/>
            </a:solidFill>
            <a:ln>
              <a:noFill/>
            </a:ln>
            <a:effectLst/>
          </c:spPr>
          <c:invertIfNegative val="0"/>
          <c:dLbls>
            <c:dLbl>
              <c:idx val="0"/>
              <c:tx>
                <c:rich>
                  <a:bodyPr/>
                  <a:lstStyle/>
                  <a:p>
                    <a:fld id="{C0C0A094-E3F2-4B5D-AADB-3429551B89D5}"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8FD-4F0C-8D80-51A31A2D35E7}"/>
                </c:ext>
              </c:extLst>
            </c:dLbl>
            <c:dLbl>
              <c:idx val="1"/>
              <c:tx>
                <c:rich>
                  <a:bodyPr/>
                  <a:lstStyle/>
                  <a:p>
                    <a:fld id="{6F22CA81-24E7-41E5-A9F5-5D41E09817F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8FD-4F0C-8D80-51A31A2D35E7}"/>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(Essential!$R$37,Essential!$W$37)</c:f>
              <c:numCache>
                <c:formatCode>#,##0.00</c:formatCode>
                <c:ptCount val="2"/>
                <c:pt idx="0">
                  <c:v>175.88733302141191</c:v>
                </c:pt>
                <c:pt idx="1">
                  <c:v>192.64180372569808</c:v>
                </c:pt>
              </c:numCache>
            </c:numRef>
          </c:val>
          <c:extLst>
            <c:ext xmlns:c15="http://schemas.microsoft.com/office/drawing/2012/chart" uri="{02D57815-91ED-43cb-92C2-25804820EDAC}">
              <c15:datalabelsRange>
                <c15:f>(Essential!$S$37,Essential!$X$37)</c15:f>
                <c15:dlblRangeCache>
                  <c:ptCount val="2"/>
                  <c:pt idx="0">
                    <c:v>6.0%</c:v>
                  </c:pt>
                  <c:pt idx="1">
                    <c:v>6.0%</c:v>
                  </c:pt>
                </c15:dlblRangeCache>
              </c15:datalabelsRange>
            </c:ext>
            <c:ext xmlns:c16="http://schemas.microsoft.com/office/drawing/2014/chart" uri="{C3380CC4-5D6E-409C-BE32-E72D297353CC}">
              <c16:uniqueId val="{0000000E-08FD-4F0C-8D80-51A31A2D35E7}"/>
            </c:ext>
          </c:extLst>
        </c:ser>
        <c:ser>
          <c:idx val="4"/>
          <c:order val="5"/>
          <c:tx>
            <c:v>DMO</c:v>
          </c:tx>
          <c:spPr>
            <a:noFill/>
            <a:ln>
              <a:noFill/>
            </a:ln>
            <a:effectLst/>
          </c:spPr>
          <c:invertIfNegative val="0"/>
          <c:dLbls>
            <c:dLbl>
              <c:idx val="1"/>
              <c:layout>
                <c:manualLayout>
                  <c:x val="8.8986978112021652E-4"/>
                  <c:y val="0.13350739952294235"/>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EFB-45B2-BE3D-A12B721BC9DE}"/>
                </c:ext>
              </c:extLst>
            </c:dLbl>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(Essential!$R$29,Essential!$U$29)</c:f>
              <c:strCache>
                <c:ptCount val="2"/>
                <c:pt idx="0">
                  <c:v>2024-25</c:v>
                </c:pt>
                <c:pt idx="1">
                  <c:v>2025-26</c:v>
                </c:pt>
              </c:strCache>
            </c:strRef>
          </c:cat>
          <c:val>
            <c:numRef>
              <c:f>(Essential!$Q$32,Essential!$Q$38)</c:f>
              <c:numCache>
                <c:formatCode>#,##0.00</c:formatCode>
                <c:ptCount val="2"/>
                <c:pt idx="0">
                  <c:v>2931</c:v>
                </c:pt>
                <c:pt idx="1">
                  <c:v>3211</c:v>
                </c:pt>
              </c:numCache>
            </c:numRef>
          </c:val>
          <c:extLst>
            <c:ext xmlns:c16="http://schemas.microsoft.com/office/drawing/2014/chart" uri="{C3380CC4-5D6E-409C-BE32-E72D297353CC}">
              <c16:uniqueId val="{0000000F-08FD-4F0C-8D80-51A31A2D35E7}"/>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256"/>
        <c:crosses val="autoZero"/>
        <c:auto val="1"/>
        <c:lblAlgn val="ctr"/>
        <c:lblOffset val="100"/>
        <c:noMultiLvlLbl val="0"/>
      </c:catAx>
      <c:valAx>
        <c:axId val="228354256"/>
        <c:scaling>
          <c:orientation val="minMax"/>
          <c:max val="35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912"/>
        <c:crosses val="autoZero"/>
        <c:crossBetween val="between"/>
      </c:valAx>
      <c:spPr>
        <a:solidFill>
          <a:srgbClr val="F2F2F2"/>
        </a:solid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Essential!$C$3</c:f>
          <c:strCache>
            <c:ptCount val="1"/>
            <c:pt idx="0">
              <c:v>Essential Residential without CL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Essential!$F$33</c:f>
              <c:strCache>
                <c:ptCount val="1"/>
                <c:pt idx="0">
                  <c:v>Network cost</c:v>
                </c:pt>
              </c:strCache>
            </c:strRef>
          </c:tx>
          <c:spPr>
            <a:solidFill>
              <a:srgbClr val="89B3CE"/>
            </a:solidFill>
            <a:ln>
              <a:noFill/>
            </a:ln>
            <a:effectLst/>
          </c:spPr>
          <c:invertIfNegative val="0"/>
          <c:dLbls>
            <c:dLbl>
              <c:idx val="0"/>
              <c:tx>
                <c:strRef>
                  <c:f>Essential!$J$33</c:f>
                  <c:strCache>
                    <c:ptCount val="1"/>
                    <c:pt idx="0">
                      <c:v>46.0%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{1D70718E-5C49-4BB2-8DEA-C14CA2D55F61}</c15:txfldGUID>
                      <c15:f>Essential!$J$33</c15:f>
                      <c15:dlblFieldTableCache>
                        <c:ptCount val="1"/>
                        <c:pt idx="0">
                          <c:v>46.0%</c:v>
                        </c:pt>
                      </c15:dlblFieldTableCache>
                    </c15:dlblFTEntry>
                  </c15:dlblFieldTable>
                  <c15:showDataLabelsRange val="0"/>
                </c:ext>
                <c:ext xmlns:c16="http://schemas.microsoft.com/office/drawing/2014/chart" uri="{C3380CC4-5D6E-409C-BE32-E72D297353CC}">
                  <c16:uniqueId val="{00000000-E789-411A-94EF-F77039C673A5}"/>
                </c:ext>
              </c:extLst>
            </c:dLbl>
            <c:dLbl>
              <c:idx val="1"/>
              <c:tx>
                <c:strRef>
                  <c:f>Essential!$O$33</c:f>
                  <c:strCache>
                    <c:ptCount val="1"/>
                    <c:pt idx="0">
                      <c:v>45.6%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{120275DE-4E6E-40B7-96CD-60C30CBA285D}</c15:txfldGUID>
                      <c15:f>Essential!$O$33</c15:f>
                      <c15:dlblFieldTableCache>
                        <c:ptCount val="1"/>
                        <c:pt idx="0">
                          <c:v>45.6%</c:v>
                        </c:pt>
                      </c15:dlblFieldTableCache>
                    </c15:dlblFTEntry>
                  </c15:dlblFieldTable>
                  <c15:showDataLabelsRange val="0"/>
                </c:ext>
                <c:ext xmlns:c16="http://schemas.microsoft.com/office/drawing/2014/chart" uri="{C3380CC4-5D6E-409C-BE32-E72D297353CC}">
                  <c16:uniqueId val="{00000001-E789-411A-94EF-F77039C673A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2024-25</c:v>
                </c:pt>
                <c:pt idx="1">
                  <c:v>2025-26</c:v>
                </c:pt>
              </c:strCache>
            </c:strRef>
          </c:cat>
          <c:val>
            <c:numRef>
              <c:f>(Essential!$I$33,Essential!$N$33)</c:f>
              <c:numCache>
                <c:formatCode>#,##0.00</c:formatCode>
                <c:ptCount val="2"/>
                <c:pt idx="0">
                  <c:v>1155.0889558312551</c:v>
                </c:pt>
                <c:pt idx="1">
                  <c:v>1248.9808649440904</c:v>
                </c:pt>
              </c:numCache>
            </c:numRef>
          </c:val>
          <c:extLst>
            <c:ext xmlns:c16="http://schemas.microsoft.com/office/drawing/2014/chart" uri="{C3380CC4-5D6E-409C-BE32-E72D297353CC}">
              <c16:uniqueId val="{00000002-E789-411A-94EF-F77039C673A5}"/>
            </c:ext>
          </c:extLst>
        </c:ser>
        <c:ser>
          <c:idx val="1"/>
          <c:order val="1"/>
          <c:tx>
            <c:strRef>
              <c:f>Essential!$F$34</c:f>
              <c:strCache>
                <c:ptCount val="1"/>
                <c:pt idx="0">
                  <c:v>Wholesale cost</c:v>
                </c:pt>
              </c:strCache>
            </c:strRef>
          </c:tx>
          <c:spPr>
            <a:solidFill>
              <a:srgbClr val="E06026"/>
            </a:solidFill>
            <a:ln>
              <a:noFill/>
            </a:ln>
            <a:effectLst/>
          </c:spPr>
          <c:invertIfNegative val="0"/>
          <c:dLbls>
            <c:dLbl>
              <c:idx val="0"/>
              <c:tx>
                <c:strRef>
                  <c:f>Essential!$J$34</c:f>
                  <c:strCache>
                    <c:ptCount val="1"/>
                    <c:pt idx="0">
                      <c:v>33.4%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{37C4107B-0A62-41F5-8622-F0CDDF1F52F9}</c15:txfldGUID>
                      <c15:f>Essential!$J$34</c15:f>
                      <c15:dlblFieldTableCache>
                        <c:ptCount val="1"/>
                        <c:pt idx="0">
                          <c:v>33.4%</c:v>
                        </c:pt>
                      </c15:dlblFieldTableCache>
                    </c15:dlblFTEntry>
                  </c15:dlblFieldTable>
                  <c15:showDataLabelsRange val="0"/>
                </c:ext>
                <c:ext xmlns:c16="http://schemas.microsoft.com/office/drawing/2014/chart" uri="{C3380CC4-5D6E-409C-BE32-E72D297353CC}">
                  <c16:uniqueId val="{00000003-E789-411A-94EF-F77039C673A5}"/>
                </c:ext>
              </c:extLst>
            </c:dLbl>
            <c:dLbl>
              <c:idx val="1"/>
              <c:tx>
                <c:strRef>
                  <c:f>Essential!$O$34</c:f>
                  <c:strCache>
                    <c:ptCount val="1"/>
                    <c:pt idx="0">
                      <c:v>33.0%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{A39DD571-7F32-4321-A217-62FDCF3AE8AB}</c15:txfldGUID>
                      <c15:f>Essential!$O$34</c15:f>
                      <c15:dlblFieldTableCache>
                        <c:ptCount val="1"/>
                        <c:pt idx="0">
                          <c:v>33.0%</c:v>
                        </c:pt>
                      </c15:dlblFieldTableCache>
                    </c15:dlblFTEntry>
                  </c15:dlblFieldTable>
                  <c15:showDataLabelsRange val="0"/>
                </c:ext>
                <c:ext xmlns:c16="http://schemas.microsoft.com/office/drawing/2014/chart" uri="{C3380CC4-5D6E-409C-BE32-E72D297353CC}">
                  <c16:uniqueId val="{00000004-E789-411A-94EF-F77039C673A5}"/>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2024-25</c:v>
                </c:pt>
                <c:pt idx="1">
                  <c:v>2025-26</c:v>
                </c:pt>
              </c:strCache>
            </c:strRef>
          </c:cat>
          <c:val>
            <c:numRef>
              <c:f>(Essential!$I$34,Essential!$N$34)</c:f>
              <c:numCache>
                <c:formatCode>#,##0.00</c:formatCode>
                <c:ptCount val="2"/>
                <c:pt idx="0">
                  <c:v>838.80785182857142</c:v>
                </c:pt>
                <c:pt idx="1">
                  <c:v>903.45227990993703</c:v>
                </c:pt>
              </c:numCache>
            </c:numRef>
          </c:val>
          <c:extLst>
            <c:ext xmlns:c16="http://schemas.microsoft.com/office/drawing/2014/chart" uri="{C3380CC4-5D6E-409C-BE32-E72D297353CC}">
              <c16:uniqueId val="{00000005-E789-411A-94EF-F77039C673A5}"/>
            </c:ext>
          </c:extLst>
        </c:ser>
        <c:ser>
          <c:idx val="2"/>
          <c:order val="2"/>
          <c:tx>
            <c:strRef>
              <c:f>Essential!$F$35</c:f>
              <c:strCache>
                <c:ptCount val="1"/>
                <c:pt idx="0">
                  <c:v>Environmental cost</c:v>
                </c:pt>
              </c:strCache>
            </c:strRef>
          </c:tx>
          <c:spPr>
            <a:solidFill>
              <a:srgbClr val="5F9E88"/>
            </a:solidFill>
            <a:ln>
              <a:noFill/>
            </a:ln>
            <a:effectLst/>
          </c:spPr>
          <c:invertIfNegative val="0"/>
          <c:dLbls>
            <c:dLbl>
              <c:idx val="0"/>
              <c:tx>
                <c:strRef>
                  <c:f>Essential!$J$35</c:f>
                  <c:strCache>
                    <c:ptCount val="1"/>
                    <c:pt idx="0">
                      <c:v>3.9%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{298B1CDA-5440-49C0-91E2-BA48927F68D4}</c15:txfldGUID>
                      <c15:f>Essential!$J$35</c15:f>
                      <c15:dlblFieldTableCache>
                        <c:ptCount val="1"/>
                        <c:pt idx="0">
                          <c:v>3.9%</c:v>
                        </c:pt>
                      </c15:dlblFieldTableCache>
                    </c15:dlblFTEntry>
                  </c15:dlblFieldTable>
                  <c15:showDataLabelsRange val="0"/>
                </c:ext>
                <c:ext xmlns:c16="http://schemas.microsoft.com/office/drawing/2014/chart" uri="{C3380CC4-5D6E-409C-BE32-E72D297353CC}">
                  <c16:uniqueId val="{00000006-E789-411A-94EF-F77039C673A5}"/>
                </c:ext>
              </c:extLst>
            </c:dLbl>
            <c:dLbl>
              <c:idx val="1"/>
              <c:tx>
                <c:strRef>
                  <c:f>Essential!$O$35</c:f>
                  <c:strCache>
                    <c:ptCount val="1"/>
                    <c:pt idx="0">
                      <c:v>2.9%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{7208B2F9-3E3C-436A-92A5-5110053FD1B4}</c15:txfldGUID>
                      <c15:f>Essential!$O$35</c15:f>
                      <c15:dlblFieldTableCache>
                        <c:ptCount val="1"/>
                        <c:pt idx="0">
                          <c:v>2.9%</c:v>
                        </c:pt>
                      </c15:dlblFieldTableCache>
                    </c15:dlblFTEntry>
                  </c15:dlblFieldTable>
                  <c15:showDataLabelsRange val="0"/>
                </c:ext>
                <c:ext xmlns:c16="http://schemas.microsoft.com/office/drawing/2014/chart" uri="{C3380CC4-5D6E-409C-BE32-E72D297353CC}">
                  <c16:uniqueId val="{00000007-E789-411A-94EF-F77039C673A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2024-25</c:v>
                </c:pt>
                <c:pt idx="1">
                  <c:v>2025-26</c:v>
                </c:pt>
              </c:strCache>
            </c:strRef>
          </c:cat>
          <c:val>
            <c:numRef>
              <c:f>(Essential!$I$35,Essential!$N$35)</c:f>
              <c:numCache>
                <c:formatCode>#,##0.00</c:formatCode>
                <c:ptCount val="2"/>
                <c:pt idx="0">
                  <c:v>97.860399999999998</c:v>
                </c:pt>
                <c:pt idx="1">
                  <c:v>80.170406567593488</c:v>
                </c:pt>
              </c:numCache>
            </c:numRef>
          </c:val>
          <c:extLst>
            <c:ext xmlns:c16="http://schemas.microsoft.com/office/drawing/2014/chart" uri="{C3380CC4-5D6E-409C-BE32-E72D297353CC}">
              <c16:uniqueId val="{00000008-E789-411A-94EF-F77039C673A5}"/>
            </c:ext>
          </c:extLst>
        </c:ser>
        <c:ser>
          <c:idx val="3"/>
          <c:order val="3"/>
          <c:tx>
            <c:strRef>
              <c:f>Essential!$F$36</c:f>
              <c:strCache>
                <c:ptCount val="1"/>
                <c:pt idx="0">
                  <c:v>Retail cost</c:v>
                </c:pt>
              </c:strCache>
            </c:strRef>
          </c:tx>
          <c:spPr>
            <a:solidFill>
              <a:srgbClr val="F0B9B3"/>
            </a:solidFill>
            <a:ln>
              <a:noFill/>
            </a:ln>
            <a:effectLst/>
          </c:spPr>
          <c:invertIfNegative val="0"/>
          <c:dLbls>
            <c:dLbl>
              <c:idx val="0"/>
              <c:tx>
                <c:rich>
                  <a:bodyPr/>
                  <a:lstStyle/>
                  <a:p>
                    <a:fld id="{6C936786-0608-4C8B-8C73-E2E9FE26BFD9}"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789-411A-94EF-F77039C673A5}"/>
                </c:ext>
              </c:extLst>
            </c:dLbl>
            <c:dLbl>
              <c:idx val="1"/>
              <c:tx>
                <c:rich>
                  <a:bodyPr/>
                  <a:lstStyle/>
                  <a:p>
                    <a:fld id="{77CBDD72-B528-4A1D-8E97-0F78850634F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789-411A-94EF-F77039C673A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2024-25</c:v>
                </c:pt>
                <c:pt idx="1">
                  <c:v>2025-26</c:v>
                </c:pt>
              </c:strCache>
            </c:strRef>
          </c:cat>
          <c:val>
            <c:numRef>
              <c:f>(Essential!$I$36,Essential!$N$36)</c:f>
              <c:numCache>
                <c:formatCode>#,##0.00</c:formatCode>
                <c:ptCount val="2"/>
                <c:pt idx="0">
                  <c:v>270.02784441600005</c:v>
                </c:pt>
                <c:pt idx="1">
                  <c:v>343.7615024031029</c:v>
                </c:pt>
              </c:numCache>
            </c:numRef>
          </c:val>
          <c:extLst>
            <c:ext xmlns:c15="http://schemas.microsoft.com/office/drawing/2012/chart" uri="{02D57815-91ED-43cb-92C2-25804820EDAC}">
              <c15:datalabelsRange>
                <c15:f>(Essential!$J$36,Essential!$O$36)</c15:f>
                <c15:dlblRangeCache>
                  <c:ptCount val="2"/>
                  <c:pt idx="0">
                    <c:v>10.7%</c:v>
                  </c:pt>
                  <c:pt idx="1">
                    <c:v>12.5%</c:v>
                  </c:pt>
                </c15:dlblRangeCache>
              </c15:datalabelsRange>
            </c:ext>
            <c:ext xmlns:c16="http://schemas.microsoft.com/office/drawing/2014/chart" uri="{C3380CC4-5D6E-409C-BE32-E72D297353CC}">
              <c16:uniqueId val="{0000000B-E789-411A-94EF-F77039C673A5}"/>
            </c:ext>
          </c:extLst>
        </c:ser>
        <c:ser>
          <c:idx val="5"/>
          <c:order val="4"/>
          <c:tx>
            <c:strRef>
              <c:f>Essential!$F$37</c:f>
              <c:strCache>
                <c:ptCount val="1"/>
                <c:pt idx="0">
                  <c:v>Retail margin</c:v>
                </c:pt>
              </c:strCache>
            </c:strRef>
          </c:tx>
          <c:spPr>
            <a:solidFill>
              <a:srgbClr val="303F51"/>
            </a:solidFill>
            <a:ln>
              <a:noFill/>
            </a:ln>
            <a:effectLst/>
          </c:spPr>
          <c:invertIfNegative val="0"/>
          <c:dLbls>
            <c:dLbl>
              <c:idx val="0"/>
              <c:tx>
                <c:rich>
                  <a:bodyPr/>
                  <a:lstStyle/>
                  <a:p>
                    <a:fld id="{6CBE81BF-815A-4EF3-A2FD-924B9E733D8A}"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789-411A-94EF-F77039C673A5}"/>
                </c:ext>
              </c:extLst>
            </c:dLbl>
            <c:dLbl>
              <c:idx val="1"/>
              <c:tx>
                <c:rich>
                  <a:bodyPr/>
                  <a:lstStyle/>
                  <a:p>
                    <a:fld id="{F355713F-6C6E-42F2-9ADB-188E2DA3DFA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789-411A-94EF-F77039C673A5}"/>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(Essential!$I$37,Essential!$N$37)</c:f>
              <c:numCache>
                <c:formatCode>#,##0.00</c:formatCode>
                <c:ptCount val="2"/>
                <c:pt idx="0">
                  <c:v>150.75223736654243</c:v>
                </c:pt>
                <c:pt idx="1">
                  <c:v>164.44883322285477</c:v>
                </c:pt>
              </c:numCache>
            </c:numRef>
          </c:val>
          <c:extLst>
            <c:ext xmlns:c15="http://schemas.microsoft.com/office/drawing/2012/chart" uri="{02D57815-91ED-43cb-92C2-25804820EDAC}">
              <c15:datalabelsRange>
                <c15:f>(Essential!$J$37,Essential!$O$37)</c15:f>
                <c15:dlblRangeCache>
                  <c:ptCount val="2"/>
                  <c:pt idx="0">
                    <c:v>6.0%</c:v>
                  </c:pt>
                  <c:pt idx="1">
                    <c:v>6.0%</c:v>
                  </c:pt>
                </c15:dlblRangeCache>
              </c15:datalabelsRange>
            </c:ext>
            <c:ext xmlns:c16="http://schemas.microsoft.com/office/drawing/2014/chart" uri="{C3380CC4-5D6E-409C-BE32-E72D297353CC}">
              <c16:uniqueId val="{0000000E-E789-411A-94EF-F77039C673A5}"/>
            </c:ext>
          </c:extLst>
        </c:ser>
        <c:ser>
          <c:idx val="4"/>
          <c:order val="5"/>
          <c:tx>
            <c:v>DMO</c:v>
          </c:tx>
          <c:spPr>
            <a:noFill/>
            <a:ln>
              <a:noFill/>
            </a:ln>
            <a:effectLst/>
          </c:spPr>
          <c:invertIfNegative val="0"/>
          <c:dLbls>
            <c:dLbl>
              <c:idx val="1"/>
              <c:layout>
                <c:manualLayout>
                  <c:x val="-8.6755402954085661E-4"/>
                  <c:y val="0.14988090658048853"/>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F933-4DC8-9682-80A51C0C67D9}"/>
                </c:ext>
              </c:extLst>
            </c:dLbl>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2024-25</c:v>
                </c:pt>
                <c:pt idx="1">
                  <c:v>2025-26</c:v>
                </c:pt>
              </c:strCache>
            </c:strRef>
          </c:cat>
          <c:val>
            <c:numRef>
              <c:f>(Essential!$H$32,Essential!$H$38)</c:f>
              <c:numCache>
                <c:formatCode>#,##0.00</c:formatCode>
                <c:ptCount val="2"/>
                <c:pt idx="0">
                  <c:v>2513</c:v>
                </c:pt>
                <c:pt idx="1">
                  <c:v>2741</c:v>
                </c:pt>
              </c:numCache>
            </c:numRef>
          </c:val>
          <c:extLst>
            <c:ext xmlns:c16="http://schemas.microsoft.com/office/drawing/2014/chart" uri="{C3380CC4-5D6E-409C-BE32-E72D297353CC}">
              <c16:uniqueId val="{0000000F-E789-411A-94EF-F77039C673A5}"/>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256"/>
        <c:crosses val="autoZero"/>
        <c:auto val="1"/>
        <c:lblAlgn val="ctr"/>
        <c:lblOffset val="100"/>
        <c:noMultiLvlLbl val="0"/>
      </c:catAx>
      <c:valAx>
        <c:axId val="228354256"/>
        <c:scaling>
          <c:orientation val="minMax"/>
          <c:max val="30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912"/>
        <c:crosses val="autoZero"/>
        <c:crossBetween val="between"/>
      </c:valAx>
      <c:spPr>
        <a:solidFill>
          <a:srgbClr val="F2F2F2"/>
        </a:solid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Essential!$E$3</c:f>
          <c:strCache>
            <c:ptCount val="1"/>
            <c:pt idx="0">
              <c:v>Essential Small Business without CL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Essential!$F$33</c:f>
              <c:strCache>
                <c:ptCount val="1"/>
                <c:pt idx="0">
                  <c:v>Network cost</c:v>
                </c:pt>
              </c:strCache>
            </c:strRef>
          </c:tx>
          <c:spPr>
            <a:solidFill>
              <a:srgbClr val="89B3CE"/>
            </a:solidFill>
            <a:ln>
              <a:noFill/>
            </a:ln>
            <a:effectLst/>
          </c:spPr>
          <c:invertIfNegative val="0"/>
          <c:dLbls>
            <c:dLbl>
              <c:idx val="0"/>
              <c:tx>
                <c:strRef>
                  <c:f>Essential!$AB$33</c:f>
                  <c:strCache>
                    <c:ptCount val="1"/>
                    <c:pt idx="0">
                      <c:v>47.8%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{B7B94EB4-5ACA-4D0B-AEB0-04EFD94A4FB6}</c15:txfldGUID>
                      <c15:f>Essential!$AB$33</c15:f>
                      <c15:dlblFieldTableCache>
                        <c:ptCount val="1"/>
                        <c:pt idx="0">
                          <c:v>47.8%</c:v>
                        </c:pt>
                      </c15:dlblFieldTableCache>
                    </c15:dlblFTEntry>
                  </c15:dlblFieldTable>
                  <c15:showDataLabelsRange val="0"/>
                </c:ext>
                <c:ext xmlns:c16="http://schemas.microsoft.com/office/drawing/2014/chart" uri="{C3380CC4-5D6E-409C-BE32-E72D297353CC}">
                  <c16:uniqueId val="{00000000-22C9-4A18-9AB8-8064B0F6EE46}"/>
                </c:ext>
              </c:extLst>
            </c:dLbl>
            <c:dLbl>
              <c:idx val="1"/>
              <c:tx>
                <c:strRef>
                  <c:f>Essential!$AG$33</c:f>
                  <c:strCache>
                    <c:ptCount val="1"/>
                    <c:pt idx="0">
                      <c:v>47.6%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{8BB0F012-5746-4189-AE4E-084821E5ED88}</c15:txfldGUID>
                      <c15:f>Essential!$AG$33</c15:f>
                      <c15:dlblFieldTableCache>
                        <c:ptCount val="1"/>
                        <c:pt idx="0">
                          <c:v>47.6%</c:v>
                        </c:pt>
                      </c15:dlblFieldTableCache>
                    </c15:dlblFTEntry>
                  </c15:dlblFieldTable>
                  <c15:showDataLabelsRange val="0"/>
                </c:ext>
                <c:ext xmlns:c16="http://schemas.microsoft.com/office/drawing/2014/chart" uri="{C3380CC4-5D6E-409C-BE32-E72D297353CC}">
                  <c16:uniqueId val="{00000001-22C9-4A18-9AB8-8064B0F6EE4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(Essential!$AA$29,Essential!$AD$29)</c:f>
              <c:strCache>
                <c:ptCount val="2"/>
                <c:pt idx="0">
                  <c:v>2024-25</c:v>
                </c:pt>
                <c:pt idx="1">
                  <c:v>2025-26</c:v>
                </c:pt>
              </c:strCache>
            </c:strRef>
          </c:cat>
          <c:val>
            <c:numRef>
              <c:f>(Essential!$AA$33,Essential!$AF$33)</c:f>
              <c:numCache>
                <c:formatCode>#,##0.00</c:formatCode>
                <c:ptCount val="2"/>
                <c:pt idx="0">
                  <c:v>2742.7828040793461</c:v>
                </c:pt>
                <c:pt idx="1">
                  <c:v>2959.1444552068538</c:v>
                </c:pt>
              </c:numCache>
            </c:numRef>
          </c:val>
          <c:extLst>
            <c:ext xmlns:c16="http://schemas.microsoft.com/office/drawing/2014/chart" uri="{C3380CC4-5D6E-409C-BE32-E72D297353CC}">
              <c16:uniqueId val="{00000002-22C9-4A18-9AB8-8064B0F6EE46}"/>
            </c:ext>
          </c:extLst>
        </c:ser>
        <c:ser>
          <c:idx val="1"/>
          <c:order val="1"/>
          <c:tx>
            <c:strRef>
              <c:f>Essential!$F$34</c:f>
              <c:strCache>
                <c:ptCount val="1"/>
                <c:pt idx="0">
                  <c:v>Wholesale cost</c:v>
                </c:pt>
              </c:strCache>
            </c:strRef>
          </c:tx>
          <c:spPr>
            <a:solidFill>
              <a:srgbClr val="E06026"/>
            </a:solidFill>
            <a:ln>
              <a:noFill/>
            </a:ln>
            <a:effectLst/>
          </c:spPr>
          <c:invertIfNegative val="0"/>
          <c:dLbls>
            <c:dLbl>
              <c:idx val="0"/>
              <c:tx>
                <c:strRef>
                  <c:f>Essential!$AB$34</c:f>
                  <c:strCache>
                    <c:ptCount val="1"/>
                    <c:pt idx="0">
                      <c:v>31.5%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{443E4207-AF7B-42AC-949C-CCE25EF556E3}</c15:txfldGUID>
                      <c15:f>Essential!$AB$34</c15:f>
                      <c15:dlblFieldTableCache>
                        <c:ptCount val="1"/>
                        <c:pt idx="0">
                          <c:v>31.5%</c:v>
                        </c:pt>
                      </c15:dlblFieldTableCache>
                    </c15:dlblFTEntry>
                  </c15:dlblFieldTable>
                  <c15:showDataLabelsRange val="0"/>
                </c:ext>
                <c:ext xmlns:c16="http://schemas.microsoft.com/office/drawing/2014/chart" uri="{C3380CC4-5D6E-409C-BE32-E72D297353CC}">
                  <c16:uniqueId val="{00000003-22C9-4A18-9AB8-8064B0F6EE46}"/>
                </c:ext>
              </c:extLst>
            </c:dLbl>
            <c:dLbl>
              <c:idx val="1"/>
              <c:tx>
                <c:strRef>
                  <c:f>Essential!$AG$34</c:f>
                  <c:strCache>
                    <c:ptCount val="1"/>
                    <c:pt idx="0">
                      <c:v>31.3%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{EEF01C89-09B1-44C9-AE7A-BAFAB885B0DD}</c15:txfldGUID>
                      <c15:f>Essential!$AG$34</c15:f>
                      <c15:dlblFieldTableCache>
                        <c:ptCount val="1"/>
                        <c:pt idx="0">
                          <c:v>31.3%</c:v>
                        </c:pt>
                      </c15:dlblFieldTableCache>
                    </c15:dlblFTEntry>
                  </c15:dlblFieldTable>
                  <c15:showDataLabelsRange val="0"/>
                </c:ext>
                <c:ext xmlns:c16="http://schemas.microsoft.com/office/drawing/2014/chart" uri="{C3380CC4-5D6E-409C-BE32-E72D297353CC}">
                  <c16:uniqueId val="{00000004-22C9-4A18-9AB8-8064B0F6EE46}"/>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(Essential!$AA$29,Essential!$AD$29)</c:f>
              <c:strCache>
                <c:ptCount val="2"/>
                <c:pt idx="0">
                  <c:v>2024-25</c:v>
                </c:pt>
                <c:pt idx="1">
                  <c:v>2025-26</c:v>
                </c:pt>
              </c:strCache>
            </c:strRef>
          </c:cat>
          <c:val>
            <c:numRef>
              <c:f>(Essential!$AA$34,Essential!$AF$34)</c:f>
              <c:numCache>
                <c:formatCode>#,##0.00</c:formatCode>
                <c:ptCount val="2"/>
                <c:pt idx="0">
                  <c:v>1808.1213464285713</c:v>
                </c:pt>
                <c:pt idx="1">
                  <c:v>1946.1611845522721</c:v>
                </c:pt>
              </c:numCache>
            </c:numRef>
          </c:val>
          <c:extLst>
            <c:ext xmlns:c16="http://schemas.microsoft.com/office/drawing/2014/chart" uri="{C3380CC4-5D6E-409C-BE32-E72D297353CC}">
              <c16:uniqueId val="{00000005-22C9-4A18-9AB8-8064B0F6EE46}"/>
            </c:ext>
          </c:extLst>
        </c:ser>
        <c:ser>
          <c:idx val="2"/>
          <c:order val="2"/>
          <c:tx>
            <c:strRef>
              <c:f>Essential!$F$35</c:f>
              <c:strCache>
                <c:ptCount val="1"/>
                <c:pt idx="0">
                  <c:v>Environmental cost</c:v>
                </c:pt>
              </c:strCache>
            </c:strRef>
          </c:tx>
          <c:spPr>
            <a:solidFill>
              <a:srgbClr val="5F9E88"/>
            </a:solidFill>
            <a:ln>
              <a:noFill/>
            </a:ln>
            <a:effectLst/>
          </c:spPr>
          <c:invertIfNegative val="0"/>
          <c:dLbls>
            <c:dLbl>
              <c:idx val="0"/>
              <c:tx>
                <c:strRef>
                  <c:f>Essential!$AB$35</c:f>
                  <c:strCache>
                    <c:ptCount val="1"/>
                    <c:pt idx="0">
                      <c:v>3.7%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{B2B2401E-9017-45DA-AB10-175F33A5411F}</c15:txfldGUID>
                      <c15:f>Essential!$AB$35</c15:f>
                      <c15:dlblFieldTableCache>
                        <c:ptCount val="1"/>
                        <c:pt idx="0">
                          <c:v>3.7%</c:v>
                        </c:pt>
                      </c15:dlblFieldTableCache>
                    </c15:dlblFTEntry>
                  </c15:dlblFieldTable>
                  <c15:showDataLabelsRange val="0"/>
                </c:ext>
                <c:ext xmlns:c16="http://schemas.microsoft.com/office/drawing/2014/chart" uri="{C3380CC4-5D6E-409C-BE32-E72D297353CC}">
                  <c16:uniqueId val="{00000006-22C9-4A18-9AB8-8064B0F6EE46}"/>
                </c:ext>
              </c:extLst>
            </c:dLbl>
            <c:dLbl>
              <c:idx val="1"/>
              <c:tx>
                <c:strRef>
                  <c:f>Essential!$AG$35</c:f>
                  <c:strCache>
                    <c:ptCount val="1"/>
                    <c:pt idx="0">
                      <c:v>2.8%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{5DADAE0B-C9CE-45BB-AA09-447821754873}</c15:txfldGUID>
                      <c15:f>Essential!$AG$35</c15:f>
                      <c15:dlblFieldTableCache>
                        <c:ptCount val="1"/>
                        <c:pt idx="0">
                          <c:v>2.8%</c:v>
                        </c:pt>
                      </c15:dlblFieldTableCache>
                    </c15:dlblFTEntry>
                  </c15:dlblFieldTable>
                  <c15:showDataLabelsRange val="0"/>
                </c:ext>
                <c:ext xmlns:c16="http://schemas.microsoft.com/office/drawing/2014/chart" uri="{C3380CC4-5D6E-409C-BE32-E72D297353CC}">
                  <c16:uniqueId val="{00000007-22C9-4A18-9AB8-8064B0F6EE4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(Essential!$AA$29,Essential!$AD$29)</c:f>
              <c:strCache>
                <c:ptCount val="2"/>
                <c:pt idx="0">
                  <c:v>2024-25</c:v>
                </c:pt>
                <c:pt idx="1">
                  <c:v>2025-26</c:v>
                </c:pt>
              </c:strCache>
            </c:strRef>
          </c:cat>
          <c:val>
            <c:numRef>
              <c:f>(Essential!$AA$35,Essential!$AF$35)</c:f>
              <c:numCache>
                <c:formatCode>#,##0.00</c:formatCode>
                <c:ptCount val="2"/>
                <c:pt idx="0">
                  <c:v>212.74</c:v>
                </c:pt>
                <c:pt idx="1">
                  <c:v>174.28349253824669</c:v>
                </c:pt>
              </c:numCache>
            </c:numRef>
          </c:val>
          <c:extLst>
            <c:ext xmlns:c16="http://schemas.microsoft.com/office/drawing/2014/chart" uri="{C3380CC4-5D6E-409C-BE32-E72D297353CC}">
              <c16:uniqueId val="{00000008-22C9-4A18-9AB8-8064B0F6EE46}"/>
            </c:ext>
          </c:extLst>
        </c:ser>
        <c:ser>
          <c:idx val="3"/>
          <c:order val="3"/>
          <c:tx>
            <c:strRef>
              <c:f>Essential!$F$36</c:f>
              <c:strCache>
                <c:ptCount val="1"/>
                <c:pt idx="0">
                  <c:v>Retail cost</c:v>
                </c:pt>
              </c:strCache>
            </c:strRef>
          </c:tx>
          <c:spPr>
            <a:solidFill>
              <a:srgbClr val="F0B9B3"/>
            </a:solidFill>
            <a:ln>
              <a:noFill/>
            </a:ln>
            <a:effectLst/>
          </c:spPr>
          <c:invertIfNegative val="0"/>
          <c:dLbls>
            <c:dLbl>
              <c:idx val="0"/>
              <c:tx>
                <c:rich>
                  <a:bodyPr/>
                  <a:lstStyle/>
                  <a:p>
                    <a:fld id="{2DDEAF6C-C233-4AB1-BCC5-150100B9AC48}"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2C9-4A18-9AB8-8064B0F6EE46}"/>
                </c:ext>
              </c:extLst>
            </c:dLbl>
            <c:dLbl>
              <c:idx val="1"/>
              <c:tx>
                <c:rich>
                  <a:bodyPr/>
                  <a:lstStyle/>
                  <a:p>
                    <a:fld id="{2F5E2510-595F-4AC5-AC47-2D8B33CA1AD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2C9-4A18-9AB8-8064B0F6EE4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(Essential!$AA$29,Essential!$AD$29)</c:f>
              <c:strCache>
                <c:ptCount val="2"/>
                <c:pt idx="0">
                  <c:v>2024-25</c:v>
                </c:pt>
                <c:pt idx="1">
                  <c:v>2025-26</c:v>
                </c:pt>
              </c:strCache>
            </c:strRef>
          </c:cat>
          <c:val>
            <c:numRef>
              <c:f>(Essential!$AA$36,Essential!$AF$36)</c:f>
              <c:numCache>
                <c:formatCode>#,##0.00</c:formatCode>
                <c:ptCount val="2"/>
                <c:pt idx="0">
                  <c:v>338.80741012800001</c:v>
                </c:pt>
                <c:pt idx="1">
                  <c:v>458.04589127551509</c:v>
                </c:pt>
              </c:numCache>
            </c:numRef>
          </c:val>
          <c:extLst>
            <c:ext xmlns:c15="http://schemas.microsoft.com/office/drawing/2012/chart" uri="{02D57815-91ED-43cb-92C2-25804820EDAC}">
              <c15:datalabelsRange>
                <c15:f>(Essential!$AB$36,Essential!$AG$36)</c15:f>
                <c15:dlblRangeCache>
                  <c:ptCount val="2"/>
                  <c:pt idx="0">
                    <c:v>5.9%</c:v>
                  </c:pt>
                  <c:pt idx="1">
                    <c:v>7.4%</c:v>
                  </c:pt>
                </c15:dlblRangeCache>
              </c15:datalabelsRange>
            </c:ext>
            <c:ext xmlns:c16="http://schemas.microsoft.com/office/drawing/2014/chart" uri="{C3380CC4-5D6E-409C-BE32-E72D297353CC}">
              <c16:uniqueId val="{0000000B-22C9-4A18-9AB8-8064B0F6EE46}"/>
            </c:ext>
          </c:extLst>
        </c:ser>
        <c:ser>
          <c:idx val="5"/>
          <c:order val="4"/>
          <c:tx>
            <c:strRef>
              <c:f>Essential!$F$37</c:f>
              <c:strCache>
                <c:ptCount val="1"/>
                <c:pt idx="0">
                  <c:v>Retail margin</c:v>
                </c:pt>
              </c:strCache>
            </c:strRef>
          </c:tx>
          <c:spPr>
            <a:solidFill>
              <a:srgbClr val="303F51"/>
            </a:solidFill>
            <a:ln>
              <a:noFill/>
            </a:ln>
            <a:effectLst/>
          </c:spPr>
          <c:invertIfNegative val="0"/>
          <c:dLbls>
            <c:dLbl>
              <c:idx val="0"/>
              <c:tx>
                <c:rich>
                  <a:bodyPr/>
                  <a:lstStyle/>
                  <a:p>
                    <a:fld id="{1A58CAC3-6ED3-4085-B18A-2D988F52A812}"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2C9-4A18-9AB8-8064B0F6EE46}"/>
                </c:ext>
              </c:extLst>
            </c:dLbl>
            <c:dLbl>
              <c:idx val="1"/>
              <c:tx>
                <c:rich>
                  <a:bodyPr/>
                  <a:lstStyle/>
                  <a:p>
                    <a:fld id="{8AAE7F31-0ADB-4B83-8525-596961B88F9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2C9-4A18-9AB8-8064B0F6EE46}"/>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(Essential!$AA$37,Essential!$AF$37)</c:f>
              <c:numCache>
                <c:formatCode>#,##0.00</c:formatCode>
                <c:ptCount val="2"/>
                <c:pt idx="0">
                  <c:v>630.64008052803456</c:v>
                </c:pt>
                <c:pt idx="1">
                  <c:v>684.42680066631146</c:v>
                </c:pt>
              </c:numCache>
            </c:numRef>
          </c:val>
          <c:extLst>
            <c:ext xmlns:c15="http://schemas.microsoft.com/office/drawing/2012/chart" uri="{02D57815-91ED-43cb-92C2-25804820EDAC}">
              <c15:datalabelsRange>
                <c15:f>(Essential!$AB$37,Essential!$AG$37)</c15:f>
                <c15:dlblRangeCache>
                  <c:ptCount val="2"/>
                  <c:pt idx="0">
                    <c:v>11.0%</c:v>
                  </c:pt>
                  <c:pt idx="1">
                    <c:v>11.0%</c:v>
                  </c:pt>
                </c15:dlblRangeCache>
              </c15:datalabelsRange>
            </c:ext>
            <c:ext xmlns:c16="http://schemas.microsoft.com/office/drawing/2014/chart" uri="{C3380CC4-5D6E-409C-BE32-E72D297353CC}">
              <c16:uniqueId val="{0000000E-22C9-4A18-9AB8-8064B0F6EE46}"/>
            </c:ext>
          </c:extLst>
        </c:ser>
        <c:ser>
          <c:idx val="4"/>
          <c:order val="5"/>
          <c:tx>
            <c:v>DMO</c:v>
          </c:tx>
          <c:spPr>
            <a:noFill/>
            <a:ln>
              <a:noFill/>
            </a:ln>
            <a:effectLst/>
          </c:spPr>
          <c:invertIfNegative val="0"/>
          <c:dLbls>
            <c:dLbl>
              <c:idx val="1"/>
              <c:layout>
                <c:manualLayout>
                  <c:x val="-9.0092149221550496E-4"/>
                  <c:y val="0.14336351278565748"/>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293-4C52-A074-7BD07398FC4E}"/>
                </c:ext>
              </c:extLst>
            </c:dLbl>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(Essential!$AA$29,Essential!$AD$29)</c:f>
              <c:strCache>
                <c:ptCount val="2"/>
                <c:pt idx="0">
                  <c:v>2024-25</c:v>
                </c:pt>
                <c:pt idx="1">
                  <c:v>2025-26</c:v>
                </c:pt>
              </c:strCache>
            </c:strRef>
          </c:cat>
          <c:val>
            <c:numRef>
              <c:f>(Essential!$Z$32,Essential!$Z$38)</c:f>
              <c:numCache>
                <c:formatCode>#,##0.00</c:formatCode>
                <c:ptCount val="2"/>
                <c:pt idx="0">
                  <c:v>5733</c:v>
                </c:pt>
                <c:pt idx="1">
                  <c:v>6222</c:v>
                </c:pt>
              </c:numCache>
            </c:numRef>
          </c:val>
          <c:extLst>
            <c:ext xmlns:c16="http://schemas.microsoft.com/office/drawing/2014/chart" uri="{C3380CC4-5D6E-409C-BE32-E72D297353CC}">
              <c16:uniqueId val="{0000000F-22C9-4A18-9AB8-8064B0F6EE46}"/>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256"/>
        <c:crosses val="autoZero"/>
        <c:auto val="1"/>
        <c:lblAlgn val="ctr"/>
        <c:lblOffset val="100"/>
        <c:noMultiLvlLbl val="0"/>
      </c:catAx>
      <c:valAx>
        <c:axId val="228354256"/>
        <c:scaling>
          <c:orientation val="minMax"/>
          <c:max val="68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912"/>
        <c:crosses val="autoZero"/>
        <c:crossBetween val="between"/>
      </c:valAx>
      <c:spPr>
        <a:solidFill>
          <a:srgbClr val="F2F2F2"/>
        </a:solid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Energex!$D$3</c:f>
          <c:strCache>
            <c:ptCount val="1"/>
            <c:pt idx="0">
              <c:v>Energex Residential with CL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Energex!$F$33</c:f>
              <c:strCache>
                <c:ptCount val="1"/>
                <c:pt idx="0">
                  <c:v>Network cost</c:v>
                </c:pt>
              </c:strCache>
            </c:strRef>
          </c:tx>
          <c:spPr>
            <a:solidFill>
              <a:srgbClr val="89B3CE"/>
            </a:solidFill>
            <a:ln>
              <a:noFill/>
            </a:ln>
            <a:effectLst/>
          </c:spPr>
          <c:invertIfNegative val="0"/>
          <c:dLbls>
            <c:dLbl>
              <c:idx val="0"/>
              <c:tx>
                <c:strRef>
                  <c:f>Energex!$S$33</c:f>
                  <c:strCache>
                    <c:ptCount val="1"/>
                    <c:pt idx="0">
                      <c:v>36.1%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{89FFFA96-99F7-4DF6-94BC-59887BAABA4C}</c15:txfldGUID>
                      <c15:f>Energex!$S$33</c15:f>
                      <c15:dlblFieldTableCache>
                        <c:ptCount val="1"/>
                        <c:pt idx="0">
                          <c:v>36.1%</c:v>
                        </c:pt>
                      </c15:dlblFieldTableCache>
                    </c15:dlblFTEntry>
                  </c15:dlblFieldTable>
                  <c15:showDataLabelsRange val="0"/>
                </c:ext>
                <c:ext xmlns:c16="http://schemas.microsoft.com/office/drawing/2014/chart" uri="{C3380CC4-5D6E-409C-BE32-E72D297353CC}">
                  <c16:uniqueId val="{00000000-1C9D-4D1F-8EE5-DA446F3D7594}"/>
                </c:ext>
              </c:extLst>
            </c:dLbl>
            <c:dLbl>
              <c:idx val="1"/>
              <c:tx>
                <c:strRef>
                  <c:f>Energex!$X$33</c:f>
                  <c:strCache>
                    <c:ptCount val="1"/>
                    <c:pt idx="0">
                      <c:v>33.4%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{E7293BBE-2217-4D60-A6CD-DEA21858630D}</c15:txfldGUID>
                      <c15:f>Energex!$X$33</c15:f>
                      <c15:dlblFieldTableCache>
                        <c:ptCount val="1"/>
                        <c:pt idx="0">
                          <c:v>33.4%</c:v>
                        </c:pt>
                      </c15:dlblFieldTableCache>
                    </c15:dlblFTEntry>
                  </c15:dlblFieldTable>
                  <c15:showDataLabelsRange val="0"/>
                </c:ext>
                <c:ext xmlns:c16="http://schemas.microsoft.com/office/drawing/2014/chart" uri="{C3380CC4-5D6E-409C-BE32-E72D297353CC}">
                  <c16:uniqueId val="{00000001-1C9D-4D1F-8EE5-DA446F3D759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(Energex!$R$29,Energex!$U$29)</c:f>
              <c:strCache>
                <c:ptCount val="2"/>
                <c:pt idx="0">
                  <c:v>2024-25</c:v>
                </c:pt>
                <c:pt idx="1">
                  <c:v>2025-26</c:v>
                </c:pt>
              </c:strCache>
            </c:strRef>
          </c:cat>
          <c:val>
            <c:numRef>
              <c:f>(Energex!$R$33,Energex!$W$33)</c:f>
              <c:numCache>
                <c:formatCode>#,##0.00</c:formatCode>
                <c:ptCount val="2"/>
                <c:pt idx="0">
                  <c:v>870.27213900000015</c:v>
                </c:pt>
                <c:pt idx="1">
                  <c:v>811.07983700626835</c:v>
                </c:pt>
              </c:numCache>
            </c:numRef>
          </c:val>
          <c:extLst>
            <c:ext xmlns:c16="http://schemas.microsoft.com/office/drawing/2014/chart" uri="{C3380CC4-5D6E-409C-BE32-E72D297353CC}">
              <c16:uniqueId val="{00000002-1C9D-4D1F-8EE5-DA446F3D7594}"/>
            </c:ext>
          </c:extLst>
        </c:ser>
        <c:ser>
          <c:idx val="1"/>
          <c:order val="1"/>
          <c:tx>
            <c:strRef>
              <c:f>Energex!$F$34</c:f>
              <c:strCache>
                <c:ptCount val="1"/>
                <c:pt idx="0">
                  <c:v>Wholesale cost</c:v>
                </c:pt>
              </c:strCache>
            </c:strRef>
          </c:tx>
          <c:spPr>
            <a:solidFill>
              <a:srgbClr val="E06026"/>
            </a:solidFill>
            <a:ln>
              <a:noFill/>
            </a:ln>
            <a:effectLst/>
          </c:spPr>
          <c:invertIfNegative val="0"/>
          <c:dLbls>
            <c:dLbl>
              <c:idx val="0"/>
              <c:tx>
                <c:strRef>
                  <c:f>Energex!$S$34</c:f>
                  <c:strCache>
                    <c:ptCount val="1"/>
                    <c:pt idx="0">
                      <c:v>43.2%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{08DE7EF2-BB30-40B6-833C-210AA5DB06A2}</c15:txfldGUID>
                      <c15:f>Energex!$S$34</c15:f>
                      <c15:dlblFieldTableCache>
                        <c:ptCount val="1"/>
                        <c:pt idx="0">
                          <c:v>43.2%</c:v>
                        </c:pt>
                      </c15:dlblFieldTableCache>
                    </c15:dlblFTEntry>
                  </c15:dlblFieldTable>
                  <c15:showDataLabelsRange val="0"/>
                </c:ext>
                <c:ext xmlns:c16="http://schemas.microsoft.com/office/drawing/2014/chart" uri="{C3380CC4-5D6E-409C-BE32-E72D297353CC}">
                  <c16:uniqueId val="{00000003-1C9D-4D1F-8EE5-DA446F3D7594}"/>
                </c:ext>
              </c:extLst>
            </c:dLbl>
            <c:dLbl>
              <c:idx val="1"/>
              <c:tx>
                <c:strRef>
                  <c:f>Energex!$X$34</c:f>
                  <c:strCache>
                    <c:ptCount val="1"/>
                    <c:pt idx="0">
                      <c:v>43.6%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{8E068152-80BD-433B-BEF8-B885CF97E65E}</c15:txfldGUID>
                      <c15:f>Energex!$X$34</c15:f>
                      <c15:dlblFieldTableCache>
                        <c:ptCount val="1"/>
                        <c:pt idx="0">
                          <c:v>43.6%</c:v>
                        </c:pt>
                      </c15:dlblFieldTableCache>
                    </c15:dlblFTEntry>
                  </c15:dlblFieldTable>
                  <c15:showDataLabelsRange val="0"/>
                </c:ext>
                <c:ext xmlns:c16="http://schemas.microsoft.com/office/drawing/2014/chart" uri="{C3380CC4-5D6E-409C-BE32-E72D297353CC}">
                  <c16:uniqueId val="{00000004-1C9D-4D1F-8EE5-DA446F3D7594}"/>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(Energex!$R$29,Energex!$U$29)</c:f>
              <c:strCache>
                <c:ptCount val="2"/>
                <c:pt idx="0">
                  <c:v>2024-25</c:v>
                </c:pt>
                <c:pt idx="1">
                  <c:v>2025-26</c:v>
                </c:pt>
              </c:strCache>
            </c:strRef>
          </c:cat>
          <c:val>
            <c:numRef>
              <c:f>(Energex!$R$34,Energex!$W$34)</c:f>
              <c:numCache>
                <c:formatCode>#,##0.00</c:formatCode>
                <c:ptCount val="2"/>
                <c:pt idx="0">
                  <c:v>1041.8040771285714</c:v>
                </c:pt>
                <c:pt idx="1">
                  <c:v>1057.3853774712472</c:v>
                </c:pt>
              </c:numCache>
            </c:numRef>
          </c:val>
          <c:extLst>
            <c:ext xmlns:c16="http://schemas.microsoft.com/office/drawing/2014/chart" uri="{C3380CC4-5D6E-409C-BE32-E72D297353CC}">
              <c16:uniqueId val="{00000005-1C9D-4D1F-8EE5-DA446F3D7594}"/>
            </c:ext>
          </c:extLst>
        </c:ser>
        <c:ser>
          <c:idx val="2"/>
          <c:order val="2"/>
          <c:tx>
            <c:strRef>
              <c:f>Energex!$F$35</c:f>
              <c:strCache>
                <c:ptCount val="1"/>
                <c:pt idx="0">
                  <c:v>Environmental cost</c:v>
                </c:pt>
              </c:strCache>
            </c:strRef>
          </c:tx>
          <c:spPr>
            <a:solidFill>
              <a:srgbClr val="5F9E88"/>
            </a:solidFill>
            <a:ln>
              <a:noFill/>
            </a:ln>
            <a:effectLst/>
          </c:spPr>
          <c:invertIfNegative val="0"/>
          <c:dLbls>
            <c:dLbl>
              <c:idx val="0"/>
              <c:tx>
                <c:strRef>
                  <c:f>Energex!$S$35</c:f>
                  <c:strCache>
                    <c:ptCount val="1"/>
                    <c:pt idx="0">
                      <c:v>4.7%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{0450683E-886E-456B-8CA6-B725D0E6156C}</c15:txfldGUID>
                      <c15:f>Energex!$S$35</c15:f>
                      <c15:dlblFieldTableCache>
                        <c:ptCount val="1"/>
                        <c:pt idx="0">
                          <c:v>4.7%</c:v>
                        </c:pt>
                      </c15:dlblFieldTableCache>
                    </c15:dlblFTEntry>
                  </c15:dlblFieldTable>
                  <c15:showDataLabelsRange val="0"/>
                </c:ext>
                <c:ext xmlns:c16="http://schemas.microsoft.com/office/drawing/2014/chart" uri="{C3380CC4-5D6E-409C-BE32-E72D297353CC}">
                  <c16:uniqueId val="{00000006-1C9D-4D1F-8EE5-DA446F3D7594}"/>
                </c:ext>
              </c:extLst>
            </c:dLbl>
            <c:dLbl>
              <c:idx val="1"/>
              <c:tx>
                <c:strRef>
                  <c:f>Energex!$X$35</c:f>
                  <c:strCache>
                    <c:ptCount val="1"/>
                    <c:pt idx="0">
                      <c:v>3.4%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{E76EB832-C22C-449A-AF10-CA1D3E6ABA0C}</c15:txfldGUID>
                      <c15:f>Energex!$X$35</c15:f>
                      <c15:dlblFieldTableCache>
                        <c:ptCount val="1"/>
                        <c:pt idx="0">
                          <c:v>3.4%</c:v>
                        </c:pt>
                      </c15:dlblFieldTableCache>
                    </c15:dlblFTEntry>
                  </c15:dlblFieldTable>
                  <c15:showDataLabelsRange val="0"/>
                </c:ext>
                <c:ext xmlns:c16="http://schemas.microsoft.com/office/drawing/2014/chart" uri="{C3380CC4-5D6E-409C-BE32-E72D297353CC}">
                  <c16:uniqueId val="{00000007-1C9D-4D1F-8EE5-DA446F3D759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(Energex!$R$29,Energex!$U$29)</c:f>
              <c:strCache>
                <c:ptCount val="2"/>
                <c:pt idx="0">
                  <c:v>2024-25</c:v>
                </c:pt>
                <c:pt idx="1">
                  <c:v>2025-26</c:v>
                </c:pt>
              </c:strCache>
            </c:strRef>
          </c:cat>
          <c:val>
            <c:numRef>
              <c:f>(Energex!$R$35,Energex!$W$35)</c:f>
              <c:numCache>
                <c:formatCode>#,##0.00</c:formatCode>
                <c:ptCount val="2"/>
                <c:pt idx="0">
                  <c:v>114.55289999999999</c:v>
                </c:pt>
                <c:pt idx="1">
                  <c:v>82.591929465240227</c:v>
                </c:pt>
              </c:numCache>
            </c:numRef>
          </c:val>
          <c:extLst>
            <c:ext xmlns:c16="http://schemas.microsoft.com/office/drawing/2014/chart" uri="{C3380CC4-5D6E-409C-BE32-E72D297353CC}">
              <c16:uniqueId val="{00000008-1C9D-4D1F-8EE5-DA446F3D7594}"/>
            </c:ext>
          </c:extLst>
        </c:ser>
        <c:ser>
          <c:idx val="3"/>
          <c:order val="3"/>
          <c:tx>
            <c:strRef>
              <c:f>Energex!$F$36</c:f>
              <c:strCache>
                <c:ptCount val="1"/>
                <c:pt idx="0">
                  <c:v>Retail cost</c:v>
                </c:pt>
              </c:strCache>
            </c:strRef>
          </c:tx>
          <c:spPr>
            <a:solidFill>
              <a:srgbClr val="F0B9B3"/>
            </a:solidFill>
            <a:ln>
              <a:noFill/>
            </a:ln>
            <a:effectLst/>
          </c:spPr>
          <c:invertIfNegative val="0"/>
          <c:dLbls>
            <c:dLbl>
              <c:idx val="0"/>
              <c:tx>
                <c:rich>
                  <a:bodyPr/>
                  <a:lstStyle/>
                  <a:p>
                    <a:fld id="{3360A73A-A50A-4887-86BD-D5ACEBA65ABA}"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C9D-4D1F-8EE5-DA446F3D7594}"/>
                </c:ext>
              </c:extLst>
            </c:dLbl>
            <c:dLbl>
              <c:idx val="1"/>
              <c:tx>
                <c:rich>
                  <a:bodyPr/>
                  <a:lstStyle/>
                  <a:p>
                    <a:fld id="{C9489394-C5F6-4F32-A474-93056ABFDF5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C9D-4D1F-8EE5-DA446F3D759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(Energex!$R$29,Energex!$U$29)</c:f>
              <c:strCache>
                <c:ptCount val="2"/>
                <c:pt idx="0">
                  <c:v>2024-25</c:v>
                </c:pt>
                <c:pt idx="1">
                  <c:v>2025-26</c:v>
                </c:pt>
              </c:strCache>
            </c:strRef>
          </c:cat>
          <c:val>
            <c:numRef>
              <c:f>(Energex!$R$36,Energex!$W$36)</c:f>
              <c:numCache>
                <c:formatCode>#,##0.00</c:formatCode>
                <c:ptCount val="2"/>
                <c:pt idx="0">
                  <c:v>242.45474457600002</c:v>
                </c:pt>
                <c:pt idx="1">
                  <c:v>328.20341084841237</c:v>
                </c:pt>
              </c:numCache>
            </c:numRef>
          </c:val>
          <c:extLst>
            <c:ext xmlns:c15="http://schemas.microsoft.com/office/drawing/2012/chart" uri="{02D57815-91ED-43cb-92C2-25804820EDAC}">
              <c15:datalabelsRange>
                <c15:f>(Energex!$S$36,Energex!$X$36)</c15:f>
                <c15:dlblRangeCache>
                  <c:ptCount val="2"/>
                  <c:pt idx="0">
                    <c:v>10.0%</c:v>
                  </c:pt>
                  <c:pt idx="1">
                    <c:v>13.5%</c:v>
                  </c:pt>
                </c15:dlblRangeCache>
              </c15:datalabelsRange>
            </c:ext>
            <c:ext xmlns:c16="http://schemas.microsoft.com/office/drawing/2014/chart" uri="{C3380CC4-5D6E-409C-BE32-E72D297353CC}">
              <c16:uniqueId val="{0000000B-1C9D-4D1F-8EE5-DA446F3D7594}"/>
            </c:ext>
          </c:extLst>
        </c:ser>
        <c:ser>
          <c:idx val="5"/>
          <c:order val="4"/>
          <c:tx>
            <c:strRef>
              <c:f>Energex!$F$37</c:f>
              <c:strCache>
                <c:ptCount val="1"/>
                <c:pt idx="0">
                  <c:v>Retail margin</c:v>
                </c:pt>
              </c:strCache>
            </c:strRef>
          </c:tx>
          <c:spPr>
            <a:solidFill>
              <a:srgbClr val="303F51"/>
            </a:solidFill>
            <a:ln>
              <a:noFill/>
            </a:ln>
            <a:effectLst/>
          </c:spPr>
          <c:invertIfNegative val="0"/>
          <c:dLbls>
            <c:dLbl>
              <c:idx val="0"/>
              <c:tx>
                <c:rich>
                  <a:bodyPr/>
                  <a:lstStyle/>
                  <a:p>
                    <a:fld id="{71132D76-4964-4B74-B431-EF2A183BCC5D}"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1C9D-4D1F-8EE5-DA446F3D7594}"/>
                </c:ext>
              </c:extLst>
            </c:dLbl>
            <c:dLbl>
              <c:idx val="1"/>
              <c:tx>
                <c:rich>
                  <a:bodyPr/>
                  <a:lstStyle/>
                  <a:p>
                    <a:fld id="{AD78FC3B-2138-44AB-B8E0-21F35BF6D6B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C9D-4D1F-8EE5-DA446F3D7594}"/>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(Energex!$R$37,Energex!$W$37)</c:f>
              <c:numCache>
                <c:formatCode>#,##0.00</c:formatCode>
                <c:ptCount val="2"/>
                <c:pt idx="0">
                  <c:v>144.83514004497283</c:v>
                </c:pt>
                <c:pt idx="1">
                  <c:v>145.48471626326636</c:v>
                </c:pt>
              </c:numCache>
            </c:numRef>
          </c:val>
          <c:extLst>
            <c:ext xmlns:c15="http://schemas.microsoft.com/office/drawing/2012/chart" uri="{02D57815-91ED-43cb-92C2-25804820EDAC}">
              <c15:datalabelsRange>
                <c15:f>(Energex!$S$37,Energex!$X$37)</c15:f>
                <c15:dlblRangeCache>
                  <c:ptCount val="2"/>
                  <c:pt idx="0">
                    <c:v>6.0%</c:v>
                  </c:pt>
                  <c:pt idx="1">
                    <c:v>6.0%</c:v>
                  </c:pt>
                </c15:dlblRangeCache>
              </c15:datalabelsRange>
            </c:ext>
            <c:ext xmlns:c16="http://schemas.microsoft.com/office/drawing/2014/chart" uri="{C3380CC4-5D6E-409C-BE32-E72D297353CC}">
              <c16:uniqueId val="{0000000E-1C9D-4D1F-8EE5-DA446F3D7594}"/>
            </c:ext>
          </c:extLst>
        </c:ser>
        <c:ser>
          <c:idx val="4"/>
          <c:order val="5"/>
          <c:tx>
            <c:v>DMO</c:v>
          </c:tx>
          <c:spPr>
            <a:noFill/>
            <a:ln>
              <a:noFill/>
            </a:ln>
            <a:effectLst/>
          </c:spPr>
          <c:invertIfNegative val="0"/>
          <c:dLbls>
            <c:dLbl>
              <c:idx val="1"/>
              <c:layout>
                <c:manualLayout>
                  <c:x val="-3.1804418608257909E-3"/>
                  <c:y val="0.13316884249403679"/>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93E-4B07-B461-343959D02251}"/>
                </c:ext>
              </c:extLst>
            </c:dLbl>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(Energex!$R$29,Energex!$U$29)</c:f>
              <c:strCache>
                <c:ptCount val="2"/>
                <c:pt idx="0">
                  <c:v>2024-25</c:v>
                </c:pt>
                <c:pt idx="1">
                  <c:v>2025-26</c:v>
                </c:pt>
              </c:strCache>
            </c:strRef>
          </c:cat>
          <c:val>
            <c:numRef>
              <c:f>(Energex!$Q$32,Energex!$Q$38)</c:f>
              <c:numCache>
                <c:formatCode>#,##0.00</c:formatCode>
                <c:ptCount val="2"/>
                <c:pt idx="0">
                  <c:v>2414</c:v>
                </c:pt>
                <c:pt idx="1">
                  <c:v>2425</c:v>
                </c:pt>
              </c:numCache>
            </c:numRef>
          </c:val>
          <c:extLst>
            <c:ext xmlns:c16="http://schemas.microsoft.com/office/drawing/2014/chart" uri="{C3380CC4-5D6E-409C-BE32-E72D297353CC}">
              <c16:uniqueId val="{0000000F-1C9D-4D1F-8EE5-DA446F3D7594}"/>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256"/>
        <c:crosses val="autoZero"/>
        <c:auto val="1"/>
        <c:lblAlgn val="ctr"/>
        <c:lblOffset val="100"/>
        <c:noMultiLvlLbl val="0"/>
      </c:catAx>
      <c:valAx>
        <c:axId val="228354256"/>
        <c:scaling>
          <c:orientation val="minMax"/>
          <c:max val="27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912"/>
        <c:crosses val="autoZero"/>
        <c:crossBetween val="between"/>
      </c:valAx>
      <c:spPr>
        <a:solidFill>
          <a:srgbClr val="F2F2F2"/>
        </a:solid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Energex!$C$3</c:f>
          <c:strCache>
            <c:ptCount val="1"/>
            <c:pt idx="0">
              <c:v>Energex Residential without CL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Energex!$F$33</c:f>
              <c:strCache>
                <c:ptCount val="1"/>
                <c:pt idx="0">
                  <c:v>Network cost</c:v>
                </c:pt>
              </c:strCache>
            </c:strRef>
          </c:tx>
          <c:spPr>
            <a:solidFill>
              <a:srgbClr val="89B3CE"/>
            </a:solidFill>
            <a:ln>
              <a:noFill/>
            </a:ln>
            <a:effectLst/>
          </c:spPr>
          <c:invertIfNegative val="0"/>
          <c:dLbls>
            <c:dLbl>
              <c:idx val="0"/>
              <c:tx>
                <c:strRef>
                  <c:f>Energex!$J$33</c:f>
                  <c:strCache>
                    <c:ptCount val="1"/>
                    <c:pt idx="0">
                      <c:v>37.2%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{602F4361-6303-4A99-880D-A17A3C96C6AA}</c15:txfldGUID>
                      <c15:f>Energex!$J$33</c15:f>
                      <c15:dlblFieldTableCache>
                        <c:ptCount val="1"/>
                        <c:pt idx="0">
                          <c:v>37.2%</c:v>
                        </c:pt>
                      </c15:dlblFieldTableCache>
                    </c15:dlblFTEntry>
                  </c15:dlblFieldTable>
                  <c15:showDataLabelsRange val="0"/>
                </c:ext>
                <c:ext xmlns:c16="http://schemas.microsoft.com/office/drawing/2014/chart" uri="{C3380CC4-5D6E-409C-BE32-E72D297353CC}">
                  <c16:uniqueId val="{00000000-EA84-4DF1-86A9-3D525C165E1E}"/>
                </c:ext>
              </c:extLst>
            </c:dLbl>
            <c:dLbl>
              <c:idx val="1"/>
              <c:tx>
                <c:strRef>
                  <c:f>Energex!$O$33</c:f>
                  <c:strCache>
                    <c:ptCount val="1"/>
                    <c:pt idx="0">
                      <c:v>36.3%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{C4633104-CAAD-44C6-98A2-662DB463A65E}</c15:txfldGUID>
                      <c15:f>Energex!$O$33</c15:f>
                      <c15:dlblFieldTableCache>
                        <c:ptCount val="1"/>
                        <c:pt idx="0">
                          <c:v>36.3%</c:v>
                        </c:pt>
                      </c15:dlblFieldTableCache>
                    </c15:dlblFTEntry>
                  </c15:dlblFieldTable>
                  <c15:showDataLabelsRange val="0"/>
                </c:ext>
                <c:ext xmlns:c16="http://schemas.microsoft.com/office/drawing/2014/chart" uri="{C3380CC4-5D6E-409C-BE32-E72D297353CC}">
                  <c16:uniqueId val="{00000001-EA84-4DF1-86A9-3D525C165E1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2024-25</c:v>
                </c:pt>
                <c:pt idx="1">
                  <c:v>2025-26</c:v>
                </c:pt>
              </c:strCache>
            </c:strRef>
          </c:cat>
          <c:val>
            <c:numRef>
              <c:f>(Energex!$I$33,Energex!$N$33)</c:f>
              <c:numCache>
                <c:formatCode>#,##0.00</c:formatCode>
                <c:ptCount val="2"/>
                <c:pt idx="0">
                  <c:v>767.70429999999988</c:v>
                </c:pt>
                <c:pt idx="1">
                  <c:v>778.44943700626834</c:v>
                </c:pt>
              </c:numCache>
            </c:numRef>
          </c:val>
          <c:extLst>
            <c:ext xmlns:c16="http://schemas.microsoft.com/office/drawing/2014/chart" uri="{C3380CC4-5D6E-409C-BE32-E72D297353CC}">
              <c16:uniqueId val="{00000002-EA84-4DF1-86A9-3D525C165E1E}"/>
            </c:ext>
          </c:extLst>
        </c:ser>
        <c:ser>
          <c:idx val="1"/>
          <c:order val="1"/>
          <c:tx>
            <c:strRef>
              <c:f>Energex!$F$34</c:f>
              <c:strCache>
                <c:ptCount val="1"/>
                <c:pt idx="0">
                  <c:v>Wholesale cost</c:v>
                </c:pt>
              </c:strCache>
            </c:strRef>
          </c:tx>
          <c:spPr>
            <a:solidFill>
              <a:srgbClr val="E06026"/>
            </a:solidFill>
            <a:ln>
              <a:noFill/>
            </a:ln>
            <a:effectLst/>
          </c:spPr>
          <c:invertIfNegative val="0"/>
          <c:dLbls>
            <c:dLbl>
              <c:idx val="0"/>
              <c:tx>
                <c:strRef>
                  <c:f>Energex!$J$34</c:f>
                  <c:strCache>
                    <c:ptCount val="1"/>
                    <c:pt idx="0">
                      <c:v>41.0%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{1793E8B6-40B7-4F9E-8464-81ABADBE388C}</c15:txfldGUID>
                      <c15:f>Energex!$J$34</c15:f>
                      <c15:dlblFieldTableCache>
                        <c:ptCount val="1"/>
                        <c:pt idx="0">
                          <c:v>41.0%</c:v>
                        </c:pt>
                      </c15:dlblFieldTableCache>
                    </c15:dlblFTEntry>
                  </c15:dlblFieldTable>
                  <c15:showDataLabelsRange val="0"/>
                </c:ext>
                <c:ext xmlns:c16="http://schemas.microsoft.com/office/drawing/2014/chart" uri="{C3380CC4-5D6E-409C-BE32-E72D297353CC}">
                  <c16:uniqueId val="{00000003-EA84-4DF1-86A9-3D525C165E1E}"/>
                </c:ext>
              </c:extLst>
            </c:dLbl>
            <c:dLbl>
              <c:idx val="1"/>
              <c:tx>
                <c:strRef>
                  <c:f>Energex!$O$34</c:f>
                  <c:strCache>
                    <c:ptCount val="1"/>
                    <c:pt idx="0">
                      <c:v>39.5%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{6A7E6D9E-CAE5-48A2-B551-334E8A23D2F4}</c15:txfldGUID>
                      <c15:f>Energex!$O$34</c15:f>
                      <c15:dlblFieldTableCache>
                        <c:ptCount val="1"/>
                        <c:pt idx="0">
                          <c:v>39.5%</c:v>
                        </c:pt>
                      </c15:dlblFieldTableCache>
                    </c15:dlblFTEntry>
                  </c15:dlblFieldTable>
                  <c15:showDataLabelsRange val="0"/>
                </c:ext>
                <c:ext xmlns:c16="http://schemas.microsoft.com/office/drawing/2014/chart" uri="{C3380CC4-5D6E-409C-BE32-E72D297353CC}">
                  <c16:uniqueId val="{00000004-EA84-4DF1-86A9-3D525C165E1E}"/>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2024-25</c:v>
                </c:pt>
                <c:pt idx="1">
                  <c:v>2025-26</c:v>
                </c:pt>
              </c:strCache>
            </c:strRef>
          </c:cat>
          <c:val>
            <c:numRef>
              <c:f>(Energex!$I$34,Energex!$N$34)</c:f>
              <c:numCache>
                <c:formatCode>#,##0.00</c:formatCode>
                <c:ptCount val="2"/>
                <c:pt idx="0">
                  <c:v>847.86525182857145</c:v>
                </c:pt>
                <c:pt idx="1">
                  <c:v>847.00695816791369</c:v>
                </c:pt>
              </c:numCache>
            </c:numRef>
          </c:val>
          <c:extLst>
            <c:ext xmlns:c16="http://schemas.microsoft.com/office/drawing/2014/chart" uri="{C3380CC4-5D6E-409C-BE32-E72D297353CC}">
              <c16:uniqueId val="{00000005-EA84-4DF1-86A9-3D525C165E1E}"/>
            </c:ext>
          </c:extLst>
        </c:ser>
        <c:ser>
          <c:idx val="2"/>
          <c:order val="2"/>
          <c:tx>
            <c:strRef>
              <c:f>Energex!$F$35</c:f>
              <c:strCache>
                <c:ptCount val="1"/>
                <c:pt idx="0">
                  <c:v>Environmental cost</c:v>
                </c:pt>
              </c:strCache>
            </c:strRef>
          </c:tx>
          <c:spPr>
            <a:solidFill>
              <a:srgbClr val="5F9E88"/>
            </a:solidFill>
            <a:ln>
              <a:noFill/>
            </a:ln>
            <a:effectLst/>
          </c:spPr>
          <c:invertIfNegative val="0"/>
          <c:dLbls>
            <c:dLbl>
              <c:idx val="0"/>
              <c:tx>
                <c:strRef>
                  <c:f>Energex!$J$35</c:f>
                  <c:strCache>
                    <c:ptCount val="1"/>
                    <c:pt idx="0">
                      <c:v>4.0%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{D0FF3951-255D-4385-A9FB-B41FB0F2485E}</c15:txfldGUID>
                      <c15:f>Energex!$J$35</c15:f>
                      <c15:dlblFieldTableCache>
                        <c:ptCount val="1"/>
                        <c:pt idx="0">
                          <c:v>4.0%</c:v>
                        </c:pt>
                      </c15:dlblFieldTableCache>
                    </c15:dlblFTEntry>
                  </c15:dlblFieldTable>
                  <c15:showDataLabelsRange val="0"/>
                </c:ext>
                <c:ext xmlns:c16="http://schemas.microsoft.com/office/drawing/2014/chart" uri="{C3380CC4-5D6E-409C-BE32-E72D297353CC}">
                  <c16:uniqueId val="{00000006-EA84-4DF1-86A9-3D525C165E1E}"/>
                </c:ext>
              </c:extLst>
            </c:dLbl>
            <c:dLbl>
              <c:idx val="1"/>
              <c:tx>
                <c:strRef>
                  <c:f>Energex!$O$35</c:f>
                  <c:strCache>
                    <c:ptCount val="1"/>
                    <c:pt idx="0">
                      <c:v>2.8%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{01A41B62-4592-44AE-A22B-17C14F87EA9B}</c15:txfldGUID>
                      <c15:f>Energex!$O$35</c15:f>
                      <c15:dlblFieldTableCache>
                        <c:ptCount val="1"/>
                        <c:pt idx="0">
                          <c:v>2.8%</c:v>
                        </c:pt>
                      </c15:dlblFieldTableCache>
                    </c15:dlblFTEntry>
                  </c15:dlblFieldTable>
                  <c15:showDataLabelsRange val="0"/>
                </c:ext>
                <c:ext xmlns:c16="http://schemas.microsoft.com/office/drawing/2014/chart" uri="{C3380CC4-5D6E-409C-BE32-E72D297353CC}">
                  <c16:uniqueId val="{00000007-EA84-4DF1-86A9-3D525C165E1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2024-25</c:v>
                </c:pt>
                <c:pt idx="1">
                  <c:v>2025-26</c:v>
                </c:pt>
              </c:strCache>
            </c:strRef>
          </c:cat>
          <c:val>
            <c:numRef>
              <c:f>(Energex!$I$35,Energex!$N$35)</c:f>
              <c:numCache>
                <c:formatCode>#,##0.00</c:formatCode>
                <c:ptCount val="2"/>
                <c:pt idx="0">
                  <c:v>83.641799999999989</c:v>
                </c:pt>
                <c:pt idx="1">
                  <c:v>60.305218339699216</c:v>
                </c:pt>
              </c:numCache>
            </c:numRef>
          </c:val>
          <c:extLst>
            <c:ext xmlns:c16="http://schemas.microsoft.com/office/drawing/2014/chart" uri="{C3380CC4-5D6E-409C-BE32-E72D297353CC}">
              <c16:uniqueId val="{00000008-EA84-4DF1-86A9-3D525C165E1E}"/>
            </c:ext>
          </c:extLst>
        </c:ser>
        <c:ser>
          <c:idx val="3"/>
          <c:order val="3"/>
          <c:tx>
            <c:strRef>
              <c:f>Energex!$F$36</c:f>
              <c:strCache>
                <c:ptCount val="1"/>
                <c:pt idx="0">
                  <c:v>Retail cost</c:v>
                </c:pt>
              </c:strCache>
            </c:strRef>
          </c:tx>
          <c:spPr>
            <a:solidFill>
              <a:srgbClr val="F0B9B3"/>
            </a:solidFill>
            <a:ln>
              <a:noFill/>
            </a:ln>
            <a:effectLst/>
          </c:spPr>
          <c:invertIfNegative val="0"/>
          <c:dLbls>
            <c:dLbl>
              <c:idx val="0"/>
              <c:tx>
                <c:rich>
                  <a:bodyPr/>
                  <a:lstStyle/>
                  <a:p>
                    <a:fld id="{783FA91A-FA0B-4E7B-8808-C25FCF4D6A45}"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A84-4DF1-86A9-3D525C165E1E}"/>
                </c:ext>
              </c:extLst>
            </c:dLbl>
            <c:dLbl>
              <c:idx val="1"/>
              <c:tx>
                <c:rich>
                  <a:bodyPr/>
                  <a:lstStyle/>
                  <a:p>
                    <a:fld id="{8DA4AC41-8488-48DC-B799-CDD4CB0522B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A84-4DF1-86A9-3D525C165E1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2024-25</c:v>
                </c:pt>
                <c:pt idx="1">
                  <c:v>2025-26</c:v>
                </c:pt>
              </c:strCache>
            </c:strRef>
          </c:cat>
          <c:val>
            <c:numRef>
              <c:f>(Energex!$I$36,Energex!$N$36)</c:f>
              <c:numCache>
                <c:formatCode>#,##0.00</c:formatCode>
                <c:ptCount val="2"/>
                <c:pt idx="0">
                  <c:v>242.45474457600002</c:v>
                </c:pt>
                <c:pt idx="1">
                  <c:v>328.20341084841237</c:v>
                </c:pt>
              </c:numCache>
            </c:numRef>
          </c:val>
          <c:extLst>
            <c:ext xmlns:c15="http://schemas.microsoft.com/office/drawing/2012/chart" uri="{02D57815-91ED-43cb-92C2-25804820EDAC}">
              <c15:datalabelsRange>
                <c15:f>(Energex!$J$36,Energex!$O$36)</c15:f>
                <c15:dlblRangeCache>
                  <c:ptCount val="2"/>
                  <c:pt idx="0">
                    <c:v>11.7%</c:v>
                  </c:pt>
                  <c:pt idx="1">
                    <c:v>15.3%</c:v>
                  </c:pt>
                </c15:dlblRangeCache>
              </c15:datalabelsRange>
            </c:ext>
            <c:ext xmlns:c16="http://schemas.microsoft.com/office/drawing/2014/chart" uri="{C3380CC4-5D6E-409C-BE32-E72D297353CC}">
              <c16:uniqueId val="{0000000B-EA84-4DF1-86A9-3D525C165E1E}"/>
            </c:ext>
          </c:extLst>
        </c:ser>
        <c:ser>
          <c:idx val="5"/>
          <c:order val="4"/>
          <c:tx>
            <c:strRef>
              <c:f>Energex!$F$37</c:f>
              <c:strCache>
                <c:ptCount val="1"/>
                <c:pt idx="0">
                  <c:v>Retail margin</c:v>
                </c:pt>
              </c:strCache>
            </c:strRef>
          </c:tx>
          <c:spPr>
            <a:solidFill>
              <a:srgbClr val="303F51"/>
            </a:solidFill>
            <a:ln>
              <a:noFill/>
            </a:ln>
            <a:effectLst/>
          </c:spPr>
          <c:invertIfNegative val="0"/>
          <c:dLbls>
            <c:dLbl>
              <c:idx val="0"/>
              <c:tx>
                <c:rich>
                  <a:bodyPr/>
                  <a:lstStyle/>
                  <a:p>
                    <a:fld id="{A2DBA86B-3F5B-4F46-9D62-CFB190E647BF}"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A84-4DF1-86A9-3D525C165E1E}"/>
                </c:ext>
              </c:extLst>
            </c:dLbl>
            <c:dLbl>
              <c:idx val="1"/>
              <c:tx>
                <c:rich>
                  <a:bodyPr/>
                  <a:lstStyle/>
                  <a:p>
                    <a:fld id="{8075B4BE-ADD8-4D92-A6EF-0D7E35A1271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A84-4DF1-86A9-3D525C165E1E}"/>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(Energex!$I$37,Energex!$N$37)</c:f>
              <c:numCache>
                <c:formatCode>#,##0.00</c:formatCode>
                <c:ptCount val="2"/>
                <c:pt idx="0">
                  <c:v>123.93613381305795</c:v>
                </c:pt>
                <c:pt idx="1">
                  <c:v>128.5509590018487</c:v>
                </c:pt>
              </c:numCache>
            </c:numRef>
          </c:val>
          <c:extLst>
            <c:ext xmlns:c15="http://schemas.microsoft.com/office/drawing/2012/chart" uri="{02D57815-91ED-43cb-92C2-25804820EDAC}">
              <c15:datalabelsRange>
                <c15:f>(Energex!$J$37,Energex!$O$37)</c15:f>
                <c15:dlblRangeCache>
                  <c:ptCount val="2"/>
                  <c:pt idx="0">
                    <c:v>6.0%</c:v>
                  </c:pt>
                  <c:pt idx="1">
                    <c:v>6.0%</c:v>
                  </c:pt>
                </c15:dlblRangeCache>
              </c15:datalabelsRange>
            </c:ext>
            <c:ext xmlns:c16="http://schemas.microsoft.com/office/drawing/2014/chart" uri="{C3380CC4-5D6E-409C-BE32-E72D297353CC}">
              <c16:uniqueId val="{0000000E-EA84-4DF1-86A9-3D525C165E1E}"/>
            </c:ext>
          </c:extLst>
        </c:ser>
        <c:ser>
          <c:idx val="4"/>
          <c:order val="5"/>
          <c:tx>
            <c:v>DMO</c:v>
          </c:tx>
          <c:spPr>
            <a:noFill/>
            <a:ln>
              <a:noFill/>
            </a:ln>
            <a:effectLst/>
          </c:spPr>
          <c:invertIfNegative val="0"/>
          <c:dLbls>
            <c:dLbl>
              <c:idx val="1"/>
              <c:layout>
                <c:manualLayout>
                  <c:x val="-1.0167468166583817E-2"/>
                  <c:y val="0.1381685432643395"/>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AD8-4000-A633-3D140D88F935}"/>
                </c:ext>
              </c:extLst>
            </c:dLbl>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2024-25</c:v>
                </c:pt>
                <c:pt idx="1">
                  <c:v>2025-26</c:v>
                </c:pt>
              </c:strCache>
            </c:strRef>
          </c:cat>
          <c:val>
            <c:numRef>
              <c:f>(Energex!$H$32,Energex!$H$38)</c:f>
              <c:numCache>
                <c:formatCode>#,##0.00</c:formatCode>
                <c:ptCount val="2"/>
                <c:pt idx="0">
                  <c:v>2066</c:v>
                </c:pt>
                <c:pt idx="1">
                  <c:v>2143</c:v>
                </c:pt>
              </c:numCache>
            </c:numRef>
          </c:val>
          <c:extLst>
            <c:ext xmlns:c16="http://schemas.microsoft.com/office/drawing/2014/chart" uri="{C3380CC4-5D6E-409C-BE32-E72D297353CC}">
              <c16:uniqueId val="{0000000F-EA84-4DF1-86A9-3D525C165E1E}"/>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256"/>
        <c:crosses val="autoZero"/>
        <c:auto val="1"/>
        <c:lblAlgn val="ctr"/>
        <c:lblOffset val="100"/>
        <c:noMultiLvlLbl val="0"/>
      </c:catAx>
      <c:valAx>
        <c:axId val="228354256"/>
        <c:scaling>
          <c:orientation val="minMax"/>
          <c:max val="24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912"/>
        <c:crosses val="autoZero"/>
        <c:crossBetween val="between"/>
      </c:valAx>
      <c:spPr>
        <a:solidFill>
          <a:srgbClr val="F2F2F2"/>
        </a:solid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Energex!$E$3</c:f>
          <c:strCache>
            <c:ptCount val="1"/>
            <c:pt idx="0">
              <c:v>Energex Small Business without CL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Energex!$F$33</c:f>
              <c:strCache>
                <c:ptCount val="1"/>
                <c:pt idx="0">
                  <c:v>Network cost</c:v>
                </c:pt>
              </c:strCache>
            </c:strRef>
          </c:tx>
          <c:spPr>
            <a:solidFill>
              <a:srgbClr val="89B3CE"/>
            </a:solidFill>
            <a:ln>
              <a:noFill/>
            </a:ln>
            <a:effectLst/>
          </c:spPr>
          <c:invertIfNegative val="0"/>
          <c:dLbls>
            <c:dLbl>
              <c:idx val="0"/>
              <c:tx>
                <c:strRef>
                  <c:f>Energex!$AB$33</c:f>
                  <c:strCache>
                    <c:ptCount val="1"/>
                    <c:pt idx="0">
                      <c:v>34.6%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{EB2FD443-84D2-4E04-ABDF-7CBB541EDC3D}</c15:txfldGUID>
                      <c15:f>Energex!$AB$33</c15:f>
                      <c15:dlblFieldTableCache>
                        <c:ptCount val="1"/>
                        <c:pt idx="0">
                          <c:v>34.6%</c:v>
                        </c:pt>
                      </c15:dlblFieldTableCache>
                    </c15:dlblFTEntry>
                  </c15:dlblFieldTable>
                  <c15:showDataLabelsRange val="0"/>
                </c:ext>
                <c:ext xmlns:c16="http://schemas.microsoft.com/office/drawing/2014/chart" uri="{C3380CC4-5D6E-409C-BE32-E72D297353CC}">
                  <c16:uniqueId val="{00000000-1F77-40AF-8437-BA5BFA2E9EC5}"/>
                </c:ext>
              </c:extLst>
            </c:dLbl>
            <c:dLbl>
              <c:idx val="1"/>
              <c:tx>
                <c:strRef>
                  <c:f>Energex!$AG$33</c:f>
                  <c:strCache>
                    <c:ptCount val="1"/>
                    <c:pt idx="0">
                      <c:v>35.1%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{CC287167-F477-4CE6-899F-0AC25B41FAF2}</c15:txfldGUID>
                      <c15:f>Energex!$AG$33</c15:f>
                      <c15:dlblFieldTableCache>
                        <c:ptCount val="1"/>
                        <c:pt idx="0">
                          <c:v>35.1%</c:v>
                        </c:pt>
                      </c15:dlblFieldTableCache>
                    </c15:dlblFTEntry>
                  </c15:dlblFieldTable>
                  <c15:showDataLabelsRange val="0"/>
                </c:ext>
                <c:ext xmlns:c16="http://schemas.microsoft.com/office/drawing/2014/chart" uri="{C3380CC4-5D6E-409C-BE32-E72D297353CC}">
                  <c16:uniqueId val="{00000001-1F77-40AF-8437-BA5BFA2E9EC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(Energex!$AA$29,Energex!$AD$29)</c:f>
              <c:strCache>
                <c:ptCount val="2"/>
                <c:pt idx="0">
                  <c:v>2024-25</c:v>
                </c:pt>
                <c:pt idx="1">
                  <c:v>2025-26</c:v>
                </c:pt>
              </c:strCache>
            </c:strRef>
          </c:cat>
          <c:val>
            <c:numRef>
              <c:f>(Energex!$AA$33,Energex!$AF$33)</c:f>
              <c:numCache>
                <c:formatCode>#,##0.00</c:formatCode>
                <c:ptCount val="2"/>
                <c:pt idx="0">
                  <c:v>1475.3915000000002</c:v>
                </c:pt>
                <c:pt idx="1">
                  <c:v>1506.3711370062686</c:v>
                </c:pt>
              </c:numCache>
            </c:numRef>
          </c:val>
          <c:extLst>
            <c:ext xmlns:c16="http://schemas.microsoft.com/office/drawing/2014/chart" uri="{C3380CC4-5D6E-409C-BE32-E72D297353CC}">
              <c16:uniqueId val="{00000002-1F77-40AF-8437-BA5BFA2E9EC5}"/>
            </c:ext>
          </c:extLst>
        </c:ser>
        <c:ser>
          <c:idx val="1"/>
          <c:order val="1"/>
          <c:tx>
            <c:strRef>
              <c:f>Energex!$F$34</c:f>
              <c:strCache>
                <c:ptCount val="1"/>
                <c:pt idx="0">
                  <c:v>Wholesale cost</c:v>
                </c:pt>
              </c:strCache>
            </c:strRef>
          </c:tx>
          <c:spPr>
            <a:solidFill>
              <a:srgbClr val="E06026"/>
            </a:solidFill>
            <a:ln>
              <a:noFill/>
            </a:ln>
            <a:effectLst/>
          </c:spPr>
          <c:invertIfNegative val="0"/>
          <c:dLbls>
            <c:dLbl>
              <c:idx val="0"/>
              <c:tx>
                <c:strRef>
                  <c:f>Energex!$AB$34</c:f>
                  <c:strCache>
                    <c:ptCount val="1"/>
                    <c:pt idx="0">
                      <c:v>42.9%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{3B2BC264-A2BE-4D7B-9EEB-B44671390284}</c15:txfldGUID>
                      <c15:f>Energex!$AB$34</c15:f>
                      <c15:dlblFieldTableCache>
                        <c:ptCount val="1"/>
                        <c:pt idx="0">
                          <c:v>42.9%</c:v>
                        </c:pt>
                      </c15:dlblFieldTableCache>
                    </c15:dlblFTEntry>
                  </c15:dlblFieldTable>
                  <c15:showDataLabelsRange val="0"/>
                </c:ext>
                <c:ext xmlns:c16="http://schemas.microsoft.com/office/drawing/2014/chart" uri="{C3380CC4-5D6E-409C-BE32-E72D297353CC}">
                  <c16:uniqueId val="{00000003-1F77-40AF-8437-BA5BFA2E9EC5}"/>
                </c:ext>
              </c:extLst>
            </c:dLbl>
            <c:dLbl>
              <c:idx val="1"/>
              <c:tx>
                <c:strRef>
                  <c:f>Energex!$AG$34</c:f>
                  <c:strCache>
                    <c:ptCount val="1"/>
                    <c:pt idx="0">
                      <c:v>42.5%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{70F86BB5-7341-4A78-928E-6F6F51EAFEC9}</c15:txfldGUID>
                      <c15:f>Energex!$AG$34</c15:f>
                      <c15:dlblFieldTableCache>
                        <c:ptCount val="1"/>
                        <c:pt idx="0">
                          <c:v>42.5%</c:v>
                        </c:pt>
                      </c15:dlblFieldTableCache>
                    </c15:dlblFTEntry>
                  </c15:dlblFieldTable>
                  <c15:showDataLabelsRange val="0"/>
                </c:ext>
                <c:ext xmlns:c16="http://schemas.microsoft.com/office/drawing/2014/chart" uri="{C3380CC4-5D6E-409C-BE32-E72D297353CC}">
                  <c16:uniqueId val="{00000004-1F77-40AF-8437-BA5BFA2E9EC5}"/>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(Energex!$AA$29,Energex!$AD$29)</c:f>
              <c:strCache>
                <c:ptCount val="2"/>
                <c:pt idx="0">
                  <c:v>2024-25</c:v>
                </c:pt>
                <c:pt idx="1">
                  <c:v>2025-26</c:v>
                </c:pt>
              </c:strCache>
            </c:strRef>
          </c:cat>
          <c:val>
            <c:numRef>
              <c:f>(Energex!$AA$34,Energex!$AF$34)</c:f>
              <c:numCache>
                <c:formatCode>#,##0.00</c:formatCode>
                <c:ptCount val="2"/>
                <c:pt idx="0">
                  <c:v>1827.8113464285716</c:v>
                </c:pt>
                <c:pt idx="1">
                  <c:v>1823.4539633739605</c:v>
                </c:pt>
              </c:numCache>
            </c:numRef>
          </c:val>
          <c:extLst>
            <c:ext xmlns:c16="http://schemas.microsoft.com/office/drawing/2014/chart" uri="{C3380CC4-5D6E-409C-BE32-E72D297353CC}">
              <c16:uniqueId val="{00000005-1F77-40AF-8437-BA5BFA2E9EC5}"/>
            </c:ext>
          </c:extLst>
        </c:ser>
        <c:ser>
          <c:idx val="2"/>
          <c:order val="2"/>
          <c:tx>
            <c:strRef>
              <c:f>Energex!$F$35</c:f>
              <c:strCache>
                <c:ptCount val="1"/>
                <c:pt idx="0">
                  <c:v>Environmental cost</c:v>
                </c:pt>
              </c:strCache>
            </c:strRef>
          </c:tx>
          <c:spPr>
            <a:solidFill>
              <a:srgbClr val="5F9E88"/>
            </a:solidFill>
            <a:ln>
              <a:noFill/>
            </a:ln>
            <a:effectLst/>
          </c:spPr>
          <c:invertIfNegative val="0"/>
          <c:dLbls>
            <c:dLbl>
              <c:idx val="0"/>
              <c:tx>
                <c:strRef>
                  <c:f>Energex!$AB$35</c:f>
                  <c:strCache>
                    <c:ptCount val="1"/>
                    <c:pt idx="0">
                      <c:v>4.3%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{95D844A1-58E8-4DE7-AF6A-C3718C869E3B}</c15:txfldGUID>
                      <c15:f>Energex!$AB$35</c15:f>
                      <c15:dlblFieldTableCache>
                        <c:ptCount val="1"/>
                        <c:pt idx="0">
                          <c:v>4.3%</c:v>
                        </c:pt>
                      </c15:dlblFieldTableCache>
                    </c15:dlblFTEntry>
                  </c15:dlblFieldTable>
                  <c15:showDataLabelsRange val="0"/>
                </c:ext>
                <c:ext xmlns:c16="http://schemas.microsoft.com/office/drawing/2014/chart" uri="{C3380CC4-5D6E-409C-BE32-E72D297353CC}">
                  <c16:uniqueId val="{00000006-1F77-40AF-8437-BA5BFA2E9EC5}"/>
                </c:ext>
              </c:extLst>
            </c:dLbl>
            <c:dLbl>
              <c:idx val="1"/>
              <c:tx>
                <c:strRef>
                  <c:f>Energex!$AG$35</c:f>
                  <c:strCache>
                    <c:ptCount val="1"/>
                    <c:pt idx="0">
                      <c:v>3.1%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{F0B2CD9E-ADA8-4821-B8CB-9005F6FAA998}</c15:txfldGUID>
                      <c15:f>Energex!$AG$35</c15:f>
                      <c15:dlblFieldTableCache>
                        <c:ptCount val="1"/>
                        <c:pt idx="0">
                          <c:v>3.1%</c:v>
                        </c:pt>
                      </c15:dlblFieldTableCache>
                    </c15:dlblFTEntry>
                  </c15:dlblFieldTable>
                  <c15:showDataLabelsRange val="0"/>
                </c:ext>
                <c:ext xmlns:c16="http://schemas.microsoft.com/office/drawing/2014/chart" uri="{C3380CC4-5D6E-409C-BE32-E72D297353CC}">
                  <c16:uniqueId val="{00000007-1F77-40AF-8437-BA5BFA2E9EC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(Energex!$AA$29,Energex!$AD$29)</c:f>
              <c:strCache>
                <c:ptCount val="2"/>
                <c:pt idx="0">
                  <c:v>2024-25</c:v>
                </c:pt>
                <c:pt idx="1">
                  <c:v>2025-26</c:v>
                </c:pt>
              </c:strCache>
            </c:strRef>
          </c:cat>
          <c:val>
            <c:numRef>
              <c:f>(Energex!$AA$35,Energex!$AF$35)</c:f>
              <c:numCache>
                <c:formatCode>#,##0.00</c:formatCode>
                <c:ptCount val="2"/>
                <c:pt idx="0">
                  <c:v>181.83</c:v>
                </c:pt>
                <c:pt idx="1">
                  <c:v>131.09830073847655</c:v>
                </c:pt>
              </c:numCache>
            </c:numRef>
          </c:val>
          <c:extLst>
            <c:ext xmlns:c16="http://schemas.microsoft.com/office/drawing/2014/chart" uri="{C3380CC4-5D6E-409C-BE32-E72D297353CC}">
              <c16:uniqueId val="{00000008-1F77-40AF-8437-BA5BFA2E9EC5}"/>
            </c:ext>
          </c:extLst>
        </c:ser>
        <c:ser>
          <c:idx val="3"/>
          <c:order val="3"/>
          <c:tx>
            <c:strRef>
              <c:f>Energex!$F$36</c:f>
              <c:strCache>
                <c:ptCount val="1"/>
                <c:pt idx="0">
                  <c:v>Retail cost</c:v>
                </c:pt>
              </c:strCache>
            </c:strRef>
          </c:tx>
          <c:spPr>
            <a:solidFill>
              <a:srgbClr val="F0B9B3"/>
            </a:solidFill>
            <a:ln>
              <a:noFill/>
            </a:ln>
            <a:effectLst/>
          </c:spPr>
          <c:invertIfNegative val="0"/>
          <c:dLbls>
            <c:dLbl>
              <c:idx val="0"/>
              <c:tx>
                <c:rich>
                  <a:bodyPr/>
                  <a:lstStyle/>
                  <a:p>
                    <a:fld id="{FDB96A32-0768-4684-B3B8-66B7CB2D4FF6}"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F77-40AF-8437-BA5BFA2E9EC5}"/>
                </c:ext>
              </c:extLst>
            </c:dLbl>
            <c:dLbl>
              <c:idx val="1"/>
              <c:tx>
                <c:rich>
                  <a:bodyPr/>
                  <a:lstStyle/>
                  <a:p>
                    <a:fld id="{96738AE9-FC5F-4CA3-8CF7-3F6E8D63D3D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F77-40AF-8437-BA5BFA2E9EC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(Energex!$AA$29,Energex!$AD$29)</c:f>
              <c:strCache>
                <c:ptCount val="2"/>
                <c:pt idx="0">
                  <c:v>2024-25</c:v>
                </c:pt>
                <c:pt idx="1">
                  <c:v>2025-26</c:v>
                </c:pt>
              </c:strCache>
            </c:strRef>
          </c:cat>
          <c:val>
            <c:numRef>
              <c:f>(Energex!$AA$36,Energex!$AF$36)</c:f>
              <c:numCache>
                <c:formatCode>#,##0.00</c:formatCode>
                <c:ptCount val="2"/>
                <c:pt idx="0">
                  <c:v>306.96872817600007</c:v>
                </c:pt>
                <c:pt idx="1">
                  <c:v>360.65874430137626</c:v>
                </c:pt>
              </c:numCache>
            </c:numRef>
          </c:val>
          <c:extLst>
            <c:ext xmlns:c15="http://schemas.microsoft.com/office/drawing/2012/chart" uri="{02D57815-91ED-43cb-92C2-25804820EDAC}">
              <c15:datalabelsRange>
                <c15:f>(Energex!$AB$36,Energex!$AG$36)</c15:f>
                <c15:dlblRangeCache>
                  <c:ptCount val="2"/>
                  <c:pt idx="0">
                    <c:v>7.2%</c:v>
                  </c:pt>
                  <c:pt idx="1">
                    <c:v>8.4%</c:v>
                  </c:pt>
                </c15:dlblRangeCache>
              </c15:datalabelsRange>
            </c:ext>
            <c:ext xmlns:c16="http://schemas.microsoft.com/office/drawing/2014/chart" uri="{C3380CC4-5D6E-409C-BE32-E72D297353CC}">
              <c16:uniqueId val="{0000000B-1F77-40AF-8437-BA5BFA2E9EC5}"/>
            </c:ext>
          </c:extLst>
        </c:ser>
        <c:ser>
          <c:idx val="5"/>
          <c:order val="4"/>
          <c:tx>
            <c:strRef>
              <c:f>Energex!$F$37</c:f>
              <c:strCache>
                <c:ptCount val="1"/>
                <c:pt idx="0">
                  <c:v>Retail margin</c:v>
                </c:pt>
              </c:strCache>
            </c:strRef>
          </c:tx>
          <c:spPr>
            <a:solidFill>
              <a:srgbClr val="303F51"/>
            </a:solidFill>
            <a:ln>
              <a:noFill/>
            </a:ln>
            <a:effectLst/>
          </c:spPr>
          <c:invertIfNegative val="0"/>
          <c:dLbls>
            <c:dLbl>
              <c:idx val="0"/>
              <c:tx>
                <c:rich>
                  <a:bodyPr/>
                  <a:lstStyle/>
                  <a:p>
                    <a:fld id="{CD489BEC-3008-4965-8694-4FCEBE2537EC}"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1F77-40AF-8437-BA5BFA2E9EC5}"/>
                </c:ext>
              </c:extLst>
            </c:dLbl>
            <c:dLbl>
              <c:idx val="1"/>
              <c:tx>
                <c:rich>
                  <a:bodyPr/>
                  <a:lstStyle/>
                  <a:p>
                    <a:fld id="{8E101196-7A8A-49F3-B6A2-09306735E4B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F77-40AF-8437-BA5BFA2E9EC5}"/>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(Energex!$AA$37,Energex!$AF$37)</c:f>
              <c:numCache>
                <c:formatCode>#,##0.00</c:formatCode>
                <c:ptCount val="2"/>
                <c:pt idx="0">
                  <c:v>468.67435191741879</c:v>
                </c:pt>
                <c:pt idx="1">
                  <c:v>472.33037752383052</c:v>
                </c:pt>
              </c:numCache>
            </c:numRef>
          </c:val>
          <c:extLst>
            <c:ext xmlns:c15="http://schemas.microsoft.com/office/drawing/2012/chart" uri="{02D57815-91ED-43cb-92C2-25804820EDAC}">
              <c15:datalabelsRange>
                <c15:f>(Energex!$AB$37,Energex!$AG$37)</c15:f>
                <c15:dlblRangeCache>
                  <c:ptCount val="2"/>
                  <c:pt idx="0">
                    <c:v>11.0%</c:v>
                  </c:pt>
                  <c:pt idx="1">
                    <c:v>11.0%</c:v>
                  </c:pt>
                </c15:dlblRangeCache>
              </c15:datalabelsRange>
            </c:ext>
            <c:ext xmlns:c16="http://schemas.microsoft.com/office/drawing/2014/chart" uri="{C3380CC4-5D6E-409C-BE32-E72D297353CC}">
              <c16:uniqueId val="{0000000E-1F77-40AF-8437-BA5BFA2E9EC5}"/>
            </c:ext>
          </c:extLst>
        </c:ser>
        <c:ser>
          <c:idx val="4"/>
          <c:order val="5"/>
          <c:tx>
            <c:v>DMO</c:v>
          </c:tx>
          <c:spPr>
            <a:noFill/>
            <a:ln>
              <a:noFill/>
            </a:ln>
            <a:effectLst/>
          </c:spPr>
          <c:invertIfNegative val="0"/>
          <c:dLbls>
            <c:dLbl>
              <c:idx val="1"/>
              <c:layout>
                <c:manualLayout>
                  <c:x val="-3.3441543491274117E-3"/>
                  <c:y val="0.14973830225619189"/>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0FA-446C-AB9A-7ABEA73C0FE8}"/>
                </c:ext>
              </c:extLst>
            </c:dLbl>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(Energex!$AA$29,Energex!$AD$29)</c:f>
              <c:strCache>
                <c:ptCount val="2"/>
                <c:pt idx="0">
                  <c:v>2024-25</c:v>
                </c:pt>
                <c:pt idx="1">
                  <c:v>2025-26</c:v>
                </c:pt>
              </c:strCache>
            </c:strRef>
          </c:cat>
          <c:val>
            <c:numRef>
              <c:f>(Energex!$Z$32,Energex!$Z$38)</c:f>
              <c:numCache>
                <c:formatCode>#,##0.00</c:formatCode>
                <c:ptCount val="2"/>
                <c:pt idx="0">
                  <c:v>4261</c:v>
                </c:pt>
                <c:pt idx="1">
                  <c:v>4294</c:v>
                </c:pt>
              </c:numCache>
            </c:numRef>
          </c:val>
          <c:extLst>
            <c:ext xmlns:c16="http://schemas.microsoft.com/office/drawing/2014/chart" uri="{C3380CC4-5D6E-409C-BE32-E72D297353CC}">
              <c16:uniqueId val="{0000000F-1F77-40AF-8437-BA5BFA2E9EC5}"/>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256"/>
        <c:crosses val="autoZero"/>
        <c:auto val="1"/>
        <c:lblAlgn val="ctr"/>
        <c:lblOffset val="100"/>
        <c:noMultiLvlLbl val="0"/>
      </c:catAx>
      <c:valAx>
        <c:axId val="228354256"/>
        <c:scaling>
          <c:orientation val="minMax"/>
          <c:max val="48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912"/>
        <c:crosses val="autoZero"/>
        <c:crossBetween val="between"/>
      </c:valAx>
      <c:spPr>
        <a:solidFill>
          <a:srgbClr val="F2F2F2"/>
        </a:solid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SAPN!$D$3</c:f>
          <c:strCache>
            <c:ptCount val="1"/>
            <c:pt idx="0">
              <c:v>SAPN Residential with CL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SAPN!$F$33</c:f>
              <c:strCache>
                <c:ptCount val="1"/>
                <c:pt idx="0">
                  <c:v>Network cost</c:v>
                </c:pt>
              </c:strCache>
            </c:strRef>
          </c:tx>
          <c:spPr>
            <a:solidFill>
              <a:srgbClr val="89B3CE"/>
            </a:solidFill>
            <a:ln>
              <a:noFill/>
            </a:ln>
            <a:effectLst/>
          </c:spPr>
          <c:invertIfNegative val="0"/>
          <c:dLbls>
            <c:dLbl>
              <c:idx val="0"/>
              <c:tx>
                <c:strRef>
                  <c:f>SAPN!$S$33</c:f>
                  <c:strCache>
                    <c:ptCount val="1"/>
                    <c:pt idx="0">
                      <c:v>40.0%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{103F1CBC-B59C-4965-8CEB-71C0C7ADF1EE}</c15:txfldGUID>
                      <c15:f>SAPN!$S$33</c15:f>
                      <c15:dlblFieldTableCache>
                        <c:ptCount val="1"/>
                        <c:pt idx="0">
                          <c:v>40.0%</c:v>
                        </c:pt>
                      </c15:dlblFieldTableCache>
                    </c15:dlblFTEntry>
                  </c15:dlblFieldTable>
                  <c15:showDataLabelsRange val="0"/>
                </c:ext>
                <c:ext xmlns:c16="http://schemas.microsoft.com/office/drawing/2014/chart" uri="{C3380CC4-5D6E-409C-BE32-E72D297353CC}">
                  <c16:uniqueId val="{00000000-90EB-41BD-8EC4-3BAD3480799F}"/>
                </c:ext>
              </c:extLst>
            </c:dLbl>
            <c:dLbl>
              <c:idx val="1"/>
              <c:tx>
                <c:strRef>
                  <c:f>SAPN!$X$33</c:f>
                  <c:strCache>
                    <c:ptCount val="1"/>
                    <c:pt idx="0">
                      <c:v>38.0%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{4ECE493F-AF4D-4C04-A2DB-AA99C7B459F7}</c15:txfldGUID>
                      <c15:f>SAPN!$X$33</c15:f>
                      <c15:dlblFieldTableCache>
                        <c:ptCount val="1"/>
                        <c:pt idx="0">
                          <c:v>38.0%</c:v>
                        </c:pt>
                      </c15:dlblFieldTableCache>
                    </c15:dlblFTEntry>
                  </c15:dlblFieldTable>
                  <c15:showDataLabelsRange val="0"/>
                </c:ext>
                <c:ext xmlns:c16="http://schemas.microsoft.com/office/drawing/2014/chart" uri="{C3380CC4-5D6E-409C-BE32-E72D297353CC}">
                  <c16:uniqueId val="{00000001-90EB-41BD-8EC4-3BAD3480799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(SAPN!$R$29,SAPN!$U$29)</c:f>
              <c:strCache>
                <c:ptCount val="2"/>
                <c:pt idx="0">
                  <c:v>2024-25</c:v>
                </c:pt>
                <c:pt idx="1">
                  <c:v>2025-26</c:v>
                </c:pt>
              </c:strCache>
            </c:strRef>
          </c:cat>
          <c:val>
            <c:numRef>
              <c:f>(SAPN!$R$33,SAPN!$W$33)</c:f>
              <c:numCache>
                <c:formatCode>#,##0.00</c:formatCode>
                <c:ptCount val="2"/>
                <c:pt idx="0">
                  <c:v>1105.11995</c:v>
                </c:pt>
                <c:pt idx="1">
                  <c:v>1072.6613939981705</c:v>
                </c:pt>
              </c:numCache>
            </c:numRef>
          </c:val>
          <c:extLst>
            <c:ext xmlns:c16="http://schemas.microsoft.com/office/drawing/2014/chart" uri="{C3380CC4-5D6E-409C-BE32-E72D297353CC}">
              <c16:uniqueId val="{00000002-90EB-41BD-8EC4-3BAD3480799F}"/>
            </c:ext>
          </c:extLst>
        </c:ser>
        <c:ser>
          <c:idx val="1"/>
          <c:order val="1"/>
          <c:tx>
            <c:strRef>
              <c:f>SAPN!$F$34</c:f>
              <c:strCache>
                <c:ptCount val="1"/>
                <c:pt idx="0">
                  <c:v>Wholesale cost</c:v>
                </c:pt>
              </c:strCache>
            </c:strRef>
          </c:tx>
          <c:spPr>
            <a:solidFill>
              <a:srgbClr val="E06026"/>
            </a:solidFill>
            <a:ln>
              <a:noFill/>
            </a:ln>
            <a:effectLst/>
          </c:spPr>
          <c:invertIfNegative val="0"/>
          <c:dLbls>
            <c:dLbl>
              <c:idx val="0"/>
              <c:tx>
                <c:strRef>
                  <c:f>SAPN!$S$34</c:f>
                  <c:strCache>
                    <c:ptCount val="1"/>
                    <c:pt idx="0">
                      <c:v>38.8%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{3BADEF9E-A3B0-429E-B9D2-DEB6FE6A5CB2}</c15:txfldGUID>
                      <c15:f>SAPN!$S$34</c15:f>
                      <c15:dlblFieldTableCache>
                        <c:ptCount val="1"/>
                        <c:pt idx="0">
                          <c:v>38.8%</c:v>
                        </c:pt>
                      </c15:dlblFieldTableCache>
                    </c15:dlblFTEntry>
                  </c15:dlblFieldTable>
                  <c15:showDataLabelsRange val="0"/>
                </c:ext>
                <c:ext xmlns:c16="http://schemas.microsoft.com/office/drawing/2014/chart" uri="{C3380CC4-5D6E-409C-BE32-E72D297353CC}">
                  <c16:uniqueId val="{00000003-90EB-41BD-8EC4-3BAD3480799F}"/>
                </c:ext>
              </c:extLst>
            </c:dLbl>
            <c:dLbl>
              <c:idx val="1"/>
              <c:tx>
                <c:strRef>
                  <c:f>SAPN!$X$34</c:f>
                  <c:strCache>
                    <c:ptCount val="1"/>
                    <c:pt idx="0">
                      <c:v>40.3%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{D1CF25F2-B485-46A0-B477-2A9476382A04}</c15:txfldGUID>
                      <c15:f>SAPN!$X$34</c15:f>
                      <c15:dlblFieldTableCache>
                        <c:ptCount val="1"/>
                        <c:pt idx="0">
                          <c:v>40.3%</c:v>
                        </c:pt>
                      </c15:dlblFieldTableCache>
                    </c15:dlblFTEntry>
                  </c15:dlblFieldTable>
                  <c15:showDataLabelsRange val="0"/>
                </c:ext>
                <c:ext xmlns:c16="http://schemas.microsoft.com/office/drawing/2014/chart" uri="{C3380CC4-5D6E-409C-BE32-E72D297353CC}">
                  <c16:uniqueId val="{00000004-90EB-41BD-8EC4-3BAD3480799F}"/>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(SAPN!$R$29,SAPN!$U$29)</c:f>
              <c:strCache>
                <c:ptCount val="2"/>
                <c:pt idx="0">
                  <c:v>2024-25</c:v>
                </c:pt>
                <c:pt idx="1">
                  <c:v>2025-26</c:v>
                </c:pt>
              </c:strCache>
            </c:strRef>
          </c:cat>
          <c:val>
            <c:numRef>
              <c:f>(SAPN!$R$34,SAPN!$W$34)</c:f>
              <c:numCache>
                <c:formatCode>#,##0.00</c:formatCode>
                <c:ptCount val="2"/>
                <c:pt idx="0">
                  <c:v>1072.0471504285711</c:v>
                </c:pt>
                <c:pt idx="1">
                  <c:v>1138.9607300597761</c:v>
                </c:pt>
              </c:numCache>
            </c:numRef>
          </c:val>
          <c:extLst>
            <c:ext xmlns:c16="http://schemas.microsoft.com/office/drawing/2014/chart" uri="{C3380CC4-5D6E-409C-BE32-E72D297353CC}">
              <c16:uniqueId val="{00000005-90EB-41BD-8EC4-3BAD3480799F}"/>
            </c:ext>
          </c:extLst>
        </c:ser>
        <c:ser>
          <c:idx val="2"/>
          <c:order val="2"/>
          <c:tx>
            <c:strRef>
              <c:f>SAPN!$F$35</c:f>
              <c:strCache>
                <c:ptCount val="1"/>
                <c:pt idx="0">
                  <c:v>Environmental cost</c:v>
                </c:pt>
              </c:strCache>
            </c:strRef>
          </c:tx>
          <c:spPr>
            <a:solidFill>
              <a:srgbClr val="5F9E88"/>
            </a:solidFill>
            <a:ln>
              <a:noFill/>
            </a:ln>
            <a:effectLst/>
          </c:spPr>
          <c:invertIfNegative val="0"/>
          <c:dLbls>
            <c:dLbl>
              <c:idx val="0"/>
              <c:tx>
                <c:strRef>
                  <c:f>SAPN!$S$35</c:f>
                  <c:strCache>
                    <c:ptCount val="1"/>
                    <c:pt idx="0">
                      <c:v>5.3%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{A1AE6DC1-2713-47A8-8AF6-BD091030C248}</c15:txfldGUID>
                      <c15:f>SAPN!$S$35</c15:f>
                      <c15:dlblFieldTableCache>
                        <c:ptCount val="1"/>
                        <c:pt idx="0">
                          <c:v>5.3%</c:v>
                        </c:pt>
                      </c15:dlblFieldTableCache>
                    </c15:dlblFTEntry>
                  </c15:dlblFieldTable>
                  <c15:showDataLabelsRange val="0"/>
                </c:ext>
                <c:ext xmlns:c16="http://schemas.microsoft.com/office/drawing/2014/chart" uri="{C3380CC4-5D6E-409C-BE32-E72D297353CC}">
                  <c16:uniqueId val="{00000006-90EB-41BD-8EC4-3BAD3480799F}"/>
                </c:ext>
              </c:extLst>
            </c:dLbl>
            <c:dLbl>
              <c:idx val="1"/>
              <c:tx>
                <c:strRef>
                  <c:f>SAPN!$X$35</c:f>
                  <c:strCache>
                    <c:ptCount val="1"/>
                    <c:pt idx="0">
                      <c:v>3.8%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{D7A27E15-61ED-4733-8547-C45992D9D61F}</c15:txfldGUID>
                      <c15:f>SAPN!$X$35</c15:f>
                      <c15:dlblFieldTableCache>
                        <c:ptCount val="1"/>
                        <c:pt idx="0">
                          <c:v>3.8%</c:v>
                        </c:pt>
                      </c15:dlblFieldTableCache>
                    </c15:dlblFTEntry>
                  </c15:dlblFieldTable>
                  <c15:showDataLabelsRange val="0"/>
                </c:ext>
                <c:ext xmlns:c16="http://schemas.microsoft.com/office/drawing/2014/chart" uri="{C3380CC4-5D6E-409C-BE32-E72D297353CC}">
                  <c16:uniqueId val="{00000007-90EB-41BD-8EC4-3BAD3480799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(SAPN!$R$29,SAPN!$U$29)</c:f>
              <c:strCache>
                <c:ptCount val="2"/>
                <c:pt idx="0">
                  <c:v>2024-25</c:v>
                </c:pt>
                <c:pt idx="1">
                  <c:v>2025-26</c:v>
                </c:pt>
              </c:strCache>
            </c:strRef>
          </c:cat>
          <c:val>
            <c:numRef>
              <c:f>(SAPN!$R$35,SAPN!$W$35)</c:f>
              <c:numCache>
                <c:formatCode>#,##0.00</c:formatCode>
                <c:ptCount val="2"/>
                <c:pt idx="0">
                  <c:v>146.256</c:v>
                </c:pt>
                <c:pt idx="1">
                  <c:v>108.37016355685483</c:v>
                </c:pt>
              </c:numCache>
            </c:numRef>
          </c:val>
          <c:extLst>
            <c:ext xmlns:c16="http://schemas.microsoft.com/office/drawing/2014/chart" uri="{C3380CC4-5D6E-409C-BE32-E72D297353CC}">
              <c16:uniqueId val="{00000008-90EB-41BD-8EC4-3BAD3480799F}"/>
            </c:ext>
          </c:extLst>
        </c:ser>
        <c:ser>
          <c:idx val="3"/>
          <c:order val="3"/>
          <c:tx>
            <c:strRef>
              <c:f>SAPN!$F$36</c:f>
              <c:strCache>
                <c:ptCount val="1"/>
                <c:pt idx="0">
                  <c:v>Retail cost</c:v>
                </c:pt>
              </c:strCache>
            </c:strRef>
          </c:tx>
          <c:spPr>
            <a:solidFill>
              <a:srgbClr val="F0B9B3"/>
            </a:solidFill>
            <a:ln>
              <a:noFill/>
            </a:ln>
            <a:effectLst/>
          </c:spPr>
          <c:invertIfNegative val="0"/>
          <c:dLbls>
            <c:dLbl>
              <c:idx val="0"/>
              <c:tx>
                <c:rich>
                  <a:bodyPr/>
                  <a:lstStyle/>
                  <a:p>
                    <a:fld id="{E054093B-D333-4153-A08D-8DE4C5DDE496}"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0EB-41BD-8EC4-3BAD3480799F}"/>
                </c:ext>
              </c:extLst>
            </c:dLbl>
            <c:dLbl>
              <c:idx val="1"/>
              <c:tx>
                <c:rich>
                  <a:bodyPr/>
                  <a:lstStyle/>
                  <a:p>
                    <a:fld id="{45684F2E-ABE7-4996-ABB5-97CCB7348B9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0EB-41BD-8EC4-3BAD3480799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(SAPN!$R$29,SAPN!$U$29)</c:f>
              <c:strCache>
                <c:ptCount val="2"/>
                <c:pt idx="0">
                  <c:v>2024-25</c:v>
                </c:pt>
                <c:pt idx="1">
                  <c:v>2025-26</c:v>
                </c:pt>
              </c:strCache>
            </c:strRef>
          </c:cat>
          <c:val>
            <c:numRef>
              <c:f>(SAPN!$R$36,SAPN!$W$36)</c:f>
              <c:numCache>
                <c:formatCode>#,##0.00</c:formatCode>
                <c:ptCount val="2"/>
                <c:pt idx="0">
                  <c:v>270.60522984000005</c:v>
                </c:pt>
                <c:pt idx="1">
                  <c:v>334.4739968776168</c:v>
                </c:pt>
              </c:numCache>
            </c:numRef>
          </c:val>
          <c:extLst>
            <c:ext xmlns:c15="http://schemas.microsoft.com/office/drawing/2012/chart" uri="{02D57815-91ED-43cb-92C2-25804820EDAC}">
              <c15:datalabelsRange>
                <c15:f>(SAPN!$S$36,SAPN!$X$36)</c15:f>
                <c15:dlblRangeCache>
                  <c:ptCount val="2"/>
                  <c:pt idx="0">
                    <c:v>9.8%</c:v>
                  </c:pt>
                  <c:pt idx="1">
                    <c:v>11.8%</c:v>
                  </c:pt>
                </c15:dlblRangeCache>
              </c15:datalabelsRange>
            </c:ext>
            <c:ext xmlns:c16="http://schemas.microsoft.com/office/drawing/2014/chart" uri="{C3380CC4-5D6E-409C-BE32-E72D297353CC}">
              <c16:uniqueId val="{0000000B-90EB-41BD-8EC4-3BAD3480799F}"/>
            </c:ext>
          </c:extLst>
        </c:ser>
        <c:ser>
          <c:idx val="5"/>
          <c:order val="4"/>
          <c:tx>
            <c:strRef>
              <c:f>SAPN!$F$37</c:f>
              <c:strCache>
                <c:ptCount val="1"/>
                <c:pt idx="0">
                  <c:v>Retail margin</c:v>
                </c:pt>
              </c:strCache>
            </c:strRef>
          </c:tx>
          <c:spPr>
            <a:solidFill>
              <a:srgbClr val="303F51"/>
            </a:solidFill>
            <a:ln>
              <a:noFill/>
            </a:ln>
            <a:effectLst/>
          </c:spPr>
          <c:invertIfNegative val="0"/>
          <c:dLbls>
            <c:dLbl>
              <c:idx val="0"/>
              <c:tx>
                <c:rich>
                  <a:bodyPr/>
                  <a:lstStyle/>
                  <a:p>
                    <a:fld id="{055BF215-7BA3-4E16-B7EA-60FF22D9C004}"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0EB-41BD-8EC4-3BAD3480799F}"/>
                </c:ext>
              </c:extLst>
            </c:dLbl>
            <c:dLbl>
              <c:idx val="1"/>
              <c:layout>
                <c:manualLayout>
                  <c:x val="-8.4377501081803203E-17"/>
                  <c:y val="4.3431053203040176E-3"/>
                </c:manualLayout>
              </c:layout>
              <c:tx>
                <c:rich>
                  <a:bodyPr/>
                  <a:lstStyle/>
                  <a:p>
                    <a:fld id="{983D1191-3B66-42D5-BE42-10928B79390A}"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0EB-41BD-8EC4-3BAD3480799F}"/>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(SAPN!$R$37,SAPN!$W$37)</c:f>
              <c:numCache>
                <c:formatCode>#,##0.00</c:formatCode>
                <c:ptCount val="2"/>
                <c:pt idx="0">
                  <c:v>165.57627640012151</c:v>
                </c:pt>
                <c:pt idx="1">
                  <c:v>169.43401815909056</c:v>
                </c:pt>
              </c:numCache>
            </c:numRef>
          </c:val>
          <c:extLst>
            <c:ext xmlns:c15="http://schemas.microsoft.com/office/drawing/2012/chart" uri="{02D57815-91ED-43cb-92C2-25804820EDAC}">
              <c15:datalabelsRange>
                <c15:f>(SAPN!$S$37,SAPN!$X$37)</c15:f>
                <c15:dlblRangeCache>
                  <c:ptCount val="2"/>
                  <c:pt idx="0">
                    <c:v>6.0%</c:v>
                  </c:pt>
                  <c:pt idx="1">
                    <c:v>6.0%</c:v>
                  </c:pt>
                </c15:dlblRangeCache>
              </c15:datalabelsRange>
            </c:ext>
            <c:ext xmlns:c16="http://schemas.microsoft.com/office/drawing/2014/chart" uri="{C3380CC4-5D6E-409C-BE32-E72D297353CC}">
              <c16:uniqueId val="{0000000E-90EB-41BD-8EC4-3BAD3480799F}"/>
            </c:ext>
          </c:extLst>
        </c:ser>
        <c:ser>
          <c:idx val="4"/>
          <c:order val="5"/>
          <c:tx>
            <c:v>DMO</c:v>
          </c:tx>
          <c:spPr>
            <a:noFill/>
            <a:ln>
              <a:noFill/>
            </a:ln>
            <a:effectLst/>
          </c:spPr>
          <c:invertIfNegative val="0"/>
          <c:dLbls>
            <c:dLbl>
              <c:idx val="1"/>
              <c:layout>
                <c:manualLayout>
                  <c:x val="-8.5725390643057587E-4"/>
                  <c:y val="0.13924679610488427"/>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7D84-4E0E-A195-3364CE6A8EA7}"/>
                </c:ext>
              </c:extLst>
            </c:dLbl>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(SAPN!$R$29,SAPN!$U$29)</c:f>
              <c:strCache>
                <c:ptCount val="2"/>
                <c:pt idx="0">
                  <c:v>2024-25</c:v>
                </c:pt>
                <c:pt idx="1">
                  <c:v>2025-26</c:v>
                </c:pt>
              </c:strCache>
            </c:strRef>
          </c:cat>
          <c:val>
            <c:numRef>
              <c:f>(SAPN!$Q$32,SAPN!$Q$38)</c:f>
              <c:numCache>
                <c:formatCode>#,##0.00</c:formatCode>
                <c:ptCount val="2"/>
                <c:pt idx="0">
                  <c:v>2760</c:v>
                </c:pt>
                <c:pt idx="1">
                  <c:v>2824</c:v>
                </c:pt>
              </c:numCache>
            </c:numRef>
          </c:val>
          <c:extLst>
            <c:ext xmlns:c16="http://schemas.microsoft.com/office/drawing/2014/chart" uri="{C3380CC4-5D6E-409C-BE32-E72D297353CC}">
              <c16:uniqueId val="{0000000F-90EB-41BD-8EC4-3BAD3480799F}"/>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256"/>
        <c:crosses val="autoZero"/>
        <c:auto val="1"/>
        <c:lblAlgn val="ctr"/>
        <c:lblOffset val="100"/>
        <c:noMultiLvlLbl val="0"/>
      </c:catAx>
      <c:valAx>
        <c:axId val="228354256"/>
        <c:scaling>
          <c:orientation val="minMax"/>
          <c:max val="31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912"/>
        <c:crosses val="autoZero"/>
        <c:crossBetween val="between"/>
      </c:valAx>
      <c:spPr>
        <a:solidFill>
          <a:srgbClr val="F2F2F2"/>
        </a:solid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SAPN!$C$3</c:f>
          <c:strCache>
            <c:ptCount val="1"/>
            <c:pt idx="0">
              <c:v>SAPN Residential without CL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SAPN!$F$33</c:f>
              <c:strCache>
                <c:ptCount val="1"/>
                <c:pt idx="0">
                  <c:v>Network cost</c:v>
                </c:pt>
              </c:strCache>
            </c:strRef>
          </c:tx>
          <c:spPr>
            <a:solidFill>
              <a:srgbClr val="89B3CE"/>
            </a:solidFill>
            <a:ln>
              <a:noFill/>
            </a:ln>
            <a:effectLst/>
          </c:spPr>
          <c:invertIfNegative val="0"/>
          <c:dLbls>
            <c:dLbl>
              <c:idx val="0"/>
              <c:tx>
                <c:strRef>
                  <c:f>SAPN!$J$33</c:f>
                  <c:strCache>
                    <c:ptCount val="1"/>
                    <c:pt idx="0">
                      <c:v>41.4%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{577A2086-CB88-4826-9885-6AEEC02D7A5A}</c15:txfldGUID>
                      <c15:f>SAPN!$J$33</c15:f>
                      <c15:dlblFieldTableCache>
                        <c:ptCount val="1"/>
                        <c:pt idx="0">
                          <c:v>41.4%</c:v>
                        </c:pt>
                      </c15:dlblFieldTableCache>
                    </c15:dlblFTEntry>
                  </c15:dlblFieldTable>
                  <c15:showDataLabelsRange val="0"/>
                </c:ext>
                <c:ext xmlns:c16="http://schemas.microsoft.com/office/drawing/2014/chart" uri="{C3380CC4-5D6E-409C-BE32-E72D297353CC}">
                  <c16:uniqueId val="{00000000-792F-4E76-80DC-23EEAB2C7FC9}"/>
                </c:ext>
              </c:extLst>
            </c:dLbl>
            <c:dLbl>
              <c:idx val="1"/>
              <c:tx>
                <c:strRef>
                  <c:f>SAPN!$O$33</c:f>
                  <c:strCache>
                    <c:ptCount val="1"/>
                    <c:pt idx="0">
                      <c:v>39.0%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{F9B91593-546E-4B09-8F06-49D5EBCA05BA}</c15:txfldGUID>
                      <c15:f>SAPN!$O$33</c15:f>
                      <c15:dlblFieldTableCache>
                        <c:ptCount val="1"/>
                        <c:pt idx="0">
                          <c:v>39.0%</c:v>
                        </c:pt>
                      </c15:dlblFieldTableCache>
                    </c15:dlblFTEntry>
                  </c15:dlblFieldTable>
                  <c15:showDataLabelsRange val="0"/>
                </c:ext>
                <c:ext xmlns:c16="http://schemas.microsoft.com/office/drawing/2014/chart" uri="{C3380CC4-5D6E-409C-BE32-E72D297353CC}">
                  <c16:uniqueId val="{00000001-792F-4E76-80DC-23EEAB2C7FC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2024-25</c:v>
                </c:pt>
                <c:pt idx="1">
                  <c:v>2025-26</c:v>
                </c:pt>
              </c:strCache>
            </c:strRef>
          </c:cat>
          <c:val>
            <c:numRef>
              <c:f>(SAPN!$I$33,SAPN!$N$33)</c:f>
              <c:numCache>
                <c:formatCode>#,##0.00</c:formatCode>
                <c:ptCount val="2"/>
                <c:pt idx="0">
                  <c:v>922.34395000000006</c:v>
                </c:pt>
                <c:pt idx="1">
                  <c:v>896.99139399817057</c:v>
                </c:pt>
              </c:numCache>
            </c:numRef>
          </c:val>
          <c:extLst>
            <c:ext xmlns:c16="http://schemas.microsoft.com/office/drawing/2014/chart" uri="{C3380CC4-5D6E-409C-BE32-E72D297353CC}">
              <c16:uniqueId val="{00000002-792F-4E76-80DC-23EEAB2C7FC9}"/>
            </c:ext>
          </c:extLst>
        </c:ser>
        <c:ser>
          <c:idx val="1"/>
          <c:order val="1"/>
          <c:tx>
            <c:strRef>
              <c:f>SAPN!$F$34</c:f>
              <c:strCache>
                <c:ptCount val="1"/>
                <c:pt idx="0">
                  <c:v>Wholesale cost</c:v>
                </c:pt>
              </c:strCache>
            </c:strRef>
          </c:tx>
          <c:spPr>
            <a:solidFill>
              <a:srgbClr val="E06026"/>
            </a:solidFill>
            <a:ln>
              <a:noFill/>
            </a:ln>
            <a:effectLst/>
          </c:spPr>
          <c:invertIfNegative val="0"/>
          <c:dLbls>
            <c:dLbl>
              <c:idx val="0"/>
              <c:tx>
                <c:strRef>
                  <c:f>SAPN!$J$34</c:f>
                  <c:strCache>
                    <c:ptCount val="1"/>
                    <c:pt idx="0">
                      <c:v>36.1%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{31AC7EDE-E0AA-4320-85C2-71DC7DD63B2A}</c15:txfldGUID>
                      <c15:f>SAPN!$J$34</c15:f>
                      <c15:dlblFieldTableCache>
                        <c:ptCount val="1"/>
                        <c:pt idx="0">
                          <c:v>36.1%</c:v>
                        </c:pt>
                      </c15:dlblFieldTableCache>
                    </c15:dlblFTEntry>
                  </c15:dlblFieldTable>
                  <c15:showDataLabelsRange val="0"/>
                </c:ext>
                <c:ext xmlns:c16="http://schemas.microsoft.com/office/drawing/2014/chart" uri="{C3380CC4-5D6E-409C-BE32-E72D297353CC}">
                  <c16:uniqueId val="{00000003-792F-4E76-80DC-23EEAB2C7FC9}"/>
                </c:ext>
              </c:extLst>
            </c:dLbl>
            <c:dLbl>
              <c:idx val="1"/>
              <c:tx>
                <c:strRef>
                  <c:f>SAPN!$O$34</c:f>
                  <c:strCache>
                    <c:ptCount val="1"/>
                    <c:pt idx="0">
                      <c:v>37.3%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{5EC72FD0-F3D7-4F10-BBDA-C6E7A557BD1B}</c15:txfldGUID>
                      <c15:f>SAPN!$O$34</c15:f>
                      <c15:dlblFieldTableCache>
                        <c:ptCount val="1"/>
                        <c:pt idx="0">
                          <c:v>37.3%</c:v>
                        </c:pt>
                      </c15:dlblFieldTableCache>
                    </c15:dlblFTEntry>
                  </c15:dlblFieldTable>
                  <c15:showDataLabelsRange val="0"/>
                </c:ext>
                <c:ext xmlns:c16="http://schemas.microsoft.com/office/drawing/2014/chart" uri="{C3380CC4-5D6E-409C-BE32-E72D297353CC}">
                  <c16:uniqueId val="{00000004-792F-4E76-80DC-23EEAB2C7FC9}"/>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2024-25</c:v>
                </c:pt>
                <c:pt idx="1">
                  <c:v>2025-26</c:v>
                </c:pt>
              </c:strCache>
            </c:strRef>
          </c:cat>
          <c:val>
            <c:numRef>
              <c:f>(SAPN!$I$34,SAPN!$N$34)</c:f>
              <c:numCache>
                <c:formatCode>#,##0.00</c:formatCode>
                <c:ptCount val="2"/>
                <c:pt idx="0">
                  <c:v>805.77435242857121</c:v>
                </c:pt>
                <c:pt idx="1">
                  <c:v>858.79927885285178</c:v>
                </c:pt>
              </c:numCache>
            </c:numRef>
          </c:val>
          <c:extLst>
            <c:ext xmlns:c16="http://schemas.microsoft.com/office/drawing/2014/chart" uri="{C3380CC4-5D6E-409C-BE32-E72D297353CC}">
              <c16:uniqueId val="{00000005-792F-4E76-80DC-23EEAB2C7FC9}"/>
            </c:ext>
          </c:extLst>
        </c:ser>
        <c:ser>
          <c:idx val="2"/>
          <c:order val="2"/>
          <c:tx>
            <c:strRef>
              <c:f>SAPN!$F$35</c:f>
              <c:strCache>
                <c:ptCount val="1"/>
                <c:pt idx="0">
                  <c:v>Environmental cost</c:v>
                </c:pt>
              </c:strCache>
            </c:strRef>
          </c:tx>
          <c:spPr>
            <a:solidFill>
              <a:srgbClr val="5F9E88"/>
            </a:solidFill>
            <a:ln>
              <a:noFill/>
            </a:ln>
            <a:effectLst/>
          </c:spPr>
          <c:invertIfNegative val="0"/>
          <c:dLbls>
            <c:dLbl>
              <c:idx val="0"/>
              <c:tx>
                <c:strRef>
                  <c:f>SAPN!$J$35</c:f>
                  <c:strCache>
                    <c:ptCount val="1"/>
                    <c:pt idx="0">
                      <c:v>4.4%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{A428C42E-EDEF-42AC-933B-B4CC2D8F8125}</c15:txfldGUID>
                      <c15:f>SAPN!$J$35</c15:f>
                      <c15:dlblFieldTableCache>
                        <c:ptCount val="1"/>
                        <c:pt idx="0">
                          <c:v>4.4%</c:v>
                        </c:pt>
                      </c15:dlblFieldTableCache>
                    </c15:dlblFTEntry>
                  </c15:dlblFieldTable>
                  <c15:showDataLabelsRange val="0"/>
                </c:ext>
                <c:ext xmlns:c16="http://schemas.microsoft.com/office/drawing/2014/chart" uri="{C3380CC4-5D6E-409C-BE32-E72D297353CC}">
                  <c16:uniqueId val="{00000006-792F-4E76-80DC-23EEAB2C7FC9}"/>
                </c:ext>
              </c:extLst>
            </c:dLbl>
            <c:dLbl>
              <c:idx val="1"/>
              <c:tx>
                <c:strRef>
                  <c:f>SAPN!$O$35</c:f>
                  <c:strCache>
                    <c:ptCount val="1"/>
                    <c:pt idx="0">
                      <c:v>3.1%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{3DB9CE9C-1D0C-42B0-9AA6-90F7517AB993}</c15:txfldGUID>
                      <c15:f>SAPN!$O$35</c15:f>
                      <c15:dlblFieldTableCache>
                        <c:ptCount val="1"/>
                        <c:pt idx="0">
                          <c:v>3.1%</c:v>
                        </c:pt>
                      </c15:dlblFieldTableCache>
                    </c15:dlblFTEntry>
                  </c15:dlblFieldTable>
                  <c15:showDataLabelsRange val="0"/>
                </c:ext>
                <c:ext xmlns:c16="http://schemas.microsoft.com/office/drawing/2014/chart" uri="{C3380CC4-5D6E-409C-BE32-E72D297353CC}">
                  <c16:uniqueId val="{00000007-792F-4E76-80DC-23EEAB2C7FC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2024-25</c:v>
                </c:pt>
                <c:pt idx="1">
                  <c:v>2025-26</c:v>
                </c:pt>
              </c:strCache>
            </c:strRef>
          </c:cat>
          <c:val>
            <c:numRef>
              <c:f>(SAPN!$I$35,SAPN!$N$35)</c:f>
              <c:numCache>
                <c:formatCode>#,##0.00</c:formatCode>
                <c:ptCount val="2"/>
                <c:pt idx="0">
                  <c:v>97.504000000000005</c:v>
                </c:pt>
                <c:pt idx="1">
                  <c:v>72.246775704569899</c:v>
                </c:pt>
              </c:numCache>
            </c:numRef>
          </c:val>
          <c:extLst>
            <c:ext xmlns:c16="http://schemas.microsoft.com/office/drawing/2014/chart" uri="{C3380CC4-5D6E-409C-BE32-E72D297353CC}">
              <c16:uniqueId val="{00000008-792F-4E76-80DC-23EEAB2C7FC9}"/>
            </c:ext>
          </c:extLst>
        </c:ser>
        <c:ser>
          <c:idx val="3"/>
          <c:order val="3"/>
          <c:tx>
            <c:strRef>
              <c:f>SAPN!$F$36</c:f>
              <c:strCache>
                <c:ptCount val="1"/>
                <c:pt idx="0">
                  <c:v>Retail cost</c:v>
                </c:pt>
              </c:strCache>
            </c:strRef>
          </c:tx>
          <c:spPr>
            <a:solidFill>
              <a:srgbClr val="F0B9B3"/>
            </a:solidFill>
            <a:ln>
              <a:noFill/>
            </a:ln>
            <a:effectLst/>
          </c:spPr>
          <c:invertIfNegative val="0"/>
          <c:dLbls>
            <c:dLbl>
              <c:idx val="0"/>
              <c:tx>
                <c:rich>
                  <a:bodyPr/>
                  <a:lstStyle/>
                  <a:p>
                    <a:fld id="{AB97F72E-19DF-492C-97EA-478F188C820B}"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92F-4E76-80DC-23EEAB2C7FC9}"/>
                </c:ext>
              </c:extLst>
            </c:dLbl>
            <c:dLbl>
              <c:idx val="1"/>
              <c:tx>
                <c:rich>
                  <a:bodyPr/>
                  <a:lstStyle/>
                  <a:p>
                    <a:fld id="{E0A432D8-2FB0-426C-8CCB-F8A1E916178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92F-4E76-80DC-23EEAB2C7FC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2024-25</c:v>
                </c:pt>
                <c:pt idx="1">
                  <c:v>2025-26</c:v>
                </c:pt>
              </c:strCache>
            </c:strRef>
          </c:cat>
          <c:val>
            <c:numRef>
              <c:f>(SAPN!$I$36,SAPN!$N$36)</c:f>
              <c:numCache>
                <c:formatCode>#,##0.00</c:formatCode>
                <c:ptCount val="2"/>
                <c:pt idx="0">
                  <c:v>270.60522984000005</c:v>
                </c:pt>
                <c:pt idx="1">
                  <c:v>334.4739968776168</c:v>
                </c:pt>
              </c:numCache>
            </c:numRef>
          </c:val>
          <c:extLst>
            <c:ext xmlns:c15="http://schemas.microsoft.com/office/drawing/2012/chart" uri="{02D57815-91ED-43cb-92C2-25804820EDAC}">
              <c15:datalabelsRange>
                <c15:f>(SAPN!$J$36,SAPN!$O$36)</c15:f>
                <c15:dlblRangeCache>
                  <c:ptCount val="2"/>
                  <c:pt idx="0">
                    <c:v>12.1%</c:v>
                  </c:pt>
                  <c:pt idx="1">
                    <c:v>14.5%</c:v>
                  </c:pt>
                </c15:dlblRangeCache>
              </c15:datalabelsRange>
            </c:ext>
            <c:ext xmlns:c16="http://schemas.microsoft.com/office/drawing/2014/chart" uri="{C3380CC4-5D6E-409C-BE32-E72D297353CC}">
              <c16:uniqueId val="{0000000B-792F-4E76-80DC-23EEAB2C7FC9}"/>
            </c:ext>
          </c:extLst>
        </c:ser>
        <c:ser>
          <c:idx val="5"/>
          <c:order val="4"/>
          <c:tx>
            <c:strRef>
              <c:f>SAPN!$F$37</c:f>
              <c:strCache>
                <c:ptCount val="1"/>
                <c:pt idx="0">
                  <c:v>Retail margin</c:v>
                </c:pt>
              </c:strCache>
            </c:strRef>
          </c:tx>
          <c:spPr>
            <a:solidFill>
              <a:srgbClr val="303F51"/>
            </a:solidFill>
            <a:ln>
              <a:noFill/>
            </a:ln>
            <a:effectLst/>
          </c:spPr>
          <c:invertIfNegative val="0"/>
          <c:dLbls>
            <c:dLbl>
              <c:idx val="0"/>
              <c:tx>
                <c:rich>
                  <a:bodyPr/>
                  <a:lstStyle/>
                  <a:p>
                    <a:fld id="{A12D8D08-0CDA-43B9-B51E-D6D37FCCD207}"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92F-4E76-80DC-23EEAB2C7FC9}"/>
                </c:ext>
              </c:extLst>
            </c:dLbl>
            <c:dLbl>
              <c:idx val="1"/>
              <c:tx>
                <c:rich>
                  <a:bodyPr/>
                  <a:lstStyle/>
                  <a:p>
                    <a:fld id="{471BE63C-EDE2-43AC-B9E4-A3707AF5A4F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92F-4E76-80DC-23EEAB2C7FC9}"/>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(SAPN!$I$37,SAPN!$N$37)</c:f>
              <c:numCache>
                <c:formatCode>#,##0.00</c:formatCode>
                <c:ptCount val="2"/>
                <c:pt idx="0">
                  <c:v>133.8017573788452</c:v>
                </c:pt>
                <c:pt idx="1">
                  <c:v>138.0326454531837</c:v>
                </c:pt>
              </c:numCache>
            </c:numRef>
          </c:val>
          <c:extLst>
            <c:ext xmlns:c15="http://schemas.microsoft.com/office/drawing/2012/chart" uri="{02D57815-91ED-43cb-92C2-25804820EDAC}">
              <c15:datalabelsRange>
                <c15:f>(SAPN!$J$37,SAPN!$O$37)</c15:f>
                <c15:dlblRangeCache>
                  <c:ptCount val="2"/>
                  <c:pt idx="0">
                    <c:v>6.0%</c:v>
                  </c:pt>
                  <c:pt idx="1">
                    <c:v>6.0%</c:v>
                  </c:pt>
                </c15:dlblRangeCache>
              </c15:datalabelsRange>
            </c:ext>
            <c:ext xmlns:c16="http://schemas.microsoft.com/office/drawing/2014/chart" uri="{C3380CC4-5D6E-409C-BE32-E72D297353CC}">
              <c16:uniqueId val="{0000000E-792F-4E76-80DC-23EEAB2C7FC9}"/>
            </c:ext>
          </c:extLst>
        </c:ser>
        <c:ser>
          <c:idx val="4"/>
          <c:order val="5"/>
          <c:tx>
            <c:v>DMO</c:v>
          </c:tx>
          <c:spPr>
            <a:noFill/>
            <a:ln>
              <a:noFill/>
            </a:ln>
            <a:effectLst/>
          </c:spPr>
          <c:invertIfNegative val="0"/>
          <c:dLbls>
            <c:dLbl>
              <c:idx val="1"/>
              <c:layout>
                <c:manualLayout>
                  <c:x val="-8.6622412519328008E-4"/>
                  <c:y val="0.14505082630143543"/>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F455-44AE-BE35-45552F69177D}"/>
                </c:ext>
              </c:extLst>
            </c:dLbl>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2024-25</c:v>
                </c:pt>
                <c:pt idx="1">
                  <c:v>2025-26</c:v>
                </c:pt>
              </c:strCache>
            </c:strRef>
          </c:cat>
          <c:val>
            <c:numRef>
              <c:f>(SAPN!$H$32,SAPN!$H$38)</c:f>
              <c:numCache>
                <c:formatCode>#,##0.00</c:formatCode>
                <c:ptCount val="2"/>
                <c:pt idx="0">
                  <c:v>2230</c:v>
                </c:pt>
                <c:pt idx="1">
                  <c:v>2301</c:v>
                </c:pt>
              </c:numCache>
            </c:numRef>
          </c:val>
          <c:extLst>
            <c:ext xmlns:c16="http://schemas.microsoft.com/office/drawing/2014/chart" uri="{C3380CC4-5D6E-409C-BE32-E72D297353CC}">
              <c16:uniqueId val="{0000000F-792F-4E76-80DC-23EEAB2C7FC9}"/>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256"/>
        <c:crosses val="autoZero"/>
        <c:auto val="1"/>
        <c:lblAlgn val="ctr"/>
        <c:lblOffset val="100"/>
        <c:noMultiLvlLbl val="0"/>
      </c:catAx>
      <c:valAx>
        <c:axId val="228354256"/>
        <c:scaling>
          <c:orientation val="minMax"/>
          <c:max val="26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912"/>
        <c:crosses val="autoZero"/>
        <c:crossBetween val="between"/>
      </c:valAx>
      <c:spPr>
        <a:solidFill>
          <a:srgbClr val="F2F2F2"/>
        </a:solid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SAPN!$E$3</c:f>
          <c:strCache>
            <c:ptCount val="1"/>
            <c:pt idx="0">
              <c:v>SAPN Small Business without CL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SAPN!$F$33</c:f>
              <c:strCache>
                <c:ptCount val="1"/>
                <c:pt idx="0">
                  <c:v>Network cost</c:v>
                </c:pt>
              </c:strCache>
            </c:strRef>
          </c:tx>
          <c:spPr>
            <a:solidFill>
              <a:srgbClr val="89B3CE"/>
            </a:solidFill>
            <a:ln>
              <a:noFill/>
            </a:ln>
            <a:effectLst/>
          </c:spPr>
          <c:invertIfNegative val="0"/>
          <c:dLbls>
            <c:dLbl>
              <c:idx val="0"/>
              <c:tx>
                <c:strRef>
                  <c:f>SAPN!$AB$33</c:f>
                  <c:strCache>
                    <c:ptCount val="1"/>
                    <c:pt idx="0">
                      <c:v>41.2%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{3AAF03F2-BDD5-42CE-8646-E6E0521DA0C1}</c15:txfldGUID>
                      <c15:f>SAPN!$AB$33</c15:f>
                      <c15:dlblFieldTableCache>
                        <c:ptCount val="1"/>
                        <c:pt idx="0">
                          <c:v>41.2%</c:v>
                        </c:pt>
                      </c15:dlblFieldTableCache>
                    </c15:dlblFTEntry>
                  </c15:dlblFieldTable>
                  <c15:showDataLabelsRange val="0"/>
                </c:ext>
                <c:ext xmlns:c16="http://schemas.microsoft.com/office/drawing/2014/chart" uri="{C3380CC4-5D6E-409C-BE32-E72D297353CC}">
                  <c16:uniqueId val="{00000000-17C4-43E9-83C1-5A4B374DAC85}"/>
                </c:ext>
              </c:extLst>
            </c:dLbl>
            <c:dLbl>
              <c:idx val="1"/>
              <c:tx>
                <c:strRef>
                  <c:f>SAPN!$AG$33</c:f>
                  <c:strCache>
                    <c:ptCount val="1"/>
                    <c:pt idx="0">
                      <c:v>41.2%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{3470322E-577D-493B-B4B5-4AD9B3D59134}</c15:txfldGUID>
                      <c15:f>SAPN!$AG$33</c15:f>
                      <c15:dlblFieldTableCache>
                        <c:ptCount val="1"/>
                        <c:pt idx="0">
                          <c:v>41.2%</c:v>
                        </c:pt>
                      </c15:dlblFieldTableCache>
                    </c15:dlblFTEntry>
                  </c15:dlblFieldTable>
                  <c15:showDataLabelsRange val="0"/>
                </c:ext>
                <c:ext xmlns:c16="http://schemas.microsoft.com/office/drawing/2014/chart" uri="{C3380CC4-5D6E-409C-BE32-E72D297353CC}">
                  <c16:uniqueId val="{00000001-17C4-43E9-83C1-5A4B374DAC8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(SAPN!$AA$29,SAPN!$AD$29)</c:f>
              <c:strCache>
                <c:ptCount val="2"/>
                <c:pt idx="0">
                  <c:v>2024-25</c:v>
                </c:pt>
                <c:pt idx="1">
                  <c:v>2025-26</c:v>
                </c:pt>
              </c:strCache>
            </c:strRef>
          </c:cat>
          <c:val>
            <c:numRef>
              <c:f>(SAPN!$AA$33,SAPN!$AF$33)</c:f>
              <c:numCache>
                <c:formatCode>#,##0.00</c:formatCode>
                <c:ptCount val="2"/>
                <c:pt idx="0">
                  <c:v>2206.44985</c:v>
                </c:pt>
                <c:pt idx="1">
                  <c:v>2281.9764034447339</c:v>
                </c:pt>
              </c:numCache>
            </c:numRef>
          </c:val>
          <c:extLst>
            <c:ext xmlns:c16="http://schemas.microsoft.com/office/drawing/2014/chart" uri="{C3380CC4-5D6E-409C-BE32-E72D297353CC}">
              <c16:uniqueId val="{00000002-17C4-43E9-83C1-5A4B374DAC85}"/>
            </c:ext>
          </c:extLst>
        </c:ser>
        <c:ser>
          <c:idx val="1"/>
          <c:order val="1"/>
          <c:tx>
            <c:strRef>
              <c:f>SAPN!$F$34</c:f>
              <c:strCache>
                <c:ptCount val="1"/>
                <c:pt idx="0">
                  <c:v>Wholesale cost</c:v>
                </c:pt>
              </c:strCache>
            </c:strRef>
          </c:tx>
          <c:spPr>
            <a:solidFill>
              <a:srgbClr val="E06026"/>
            </a:solidFill>
            <a:ln>
              <a:noFill/>
            </a:ln>
            <a:effectLst/>
          </c:spPr>
          <c:invertIfNegative val="0"/>
          <c:dLbls>
            <c:dLbl>
              <c:idx val="0"/>
              <c:tx>
                <c:strRef>
                  <c:f>SAPN!$AB$34</c:f>
                  <c:strCache>
                    <c:ptCount val="1"/>
                    <c:pt idx="0">
                      <c:v>37.3%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{0815F889-FBAA-4A22-94E3-2E6754B7FDE9}</c15:txfldGUID>
                      <c15:f>SAPN!$AB$34</c15:f>
                      <c15:dlblFieldTableCache>
                        <c:ptCount val="1"/>
                        <c:pt idx="0">
                          <c:v>37.3%</c:v>
                        </c:pt>
                      </c15:dlblFieldTableCache>
                    </c15:dlblFTEntry>
                  </c15:dlblFieldTable>
                  <c15:showDataLabelsRange val="0"/>
                </c:ext>
                <c:ext xmlns:c16="http://schemas.microsoft.com/office/drawing/2014/chart" uri="{C3380CC4-5D6E-409C-BE32-E72D297353CC}">
                  <c16:uniqueId val="{00000003-17C4-43E9-83C1-5A4B374DAC85}"/>
                </c:ext>
              </c:extLst>
            </c:dLbl>
            <c:dLbl>
              <c:idx val="1"/>
              <c:tx>
                <c:strRef>
                  <c:f>SAPN!$AG$34</c:f>
                  <c:strCache>
                    <c:ptCount val="1"/>
                    <c:pt idx="0">
                      <c:v>38.3%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{390BEC6E-4A41-443E-8AC1-55F095C1AC4D}</c15:txfldGUID>
                      <c15:f>SAPN!$AG$34</c15:f>
                      <c15:dlblFieldTableCache>
                        <c:ptCount val="1"/>
                        <c:pt idx="0">
                          <c:v>38.3%</c:v>
                        </c:pt>
                      </c15:dlblFieldTableCache>
                    </c15:dlblFTEntry>
                  </c15:dlblFieldTable>
                  <c15:showDataLabelsRange val="0"/>
                </c:ext>
                <c:ext xmlns:c16="http://schemas.microsoft.com/office/drawing/2014/chart" uri="{C3380CC4-5D6E-409C-BE32-E72D297353CC}">
                  <c16:uniqueId val="{00000004-17C4-43E9-83C1-5A4B374DAC85}"/>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(SAPN!$AA$29,SAPN!$AD$29)</c:f>
              <c:strCache>
                <c:ptCount val="2"/>
                <c:pt idx="0">
                  <c:v>2024-25</c:v>
                </c:pt>
                <c:pt idx="1">
                  <c:v>2025-26</c:v>
                </c:pt>
              </c:strCache>
            </c:strRef>
          </c:cat>
          <c:val>
            <c:numRef>
              <c:f>(SAPN!$AA$34,SAPN!$AF$34)</c:f>
              <c:numCache>
                <c:formatCode>#,##0.00</c:formatCode>
                <c:ptCount val="2"/>
                <c:pt idx="0">
                  <c:v>1994.7913464285712</c:v>
                </c:pt>
                <c:pt idx="1">
                  <c:v>2124.1700443102077</c:v>
                </c:pt>
              </c:numCache>
            </c:numRef>
          </c:val>
          <c:extLst>
            <c:ext xmlns:c16="http://schemas.microsoft.com/office/drawing/2014/chart" uri="{C3380CC4-5D6E-409C-BE32-E72D297353CC}">
              <c16:uniqueId val="{00000005-17C4-43E9-83C1-5A4B374DAC85}"/>
            </c:ext>
          </c:extLst>
        </c:ser>
        <c:ser>
          <c:idx val="2"/>
          <c:order val="2"/>
          <c:tx>
            <c:strRef>
              <c:f>SAPN!$F$35</c:f>
              <c:strCache>
                <c:ptCount val="1"/>
                <c:pt idx="0">
                  <c:v>Environmental cost</c:v>
                </c:pt>
              </c:strCache>
            </c:strRef>
          </c:tx>
          <c:spPr>
            <a:solidFill>
              <a:srgbClr val="5F9E88"/>
            </a:solidFill>
            <a:ln>
              <a:noFill/>
            </a:ln>
            <a:effectLst/>
          </c:spPr>
          <c:invertIfNegative val="0"/>
          <c:dLbls>
            <c:dLbl>
              <c:idx val="0"/>
              <c:tx>
                <c:strRef>
                  <c:f>SAPN!$AB$35</c:f>
                  <c:strCache>
                    <c:ptCount val="1"/>
                    <c:pt idx="0">
                      <c:v>4.6%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{B135058B-384E-4F27-8B30-330EF1CFF061}</c15:txfldGUID>
                      <c15:f>SAPN!$AB$35</c15:f>
                      <c15:dlblFieldTableCache>
                        <c:ptCount val="1"/>
                        <c:pt idx="0">
                          <c:v>4.6%</c:v>
                        </c:pt>
                      </c15:dlblFieldTableCache>
                    </c15:dlblFTEntry>
                  </c15:dlblFieldTable>
                  <c15:showDataLabelsRange val="0"/>
                </c:ext>
                <c:ext xmlns:c16="http://schemas.microsoft.com/office/drawing/2014/chart" uri="{C3380CC4-5D6E-409C-BE32-E72D297353CC}">
                  <c16:uniqueId val="{00000006-17C4-43E9-83C1-5A4B374DAC85}"/>
                </c:ext>
              </c:extLst>
            </c:dLbl>
            <c:dLbl>
              <c:idx val="1"/>
              <c:tx>
                <c:strRef>
                  <c:f>SAPN!$AG$35</c:f>
                  <c:strCache>
                    <c:ptCount val="1"/>
                    <c:pt idx="0">
                      <c:v>3.3%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{A2F83B6A-3C1F-4AD6-A7C9-04D1B0AA2820}</c15:txfldGUID>
                      <c15:f>SAPN!$AG$35</c15:f>
                      <c15:dlblFieldTableCache>
                        <c:ptCount val="1"/>
                        <c:pt idx="0">
                          <c:v>3.3%</c:v>
                        </c:pt>
                      </c15:dlblFieldTableCache>
                    </c15:dlblFTEntry>
                  </c15:dlblFieldTable>
                  <c15:showDataLabelsRange val="0"/>
                </c:ext>
                <c:ext xmlns:c16="http://schemas.microsoft.com/office/drawing/2014/chart" uri="{C3380CC4-5D6E-409C-BE32-E72D297353CC}">
                  <c16:uniqueId val="{00000007-17C4-43E9-83C1-5A4B374DAC8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(SAPN!$AA$29,SAPN!$AD$29)</c:f>
              <c:strCache>
                <c:ptCount val="2"/>
                <c:pt idx="0">
                  <c:v>2024-25</c:v>
                </c:pt>
                <c:pt idx="1">
                  <c:v>2025-26</c:v>
                </c:pt>
              </c:strCache>
            </c:strRef>
          </c:cat>
          <c:val>
            <c:numRef>
              <c:f>(SAPN!$AA$35,SAPN!$AF$35)</c:f>
              <c:numCache>
                <c:formatCode>#,##0.00</c:formatCode>
                <c:ptCount val="2"/>
                <c:pt idx="0">
                  <c:v>243.76</c:v>
                </c:pt>
                <c:pt idx="1">
                  <c:v>180.61693926142473</c:v>
                </c:pt>
              </c:numCache>
            </c:numRef>
          </c:val>
          <c:extLst>
            <c:ext xmlns:c16="http://schemas.microsoft.com/office/drawing/2014/chart" uri="{C3380CC4-5D6E-409C-BE32-E72D297353CC}">
              <c16:uniqueId val="{00000008-17C4-43E9-83C1-5A4B374DAC85}"/>
            </c:ext>
          </c:extLst>
        </c:ser>
        <c:ser>
          <c:idx val="3"/>
          <c:order val="3"/>
          <c:tx>
            <c:strRef>
              <c:f>SAPN!$F$36</c:f>
              <c:strCache>
                <c:ptCount val="1"/>
                <c:pt idx="0">
                  <c:v>Retail cost</c:v>
                </c:pt>
              </c:strCache>
            </c:strRef>
          </c:tx>
          <c:spPr>
            <a:solidFill>
              <a:srgbClr val="F0B9B3"/>
            </a:solidFill>
            <a:ln>
              <a:noFill/>
            </a:ln>
            <a:effectLst/>
          </c:spPr>
          <c:invertIfNegative val="0"/>
          <c:dLbls>
            <c:dLbl>
              <c:idx val="0"/>
              <c:tx>
                <c:rich>
                  <a:bodyPr/>
                  <a:lstStyle/>
                  <a:p>
                    <a:fld id="{D516ED0A-1F50-46AE-B21B-4A6568545438}"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7C4-43E9-83C1-5A4B374DAC85}"/>
                </c:ext>
              </c:extLst>
            </c:dLbl>
            <c:dLbl>
              <c:idx val="1"/>
              <c:tx>
                <c:rich>
                  <a:bodyPr/>
                  <a:lstStyle/>
                  <a:p>
                    <a:fld id="{A9130D14-CB91-4025-AC85-21111A7FB44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7C4-43E9-83C1-5A4B374DAC8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(SAPN!$AA$29,SAPN!$AD$29)</c:f>
              <c:strCache>
                <c:ptCount val="2"/>
                <c:pt idx="0">
                  <c:v>2024-25</c:v>
                </c:pt>
                <c:pt idx="1">
                  <c:v>2025-26</c:v>
                </c:pt>
              </c:strCache>
            </c:strRef>
          </c:cat>
          <c:val>
            <c:numRef>
              <c:f>(SAPN!$AA$36,SAPN!$AF$36)</c:f>
              <c:numCache>
                <c:formatCode>#,##0.00</c:formatCode>
                <c:ptCount val="2"/>
                <c:pt idx="0">
                  <c:v>318.26898576000008</c:v>
                </c:pt>
                <c:pt idx="1">
                  <c:v>344.72810660251821</c:v>
                </c:pt>
              </c:numCache>
            </c:numRef>
          </c:val>
          <c:extLst>
            <c:ext xmlns:c15="http://schemas.microsoft.com/office/drawing/2012/chart" uri="{02D57815-91ED-43cb-92C2-25804820EDAC}">
              <c15:datalabelsRange>
                <c15:f>(SAPN!$AB$36,SAPN!$AG$36)</c15:f>
                <c15:dlblRangeCache>
                  <c:ptCount val="2"/>
                  <c:pt idx="0">
                    <c:v>5.9%</c:v>
                  </c:pt>
                  <c:pt idx="1">
                    <c:v>6.2%</c:v>
                  </c:pt>
                </c15:dlblRangeCache>
              </c15:datalabelsRange>
            </c:ext>
            <c:ext xmlns:c16="http://schemas.microsoft.com/office/drawing/2014/chart" uri="{C3380CC4-5D6E-409C-BE32-E72D297353CC}">
              <c16:uniqueId val="{0000000B-17C4-43E9-83C1-5A4B374DAC85}"/>
            </c:ext>
          </c:extLst>
        </c:ser>
        <c:ser>
          <c:idx val="5"/>
          <c:order val="4"/>
          <c:tx>
            <c:strRef>
              <c:f>SAPN!$F$37</c:f>
              <c:strCache>
                <c:ptCount val="1"/>
                <c:pt idx="0">
                  <c:v>Retail margin</c:v>
                </c:pt>
              </c:strCache>
            </c:strRef>
          </c:tx>
          <c:spPr>
            <a:solidFill>
              <a:srgbClr val="303F51"/>
            </a:solidFill>
            <a:ln>
              <a:noFill/>
            </a:ln>
            <a:effectLst/>
          </c:spPr>
          <c:invertIfNegative val="0"/>
          <c:dLbls>
            <c:dLbl>
              <c:idx val="0"/>
              <c:tx>
                <c:rich>
                  <a:bodyPr/>
                  <a:lstStyle/>
                  <a:p>
                    <a:fld id="{B2475DA6-AE0E-4962-8B90-DA26CD16650D}"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17C4-43E9-83C1-5A4B374DAC85}"/>
                </c:ext>
              </c:extLst>
            </c:dLbl>
            <c:dLbl>
              <c:idx val="1"/>
              <c:tx>
                <c:rich>
                  <a:bodyPr/>
                  <a:lstStyle/>
                  <a:p>
                    <a:fld id="{FF4D03D8-A329-4CE3-95EF-A3B4EFF978C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7C4-43E9-83C1-5A4B374DAC85}"/>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(SAPN!$AA$37,SAPN!$AF$37)</c:f>
              <c:numCache>
                <c:formatCode>#,##0.00</c:formatCode>
                <c:ptCount val="2"/>
                <c:pt idx="0">
                  <c:v>588.71878656263198</c:v>
                </c:pt>
                <c:pt idx="1">
                  <c:v>609.5101846045809</c:v>
                </c:pt>
              </c:numCache>
            </c:numRef>
          </c:val>
          <c:extLst>
            <c:ext xmlns:c15="http://schemas.microsoft.com/office/drawing/2012/chart" uri="{02D57815-91ED-43cb-92C2-25804820EDAC}">
              <c15:datalabelsRange>
                <c15:f>(SAPN!$AB$37,SAPN!$AG$37)</c15:f>
                <c15:dlblRangeCache>
                  <c:ptCount val="2"/>
                  <c:pt idx="0">
                    <c:v>11.0%</c:v>
                  </c:pt>
                  <c:pt idx="1">
                    <c:v>11.0%</c:v>
                  </c:pt>
                </c15:dlblRangeCache>
              </c15:datalabelsRange>
            </c:ext>
            <c:ext xmlns:c16="http://schemas.microsoft.com/office/drawing/2014/chart" uri="{C3380CC4-5D6E-409C-BE32-E72D297353CC}">
              <c16:uniqueId val="{0000000E-17C4-43E9-83C1-5A4B374DAC85}"/>
            </c:ext>
          </c:extLst>
        </c:ser>
        <c:ser>
          <c:idx val="4"/>
          <c:order val="5"/>
          <c:tx>
            <c:v>DMO</c:v>
          </c:tx>
          <c:spPr>
            <a:noFill/>
            <a:ln>
              <a:noFill/>
            </a:ln>
            <a:effectLst/>
          </c:spPr>
          <c:invertIfNegative val="0"/>
          <c:dLbls>
            <c:dLbl>
              <c:idx val="1"/>
              <c:layout>
                <c:manualLayout>
                  <c:x val="-3.754829262511159E-3"/>
                  <c:y val="0.13980250839980504"/>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0B2-42B6-835F-F8D1B0B51FD4}"/>
                </c:ext>
              </c:extLst>
            </c:dLbl>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(SAPN!$AA$29,SAPN!$AD$29)</c:f>
              <c:strCache>
                <c:ptCount val="2"/>
                <c:pt idx="0">
                  <c:v>2024-25</c:v>
                </c:pt>
                <c:pt idx="1">
                  <c:v>2025-26</c:v>
                </c:pt>
              </c:strCache>
            </c:strRef>
          </c:cat>
          <c:val>
            <c:numRef>
              <c:f>(SAPN!$Z$32,SAPN!$Z$38)</c:f>
              <c:numCache>
                <c:formatCode>#,##0.00</c:formatCode>
                <c:ptCount val="2"/>
                <c:pt idx="0">
                  <c:v>5352</c:v>
                </c:pt>
                <c:pt idx="1">
                  <c:v>5541</c:v>
                </c:pt>
              </c:numCache>
            </c:numRef>
          </c:val>
          <c:extLst>
            <c:ext xmlns:c16="http://schemas.microsoft.com/office/drawing/2014/chart" uri="{C3380CC4-5D6E-409C-BE32-E72D297353CC}">
              <c16:uniqueId val="{0000000F-17C4-43E9-83C1-5A4B374DAC85}"/>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256"/>
        <c:crosses val="autoZero"/>
        <c:auto val="1"/>
        <c:lblAlgn val="ctr"/>
        <c:lblOffset val="100"/>
        <c:noMultiLvlLbl val="0"/>
      </c:catAx>
      <c:valAx>
        <c:axId val="228354256"/>
        <c:scaling>
          <c:orientation val="minMax"/>
          <c:max val="61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8354912"/>
        <c:crosses val="autoZero"/>
        <c:crossBetween val="between"/>
      </c:valAx>
      <c:spPr>
        <a:solidFill>
          <a:srgbClr val="F2F2F2"/>
        </a:solid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Energex!A1"/><Relationship Id="rId13" Type="http://schemas.openxmlformats.org/officeDocument/2006/relationships/hyperlink" Target="#'Res w CL'!A1"/><Relationship Id="rId18" Type="http://schemas.openxmlformats.org/officeDocument/2006/relationships/hyperlink" Target="#'Summary Chart'!A1"/><Relationship Id="rId3" Type="http://schemas.openxmlformats.org/officeDocument/2006/relationships/hyperlink" Target="#'Wholesale cost'!A1"/><Relationship Id="rId7" Type="http://schemas.openxmlformats.org/officeDocument/2006/relationships/hyperlink" Target="#Essential!A1"/><Relationship Id="rId12" Type="http://schemas.openxmlformats.org/officeDocument/2006/relationships/hyperlink" Target="#'Res wo CL'!A1"/><Relationship Id="rId17" Type="http://schemas.openxmlformats.org/officeDocument/2006/relationships/hyperlink" Target="#'Summary Detailed'!A1"/><Relationship Id="rId2" Type="http://schemas.openxmlformats.org/officeDocument/2006/relationships/hyperlink" Target="#'Network cost'!A1"/><Relationship Id="rId16" Type="http://schemas.openxmlformats.org/officeDocument/2006/relationships/hyperlink" Target="#'Retail cost'!A1"/><Relationship Id="rId1" Type="http://schemas.openxmlformats.org/officeDocument/2006/relationships/hyperlink" Target="#'Detail inputs'!A1"/><Relationship Id="rId6" Type="http://schemas.openxmlformats.org/officeDocument/2006/relationships/hyperlink" Target="#Endeavour!A1"/><Relationship Id="rId11" Type="http://schemas.openxmlformats.org/officeDocument/2006/relationships/hyperlink" Target="#Summary!A1"/><Relationship Id="rId5" Type="http://schemas.openxmlformats.org/officeDocument/2006/relationships/hyperlink" Target="#Ausgrid!A1"/><Relationship Id="rId15" Type="http://schemas.openxmlformats.org/officeDocument/2006/relationships/hyperlink" Target="#'Key inputs'!A1"/><Relationship Id="rId10" Type="http://schemas.openxmlformats.org/officeDocument/2006/relationships/hyperlink" Target="#Usage!A1"/><Relationship Id="rId4" Type="http://schemas.openxmlformats.org/officeDocument/2006/relationships/hyperlink" Target="#'Environmental cost'!A1"/><Relationship Id="rId9" Type="http://schemas.openxmlformats.org/officeDocument/2006/relationships/hyperlink" Target="#SAPN!A1"/><Relationship Id="rId14" Type="http://schemas.openxmlformats.org/officeDocument/2006/relationships/hyperlink" Target="#'SB wo CL'!A1"/></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chart" Target="../charts/chart16.xml"/><Relationship Id="rId4"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xdr:row>
      <xdr:rowOff>230937</xdr:rowOff>
    </xdr:from>
    <xdr:to>
      <xdr:col>3</xdr:col>
      <xdr:colOff>182977</xdr:colOff>
      <xdr:row>13</xdr:row>
      <xdr:rowOff>172248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587500" y="3112250"/>
          <a:ext cx="1175165" cy="576311"/>
        </a:xfrm>
        <a:prstGeom prst="rect">
          <a:avLst/>
        </a:prstGeom>
        <a:solidFill>
          <a:schemeClr val="bg1">
            <a:lumMod val="85000"/>
          </a:scheme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Text" lastClr="000000">
                  <a:lumMod val="65000"/>
                  <a:lumOff val="35000"/>
                </a:sysClr>
              </a:solidFill>
              <a:effectLst/>
              <a:uLnTx/>
              <a:uFillTx/>
              <a:latin typeface="Calibri" panose="020F0502020204030204"/>
              <a:ea typeface="+mn-ea"/>
              <a:cs typeface="+mn-cs"/>
            </a:rPr>
            <a:t>Detail inputs</a:t>
          </a:r>
        </a:p>
      </xdr:txBody>
    </xdr:sp>
    <xdr:clientData/>
  </xdr:twoCellAnchor>
  <xdr:twoCellAnchor>
    <xdr:from>
      <xdr:col>3</xdr:col>
      <xdr:colOff>1199839</xdr:colOff>
      <xdr:row>8</xdr:row>
      <xdr:rowOff>250000</xdr:rowOff>
    </xdr:from>
    <xdr:to>
      <xdr:col>4</xdr:col>
      <xdr:colOff>925616</xdr:colOff>
      <xdr:row>10</xdr:row>
      <xdr:rowOff>191311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3779527" y="2115313"/>
          <a:ext cx="1186277" cy="576311"/>
        </a:xfrm>
        <a:prstGeom prst="rect">
          <a:avLst/>
        </a:prstGeom>
        <a:solidFill>
          <a:srgbClr val="0070C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Network cost</a:t>
          </a:r>
        </a:p>
      </xdr:txBody>
    </xdr:sp>
    <xdr:clientData/>
  </xdr:twoCellAnchor>
  <xdr:twoCellAnchor>
    <xdr:from>
      <xdr:col>3</xdr:col>
      <xdr:colOff>1199839</xdr:colOff>
      <xdr:row>10</xdr:row>
      <xdr:rowOff>292167</xdr:rowOff>
    </xdr:from>
    <xdr:to>
      <xdr:col>4</xdr:col>
      <xdr:colOff>925616</xdr:colOff>
      <xdr:row>12</xdr:row>
      <xdr:rowOff>230303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400-000004000000}"/>
            </a:ext>
          </a:extLst>
        </xdr:cNvPr>
        <xdr:cNvSpPr/>
      </xdr:nvSpPr>
      <xdr:spPr>
        <a:xfrm>
          <a:off x="3779527" y="2792480"/>
          <a:ext cx="1186277" cy="573136"/>
        </a:xfrm>
        <a:prstGeom prst="rect">
          <a:avLst/>
        </a:prstGeom>
        <a:solidFill>
          <a:srgbClr val="0070C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200" b="1" kern="0">
              <a:solidFill>
                <a:schemeClr val="bg1"/>
              </a:solidFill>
              <a:latin typeface="Calibri" panose="020F0502020204030204"/>
            </a:rPr>
            <a:t>Wholesale cost</a:t>
          </a:r>
          <a:endParaRPr kumimoji="0" lang="en-AU" sz="1200" b="1" i="0" u="none" strike="noStrike" kern="0" cap="none" spc="0" normalizeH="0" baseline="0">
            <a:ln>
              <a:noFill/>
            </a:ln>
            <a:solidFill>
              <a:schemeClr val="bg1"/>
            </a:solidFill>
            <a:effectLst/>
            <a:uLnTx/>
            <a:uFillTx/>
            <a:latin typeface="Calibri" panose="020F0502020204030204"/>
          </a:endParaRPr>
        </a:p>
      </xdr:txBody>
    </xdr:sp>
    <xdr:clientData/>
  </xdr:twoCellAnchor>
  <xdr:twoCellAnchor>
    <xdr:from>
      <xdr:col>3</xdr:col>
      <xdr:colOff>1199839</xdr:colOff>
      <xdr:row>12</xdr:row>
      <xdr:rowOff>335246</xdr:rowOff>
    </xdr:from>
    <xdr:to>
      <xdr:col>4</xdr:col>
      <xdr:colOff>925616</xdr:colOff>
      <xdr:row>15</xdr:row>
      <xdr:rowOff>102567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400-000005000000}"/>
            </a:ext>
          </a:extLst>
        </xdr:cNvPr>
        <xdr:cNvSpPr/>
      </xdr:nvSpPr>
      <xdr:spPr>
        <a:xfrm>
          <a:off x="3779527" y="3470559"/>
          <a:ext cx="1186277" cy="584883"/>
        </a:xfrm>
        <a:prstGeom prst="rect">
          <a:avLst/>
        </a:prstGeom>
        <a:solidFill>
          <a:srgbClr val="0070C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Environmental cost</a:t>
          </a:r>
        </a:p>
      </xdr:txBody>
    </xdr:sp>
    <xdr:clientData/>
  </xdr:twoCellAnchor>
  <xdr:twoCellAnchor>
    <xdr:from>
      <xdr:col>5</xdr:col>
      <xdr:colOff>578115</xdr:colOff>
      <xdr:row>7</xdr:row>
      <xdr:rowOff>102234</xdr:rowOff>
    </xdr:from>
    <xdr:to>
      <xdr:col>6</xdr:col>
      <xdr:colOff>303892</xdr:colOff>
      <xdr:row>9</xdr:row>
      <xdr:rowOff>55610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400-000006000000}"/>
            </a:ext>
          </a:extLst>
        </xdr:cNvPr>
        <xdr:cNvSpPr/>
      </xdr:nvSpPr>
      <xdr:spPr>
        <a:xfrm>
          <a:off x="6064515" y="1711959"/>
          <a:ext cx="1183102" cy="59155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Ausgrid</a:t>
          </a:r>
        </a:p>
      </xdr:txBody>
    </xdr:sp>
    <xdr:clientData/>
  </xdr:twoCellAnchor>
  <xdr:twoCellAnchor>
    <xdr:from>
      <xdr:col>5</xdr:col>
      <xdr:colOff>581290</xdr:colOff>
      <xdr:row>9</xdr:row>
      <xdr:rowOff>163195</xdr:rowOff>
    </xdr:from>
    <xdr:to>
      <xdr:col>6</xdr:col>
      <xdr:colOff>303892</xdr:colOff>
      <xdr:row>11</xdr:row>
      <xdr:rowOff>104506</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0400-000007000000}"/>
            </a:ext>
          </a:extLst>
        </xdr:cNvPr>
        <xdr:cNvSpPr/>
      </xdr:nvSpPr>
      <xdr:spPr>
        <a:xfrm>
          <a:off x="6067690" y="2411095"/>
          <a:ext cx="1179927" cy="579486"/>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Endeavour</a:t>
          </a:r>
        </a:p>
      </xdr:txBody>
    </xdr:sp>
    <xdr:clientData/>
  </xdr:twoCellAnchor>
  <xdr:twoCellAnchor>
    <xdr:from>
      <xdr:col>5</xdr:col>
      <xdr:colOff>578115</xdr:colOff>
      <xdr:row>11</xdr:row>
      <xdr:rowOff>197282</xdr:rowOff>
    </xdr:from>
    <xdr:to>
      <xdr:col>6</xdr:col>
      <xdr:colOff>303892</xdr:colOff>
      <xdr:row>13</xdr:row>
      <xdr:rowOff>144943</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00000000-0008-0000-0400-000008000000}"/>
            </a:ext>
          </a:extLst>
        </xdr:cNvPr>
        <xdr:cNvSpPr/>
      </xdr:nvSpPr>
      <xdr:spPr>
        <a:xfrm>
          <a:off x="6064515" y="3083357"/>
          <a:ext cx="1183102" cy="585836"/>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Essential</a:t>
          </a:r>
        </a:p>
      </xdr:txBody>
    </xdr:sp>
    <xdr:clientData/>
  </xdr:twoCellAnchor>
  <xdr:twoCellAnchor>
    <xdr:from>
      <xdr:col>5</xdr:col>
      <xdr:colOff>578115</xdr:colOff>
      <xdr:row>13</xdr:row>
      <xdr:rowOff>239084</xdr:rowOff>
    </xdr:from>
    <xdr:to>
      <xdr:col>6</xdr:col>
      <xdr:colOff>303892</xdr:colOff>
      <xdr:row>17</xdr:row>
      <xdr:rowOff>15930</xdr:rowOff>
    </xdr:to>
    <xdr:sp macro="" textlink="">
      <xdr:nvSpPr>
        <xdr:cNvPr id="9" name="Rectangle 8">
          <a:hlinkClick xmlns:r="http://schemas.openxmlformats.org/officeDocument/2006/relationships" r:id="rId8"/>
          <a:extLst>
            <a:ext uri="{FF2B5EF4-FFF2-40B4-BE49-F238E27FC236}">
              <a16:creationId xmlns:a16="http://schemas.microsoft.com/office/drawing/2014/main" id="{00000000-0008-0000-0400-000009000000}"/>
            </a:ext>
          </a:extLst>
        </xdr:cNvPr>
        <xdr:cNvSpPr/>
      </xdr:nvSpPr>
      <xdr:spPr>
        <a:xfrm>
          <a:off x="6064515" y="3763334"/>
          <a:ext cx="1183102" cy="576946"/>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Energex</a:t>
          </a:r>
        </a:p>
      </xdr:txBody>
    </xdr:sp>
    <xdr:clientData/>
  </xdr:twoCellAnchor>
  <xdr:twoCellAnchor>
    <xdr:from>
      <xdr:col>5</xdr:col>
      <xdr:colOff>578115</xdr:colOff>
      <xdr:row>17</xdr:row>
      <xdr:rowOff>113611</xdr:rowOff>
    </xdr:from>
    <xdr:to>
      <xdr:col>6</xdr:col>
      <xdr:colOff>303892</xdr:colOff>
      <xdr:row>20</xdr:row>
      <xdr:rowOff>141917</xdr:rowOff>
    </xdr:to>
    <xdr:sp macro="" textlink="">
      <xdr:nvSpPr>
        <xdr:cNvPr id="10" name="Rectangle 9">
          <a:hlinkClick xmlns:r="http://schemas.openxmlformats.org/officeDocument/2006/relationships" r:id="rId9"/>
          <a:extLst>
            <a:ext uri="{FF2B5EF4-FFF2-40B4-BE49-F238E27FC236}">
              <a16:creationId xmlns:a16="http://schemas.microsoft.com/office/drawing/2014/main" id="{00000000-0008-0000-0400-00000A000000}"/>
            </a:ext>
          </a:extLst>
        </xdr:cNvPr>
        <xdr:cNvSpPr/>
      </xdr:nvSpPr>
      <xdr:spPr>
        <a:xfrm>
          <a:off x="6064515" y="4437961"/>
          <a:ext cx="1183102" cy="57123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SAPN</a:t>
          </a:r>
        </a:p>
      </xdr:txBody>
    </xdr:sp>
    <xdr:clientData/>
  </xdr:twoCellAnchor>
  <xdr:twoCellAnchor>
    <xdr:from>
      <xdr:col>3</xdr:col>
      <xdr:colOff>179802</xdr:colOff>
      <xdr:row>9</xdr:row>
      <xdr:rowOff>157156</xdr:rowOff>
    </xdr:from>
    <xdr:to>
      <xdr:col>3</xdr:col>
      <xdr:colOff>1199839</xdr:colOff>
      <xdr:row>12</xdr:row>
      <xdr:rowOff>265093</xdr:rowOff>
    </xdr:to>
    <xdr:cxnSp macro="">
      <xdr:nvCxnSpPr>
        <xdr:cNvPr id="11" name="Elbow Connector 10">
          <a:extLst>
            <a:ext uri="{FF2B5EF4-FFF2-40B4-BE49-F238E27FC236}">
              <a16:creationId xmlns:a16="http://schemas.microsoft.com/office/drawing/2014/main" id="{00000000-0008-0000-0400-00000B000000}"/>
            </a:ext>
          </a:extLst>
        </xdr:cNvPr>
        <xdr:cNvCxnSpPr>
          <a:stCxn id="2" idx="3"/>
          <a:endCxn id="3" idx="1"/>
        </xdr:cNvCxnSpPr>
      </xdr:nvCxnSpPr>
      <xdr:spPr>
        <a:xfrm flipV="1">
          <a:off x="2759490" y="2403469"/>
          <a:ext cx="1020037" cy="996937"/>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179802</xdr:colOff>
      <xdr:row>12</xdr:row>
      <xdr:rowOff>265093</xdr:rowOff>
    </xdr:from>
    <xdr:to>
      <xdr:col>3</xdr:col>
      <xdr:colOff>1199839</xdr:colOff>
      <xdr:row>13</xdr:row>
      <xdr:rowOff>246688</xdr:rowOff>
    </xdr:to>
    <xdr:cxnSp macro="">
      <xdr:nvCxnSpPr>
        <xdr:cNvPr id="12" name="Elbow Connector 11">
          <a:extLst>
            <a:ext uri="{FF2B5EF4-FFF2-40B4-BE49-F238E27FC236}">
              <a16:creationId xmlns:a16="http://schemas.microsoft.com/office/drawing/2014/main" id="{00000000-0008-0000-0400-00000C000000}"/>
            </a:ext>
          </a:extLst>
        </xdr:cNvPr>
        <xdr:cNvCxnSpPr>
          <a:stCxn id="2" idx="3"/>
          <a:endCxn id="5" idx="1"/>
        </xdr:cNvCxnSpPr>
      </xdr:nvCxnSpPr>
      <xdr:spPr>
        <a:xfrm>
          <a:off x="2759490" y="3400406"/>
          <a:ext cx="1020037" cy="362595"/>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179802</xdr:colOff>
      <xdr:row>11</xdr:row>
      <xdr:rowOff>199323</xdr:rowOff>
    </xdr:from>
    <xdr:to>
      <xdr:col>3</xdr:col>
      <xdr:colOff>1199839</xdr:colOff>
      <xdr:row>12</xdr:row>
      <xdr:rowOff>265093</xdr:rowOff>
    </xdr:to>
    <xdr:cxnSp macro="">
      <xdr:nvCxnSpPr>
        <xdr:cNvPr id="13" name="Elbow Connector 12">
          <a:extLst>
            <a:ext uri="{FF2B5EF4-FFF2-40B4-BE49-F238E27FC236}">
              <a16:creationId xmlns:a16="http://schemas.microsoft.com/office/drawing/2014/main" id="{00000000-0008-0000-0400-00000D000000}"/>
            </a:ext>
          </a:extLst>
        </xdr:cNvPr>
        <xdr:cNvCxnSpPr>
          <a:stCxn id="2" idx="3"/>
          <a:endCxn id="4" idx="1"/>
        </xdr:cNvCxnSpPr>
      </xdr:nvCxnSpPr>
      <xdr:spPr>
        <a:xfrm flipV="1">
          <a:off x="2759490" y="3080636"/>
          <a:ext cx="1020037" cy="319770"/>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11</xdr:row>
      <xdr:rowOff>199323</xdr:rowOff>
    </xdr:from>
    <xdr:to>
      <xdr:col>5</xdr:col>
      <xdr:colOff>581290</xdr:colOff>
      <xdr:row>19</xdr:row>
      <xdr:rowOff>38071</xdr:rowOff>
    </xdr:to>
    <xdr:cxnSp macro="">
      <xdr:nvCxnSpPr>
        <xdr:cNvPr id="14" name="Elbow Connector 13">
          <a:extLst>
            <a:ext uri="{FF2B5EF4-FFF2-40B4-BE49-F238E27FC236}">
              <a16:creationId xmlns:a16="http://schemas.microsoft.com/office/drawing/2014/main" id="{00000000-0008-0000-0400-00000E000000}"/>
            </a:ext>
          </a:extLst>
        </xdr:cNvPr>
        <xdr:cNvCxnSpPr>
          <a:stCxn id="4" idx="3"/>
          <a:endCxn id="10" idx="1"/>
        </xdr:cNvCxnSpPr>
      </xdr:nvCxnSpPr>
      <xdr:spPr>
        <a:xfrm>
          <a:off x="4962629" y="3080636"/>
          <a:ext cx="1119349" cy="1640560"/>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11</xdr:row>
      <xdr:rowOff>199323</xdr:rowOff>
    </xdr:from>
    <xdr:to>
      <xdr:col>5</xdr:col>
      <xdr:colOff>581290</xdr:colOff>
      <xdr:row>15</xdr:row>
      <xdr:rowOff>90201</xdr:rowOff>
    </xdr:to>
    <xdr:cxnSp macro="">
      <xdr:nvCxnSpPr>
        <xdr:cNvPr id="15" name="Elbow Connector 14">
          <a:extLst>
            <a:ext uri="{FF2B5EF4-FFF2-40B4-BE49-F238E27FC236}">
              <a16:creationId xmlns:a16="http://schemas.microsoft.com/office/drawing/2014/main" id="{00000000-0008-0000-0400-00000F000000}"/>
            </a:ext>
          </a:extLst>
        </xdr:cNvPr>
        <xdr:cNvCxnSpPr>
          <a:stCxn id="4" idx="3"/>
          <a:endCxn id="9" idx="1"/>
        </xdr:cNvCxnSpPr>
      </xdr:nvCxnSpPr>
      <xdr:spPr>
        <a:xfrm>
          <a:off x="4962629" y="3080636"/>
          <a:ext cx="1119349" cy="962440"/>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8</xdr:row>
      <xdr:rowOff>144010</xdr:rowOff>
    </xdr:from>
    <xdr:to>
      <xdr:col>5</xdr:col>
      <xdr:colOff>581290</xdr:colOff>
      <xdr:row>11</xdr:row>
      <xdr:rowOff>199323</xdr:rowOff>
    </xdr:to>
    <xdr:cxnSp macro="">
      <xdr:nvCxnSpPr>
        <xdr:cNvPr id="16" name="Elbow Connector 15">
          <a:extLst>
            <a:ext uri="{FF2B5EF4-FFF2-40B4-BE49-F238E27FC236}">
              <a16:creationId xmlns:a16="http://schemas.microsoft.com/office/drawing/2014/main" id="{00000000-0008-0000-0400-000010000000}"/>
            </a:ext>
          </a:extLst>
        </xdr:cNvPr>
        <xdr:cNvCxnSpPr>
          <a:stCxn id="4" idx="3"/>
          <a:endCxn id="6" idx="1"/>
        </xdr:cNvCxnSpPr>
      </xdr:nvCxnSpPr>
      <xdr:spPr>
        <a:xfrm flipV="1">
          <a:off x="4962629" y="2009323"/>
          <a:ext cx="1119349" cy="1071313"/>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10</xdr:row>
      <xdr:rowOff>197351</xdr:rowOff>
    </xdr:from>
    <xdr:to>
      <xdr:col>5</xdr:col>
      <xdr:colOff>578115</xdr:colOff>
      <xdr:row>11</xdr:row>
      <xdr:rowOff>199323</xdr:rowOff>
    </xdr:to>
    <xdr:cxnSp macro="">
      <xdr:nvCxnSpPr>
        <xdr:cNvPr id="17" name="Elbow Connector 16">
          <a:extLst>
            <a:ext uri="{FF2B5EF4-FFF2-40B4-BE49-F238E27FC236}">
              <a16:creationId xmlns:a16="http://schemas.microsoft.com/office/drawing/2014/main" id="{00000000-0008-0000-0400-000011000000}"/>
            </a:ext>
          </a:extLst>
        </xdr:cNvPr>
        <xdr:cNvCxnSpPr>
          <a:stCxn id="4" idx="3"/>
          <a:endCxn id="7" idx="1"/>
        </xdr:cNvCxnSpPr>
      </xdr:nvCxnSpPr>
      <xdr:spPr>
        <a:xfrm flipV="1">
          <a:off x="4962629" y="2697664"/>
          <a:ext cx="1116174" cy="382972"/>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13</xdr:row>
      <xdr:rowOff>246688</xdr:rowOff>
    </xdr:from>
    <xdr:to>
      <xdr:col>5</xdr:col>
      <xdr:colOff>581290</xdr:colOff>
      <xdr:row>15</xdr:row>
      <xdr:rowOff>90201</xdr:rowOff>
    </xdr:to>
    <xdr:cxnSp macro="">
      <xdr:nvCxnSpPr>
        <xdr:cNvPr id="18" name="Elbow Connector 17">
          <a:extLst>
            <a:ext uri="{FF2B5EF4-FFF2-40B4-BE49-F238E27FC236}">
              <a16:creationId xmlns:a16="http://schemas.microsoft.com/office/drawing/2014/main" id="{00000000-0008-0000-0400-000012000000}"/>
            </a:ext>
          </a:extLst>
        </xdr:cNvPr>
        <xdr:cNvCxnSpPr>
          <a:stCxn id="5" idx="3"/>
          <a:endCxn id="9" idx="1"/>
        </xdr:cNvCxnSpPr>
      </xdr:nvCxnSpPr>
      <xdr:spPr>
        <a:xfrm>
          <a:off x="4962629" y="3763001"/>
          <a:ext cx="1119349" cy="280075"/>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9</xdr:row>
      <xdr:rowOff>157156</xdr:rowOff>
    </xdr:from>
    <xdr:to>
      <xdr:col>5</xdr:col>
      <xdr:colOff>581290</xdr:colOff>
      <xdr:row>12</xdr:row>
      <xdr:rowOff>234613</xdr:rowOff>
    </xdr:to>
    <xdr:cxnSp macro="">
      <xdr:nvCxnSpPr>
        <xdr:cNvPr id="19" name="Elbow Connector 18">
          <a:extLst>
            <a:ext uri="{FF2B5EF4-FFF2-40B4-BE49-F238E27FC236}">
              <a16:creationId xmlns:a16="http://schemas.microsoft.com/office/drawing/2014/main" id="{00000000-0008-0000-0400-000013000000}"/>
            </a:ext>
          </a:extLst>
        </xdr:cNvPr>
        <xdr:cNvCxnSpPr>
          <a:stCxn id="3" idx="3"/>
          <a:endCxn id="8" idx="1"/>
        </xdr:cNvCxnSpPr>
      </xdr:nvCxnSpPr>
      <xdr:spPr>
        <a:xfrm>
          <a:off x="4962629" y="2403469"/>
          <a:ext cx="1119349" cy="966457"/>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303892</xdr:colOff>
      <xdr:row>12</xdr:row>
      <xdr:rowOff>219575</xdr:rowOff>
    </xdr:from>
    <xdr:to>
      <xdr:col>7</xdr:col>
      <xdr:colOff>579121</xdr:colOff>
      <xdr:row>19</xdr:row>
      <xdr:rowOff>38864</xdr:rowOff>
    </xdr:to>
    <xdr:cxnSp macro="">
      <xdr:nvCxnSpPr>
        <xdr:cNvPr id="20" name="Elbow Connector 19">
          <a:extLst>
            <a:ext uri="{FF2B5EF4-FFF2-40B4-BE49-F238E27FC236}">
              <a16:creationId xmlns:a16="http://schemas.microsoft.com/office/drawing/2014/main" id="{00000000-0008-0000-0400-000014000000}"/>
            </a:ext>
          </a:extLst>
        </xdr:cNvPr>
        <xdr:cNvCxnSpPr>
          <a:stCxn id="10" idx="3"/>
          <a:endCxn id="36" idx="1"/>
        </xdr:cNvCxnSpPr>
      </xdr:nvCxnSpPr>
      <xdr:spPr>
        <a:xfrm flipV="1">
          <a:off x="7247617" y="3362825"/>
          <a:ext cx="1113429" cy="136233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303892</xdr:colOff>
      <xdr:row>8</xdr:row>
      <xdr:rowOff>142422</xdr:rowOff>
    </xdr:from>
    <xdr:to>
      <xdr:col>7</xdr:col>
      <xdr:colOff>582296</xdr:colOff>
      <xdr:row>15</xdr:row>
      <xdr:rowOff>86495</xdr:rowOff>
    </xdr:to>
    <xdr:cxnSp macro="">
      <xdr:nvCxnSpPr>
        <xdr:cNvPr id="21" name="Elbow Connector 20">
          <a:extLst>
            <a:ext uri="{FF2B5EF4-FFF2-40B4-BE49-F238E27FC236}">
              <a16:creationId xmlns:a16="http://schemas.microsoft.com/office/drawing/2014/main" id="{00000000-0008-0000-0400-000015000000}"/>
            </a:ext>
          </a:extLst>
        </xdr:cNvPr>
        <xdr:cNvCxnSpPr>
          <a:stCxn id="6" idx="3"/>
          <a:endCxn id="37" idx="1"/>
        </xdr:cNvCxnSpPr>
      </xdr:nvCxnSpPr>
      <xdr:spPr>
        <a:xfrm>
          <a:off x="7247617" y="2009322"/>
          <a:ext cx="1116604" cy="2039573"/>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87093</xdr:colOff>
      <xdr:row>12</xdr:row>
      <xdr:rowOff>215766</xdr:rowOff>
    </xdr:from>
    <xdr:to>
      <xdr:col>9</xdr:col>
      <xdr:colOff>428624</xdr:colOff>
      <xdr:row>12</xdr:row>
      <xdr:rowOff>219575</xdr:rowOff>
    </xdr:to>
    <xdr:cxnSp macro="">
      <xdr:nvCxnSpPr>
        <xdr:cNvPr id="22" name="Elbow Connector 21">
          <a:extLst>
            <a:ext uri="{FF2B5EF4-FFF2-40B4-BE49-F238E27FC236}">
              <a16:creationId xmlns:a16="http://schemas.microsoft.com/office/drawing/2014/main" id="{00000000-0008-0000-0400-000016000000}"/>
            </a:ext>
          </a:extLst>
        </xdr:cNvPr>
        <xdr:cNvCxnSpPr>
          <a:stCxn id="36" idx="3"/>
          <a:endCxn id="34" idx="1"/>
        </xdr:cNvCxnSpPr>
      </xdr:nvCxnSpPr>
      <xdr:spPr>
        <a:xfrm flipV="1">
          <a:off x="9545418" y="3359016"/>
          <a:ext cx="341531" cy="3809"/>
        </a:xfrm>
        <a:prstGeom prst="bentConnector3">
          <a:avLst>
            <a:gd name="adj1" fmla="val 50000"/>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303892</xdr:colOff>
      <xdr:row>10</xdr:row>
      <xdr:rowOff>195763</xdr:rowOff>
    </xdr:from>
    <xdr:to>
      <xdr:col>7</xdr:col>
      <xdr:colOff>579121</xdr:colOff>
      <xdr:row>12</xdr:row>
      <xdr:rowOff>219575</xdr:rowOff>
    </xdr:to>
    <xdr:cxnSp macro="">
      <xdr:nvCxnSpPr>
        <xdr:cNvPr id="23" name="Elbow Connector 22">
          <a:extLst>
            <a:ext uri="{FF2B5EF4-FFF2-40B4-BE49-F238E27FC236}">
              <a16:creationId xmlns:a16="http://schemas.microsoft.com/office/drawing/2014/main" id="{00000000-0008-0000-0400-000017000000}"/>
            </a:ext>
          </a:extLst>
        </xdr:cNvPr>
        <xdr:cNvCxnSpPr>
          <a:stCxn id="7" idx="3"/>
          <a:endCxn id="36" idx="1"/>
        </xdr:cNvCxnSpPr>
      </xdr:nvCxnSpPr>
      <xdr:spPr>
        <a:xfrm>
          <a:off x="7247617" y="2700838"/>
          <a:ext cx="1113429" cy="661987"/>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10795</xdr:colOff>
      <xdr:row>14</xdr:row>
      <xdr:rowOff>21818</xdr:rowOff>
    </xdr:from>
    <xdr:to>
      <xdr:col>3</xdr:col>
      <xdr:colOff>182977</xdr:colOff>
      <xdr:row>17</xdr:row>
      <xdr:rowOff>50124</xdr:rowOff>
    </xdr:to>
    <xdr:sp macro="" textlink="">
      <xdr:nvSpPr>
        <xdr:cNvPr id="24" name="Rectangle 23">
          <a:hlinkClick xmlns:r="http://schemas.openxmlformats.org/officeDocument/2006/relationships" r:id="rId10"/>
          <a:extLst>
            <a:ext uri="{FF2B5EF4-FFF2-40B4-BE49-F238E27FC236}">
              <a16:creationId xmlns:a16="http://schemas.microsoft.com/office/drawing/2014/main" id="{00000000-0008-0000-0400-000018000000}"/>
            </a:ext>
          </a:extLst>
        </xdr:cNvPr>
        <xdr:cNvSpPr/>
      </xdr:nvSpPr>
      <xdr:spPr>
        <a:xfrm>
          <a:off x="1598295" y="3792131"/>
          <a:ext cx="1164370" cy="575993"/>
        </a:xfrm>
        <a:prstGeom prst="rect">
          <a:avLst/>
        </a:prstGeom>
        <a:solidFill>
          <a:schemeClr val="bg1">
            <a:lumMod val="85000"/>
          </a:scheme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Text" lastClr="000000">
                  <a:lumMod val="65000"/>
                  <a:lumOff val="35000"/>
                </a:sysClr>
              </a:solidFill>
              <a:effectLst/>
              <a:uLnTx/>
              <a:uFillTx/>
              <a:latin typeface="Calibri" panose="020F0502020204030204"/>
              <a:ea typeface="+mn-ea"/>
              <a:cs typeface="+mn-cs"/>
            </a:rPr>
            <a:t>Usage</a:t>
          </a:r>
        </a:p>
      </xdr:txBody>
    </xdr:sp>
    <xdr:clientData/>
  </xdr:twoCellAnchor>
  <xdr:twoCellAnchor>
    <xdr:from>
      <xdr:col>3</xdr:col>
      <xdr:colOff>175681</xdr:colOff>
      <xdr:row>13</xdr:row>
      <xdr:rowOff>247482</xdr:rowOff>
    </xdr:from>
    <xdr:to>
      <xdr:col>3</xdr:col>
      <xdr:colOff>1199839</xdr:colOff>
      <xdr:row>15</xdr:row>
      <xdr:rowOff>129634</xdr:rowOff>
    </xdr:to>
    <xdr:cxnSp macro="">
      <xdr:nvCxnSpPr>
        <xdr:cNvPr id="25" name="Elbow Connector 24">
          <a:extLst>
            <a:ext uri="{FF2B5EF4-FFF2-40B4-BE49-F238E27FC236}">
              <a16:creationId xmlns:a16="http://schemas.microsoft.com/office/drawing/2014/main" id="{00000000-0008-0000-0400-000019000000}"/>
            </a:ext>
          </a:extLst>
        </xdr:cNvPr>
        <xdr:cNvCxnSpPr/>
      </xdr:nvCxnSpPr>
      <xdr:spPr>
        <a:xfrm flipV="1">
          <a:off x="2633131" y="3752682"/>
          <a:ext cx="1024158" cy="320302"/>
        </a:xfrm>
        <a:prstGeom prst="bentConnector3">
          <a:avLst>
            <a:gd name="adj1" fmla="val 50000"/>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656792</xdr:colOff>
      <xdr:row>10</xdr:row>
      <xdr:rowOff>20083</xdr:rowOff>
    </xdr:from>
    <xdr:to>
      <xdr:col>3</xdr:col>
      <xdr:colOff>656792</xdr:colOff>
      <xdr:row>10</xdr:row>
      <xdr:rowOff>20083</xdr:rowOff>
    </xdr:to>
    <xdr:sp macro="" textlink="">
      <xdr:nvSpPr>
        <xdr:cNvPr id="26" name="Oval 25">
          <a:extLst>
            <a:ext uri="{FF2B5EF4-FFF2-40B4-BE49-F238E27FC236}">
              <a16:creationId xmlns:a16="http://schemas.microsoft.com/office/drawing/2014/main" id="{00000000-0008-0000-0400-00001A000000}"/>
            </a:ext>
          </a:extLst>
        </xdr:cNvPr>
        <xdr:cNvSpPr/>
      </xdr:nvSpPr>
      <xdr:spPr>
        <a:xfrm>
          <a:off x="2820872" y="2511823"/>
          <a:ext cx="0" cy="0"/>
        </a:xfrm>
        <a:prstGeom prst="ellipse">
          <a:avLst/>
        </a:prstGeom>
        <a:solidFill>
          <a:schemeClr val="accent5">
            <a:lumMod val="95000"/>
            <a:lumOff val="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sz="1600">
            <a:solidFill>
              <a:schemeClr val="bg1">
                <a:lumMod val="50000"/>
              </a:schemeClr>
            </a:solidFill>
          </a:endParaRPr>
        </a:p>
      </xdr:txBody>
    </xdr:sp>
    <xdr:clientData/>
  </xdr:twoCellAnchor>
  <xdr:twoCellAnchor>
    <xdr:from>
      <xdr:col>6</xdr:col>
      <xdr:colOff>303892</xdr:colOff>
      <xdr:row>10</xdr:row>
      <xdr:rowOff>195763</xdr:rowOff>
    </xdr:from>
    <xdr:to>
      <xdr:col>7</xdr:col>
      <xdr:colOff>582296</xdr:colOff>
      <xdr:row>12</xdr:row>
      <xdr:rowOff>233025</xdr:rowOff>
    </xdr:to>
    <xdr:cxnSp macro="">
      <xdr:nvCxnSpPr>
        <xdr:cNvPr id="27" name="Elbow Connector 26">
          <a:extLst>
            <a:ext uri="{FF2B5EF4-FFF2-40B4-BE49-F238E27FC236}">
              <a16:creationId xmlns:a16="http://schemas.microsoft.com/office/drawing/2014/main" id="{00000000-0008-0000-0400-00001B000000}"/>
            </a:ext>
          </a:extLst>
        </xdr:cNvPr>
        <xdr:cNvCxnSpPr>
          <a:stCxn id="8" idx="3"/>
          <a:endCxn id="35" idx="1"/>
        </xdr:cNvCxnSpPr>
      </xdr:nvCxnSpPr>
      <xdr:spPr>
        <a:xfrm flipV="1">
          <a:off x="7247617" y="2700838"/>
          <a:ext cx="1116604" cy="675437"/>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12</xdr:row>
      <xdr:rowOff>68580</xdr:rowOff>
    </xdr:from>
    <xdr:to>
      <xdr:col>3</xdr:col>
      <xdr:colOff>731520</xdr:colOff>
      <xdr:row>13</xdr:row>
      <xdr:rowOff>22860</xdr:rowOff>
    </xdr:to>
    <xdr:sp macro="" textlink="">
      <xdr:nvSpPr>
        <xdr:cNvPr id="28" name="Rectangle 27">
          <a:extLst>
            <a:ext uri="{FF2B5EF4-FFF2-40B4-BE49-F238E27FC236}">
              <a16:creationId xmlns:a16="http://schemas.microsoft.com/office/drawing/2014/main" id="{00000000-0008-0000-0400-00001C000000}"/>
            </a:ext>
          </a:extLst>
        </xdr:cNvPr>
        <xdr:cNvSpPr/>
      </xdr:nvSpPr>
      <xdr:spPr>
        <a:xfrm>
          <a:off x="2316480" y="3192780"/>
          <a:ext cx="579120" cy="33528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inputs</a:t>
          </a:r>
        </a:p>
      </xdr:txBody>
    </xdr:sp>
    <xdr:clientData/>
  </xdr:twoCellAnchor>
  <xdr:twoCellAnchor>
    <xdr:from>
      <xdr:col>4</xdr:col>
      <xdr:colOff>1028699</xdr:colOff>
      <xdr:row>10</xdr:row>
      <xdr:rowOff>171450</xdr:rowOff>
    </xdr:from>
    <xdr:to>
      <xdr:col>5</xdr:col>
      <xdr:colOff>428625</xdr:colOff>
      <xdr:row>13</xdr:row>
      <xdr:rowOff>0</xdr:rowOff>
    </xdr:to>
    <xdr:sp macro="" textlink="">
      <xdr:nvSpPr>
        <xdr:cNvPr id="29" name="Rectangle 28">
          <a:extLst>
            <a:ext uri="{FF2B5EF4-FFF2-40B4-BE49-F238E27FC236}">
              <a16:creationId xmlns:a16="http://schemas.microsoft.com/office/drawing/2014/main" id="{00000000-0008-0000-0400-00001D000000}"/>
            </a:ext>
          </a:extLst>
        </xdr:cNvPr>
        <xdr:cNvSpPr/>
      </xdr:nvSpPr>
      <xdr:spPr>
        <a:xfrm>
          <a:off x="4876799" y="2667000"/>
          <a:ext cx="790576" cy="838200"/>
        </a:xfrm>
        <a:prstGeom prst="rect">
          <a:avLst/>
        </a:prstGeom>
        <a:solidFill>
          <a:srgbClr val="FFFFFF">
            <a:alpha val="50196"/>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components and % change for each region</a:t>
          </a:r>
        </a:p>
      </xdr:txBody>
    </xdr:sp>
    <xdr:clientData/>
  </xdr:twoCellAnchor>
  <xdr:twoCellAnchor>
    <xdr:from>
      <xdr:col>6</xdr:col>
      <xdr:colOff>337185</xdr:colOff>
      <xdr:row>10</xdr:row>
      <xdr:rowOff>344805</xdr:rowOff>
    </xdr:from>
    <xdr:to>
      <xdr:col>7</xdr:col>
      <xdr:colOff>577281</xdr:colOff>
      <xdr:row>12</xdr:row>
      <xdr:rowOff>144393</xdr:rowOff>
    </xdr:to>
    <xdr:sp macro="" textlink="">
      <xdr:nvSpPr>
        <xdr:cNvPr id="30" name="Rectangle 29">
          <a:extLst>
            <a:ext uri="{FF2B5EF4-FFF2-40B4-BE49-F238E27FC236}">
              <a16:creationId xmlns:a16="http://schemas.microsoft.com/office/drawing/2014/main" id="{00000000-0008-0000-0400-00001E000000}"/>
            </a:ext>
          </a:extLst>
        </xdr:cNvPr>
        <xdr:cNvSpPr/>
      </xdr:nvSpPr>
      <xdr:spPr>
        <a:xfrm>
          <a:off x="6966585" y="2840355"/>
          <a:ext cx="1040196" cy="428238"/>
        </a:xfrm>
        <a:prstGeom prst="rect">
          <a:avLst/>
        </a:prstGeom>
        <a:solidFill>
          <a:srgbClr val="FFFFFF">
            <a:alpha val="50196"/>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stacks and changes in underlying costs</a:t>
          </a:r>
        </a:p>
      </xdr:txBody>
    </xdr:sp>
    <xdr:clientData/>
  </xdr:twoCellAnchor>
  <xdr:twoCellAnchor>
    <xdr:from>
      <xdr:col>3</xdr:col>
      <xdr:colOff>150714</xdr:colOff>
      <xdr:row>14</xdr:row>
      <xdr:rowOff>76200</xdr:rowOff>
    </xdr:from>
    <xdr:to>
      <xdr:col>3</xdr:col>
      <xdr:colOff>746760</xdr:colOff>
      <xdr:row>16</xdr:row>
      <xdr:rowOff>142488</xdr:rowOff>
    </xdr:to>
    <xdr:sp macro="" textlink="">
      <xdr:nvSpPr>
        <xdr:cNvPr id="31" name="Rectangle 30">
          <a:extLst>
            <a:ext uri="{FF2B5EF4-FFF2-40B4-BE49-F238E27FC236}">
              <a16:creationId xmlns:a16="http://schemas.microsoft.com/office/drawing/2014/main" id="{00000000-0008-0000-0400-00001F000000}"/>
            </a:ext>
          </a:extLst>
        </xdr:cNvPr>
        <xdr:cNvSpPr/>
      </xdr:nvSpPr>
      <xdr:spPr>
        <a:xfrm>
          <a:off x="2314794" y="3832860"/>
          <a:ext cx="596046" cy="432048"/>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Usage inputs</a:t>
          </a:r>
        </a:p>
      </xdr:txBody>
    </xdr:sp>
    <xdr:clientData/>
  </xdr:twoCellAnchor>
  <xdr:twoCellAnchor>
    <xdr:from>
      <xdr:col>3</xdr:col>
      <xdr:colOff>1150727</xdr:colOff>
      <xdr:row>5</xdr:row>
      <xdr:rowOff>67560</xdr:rowOff>
    </xdr:from>
    <xdr:to>
      <xdr:col>4</xdr:col>
      <xdr:colOff>869314</xdr:colOff>
      <xdr:row>6</xdr:row>
      <xdr:rowOff>152400</xdr:rowOff>
    </xdr:to>
    <xdr:sp macro="" textlink="">
      <xdr:nvSpPr>
        <xdr:cNvPr id="32" name="Rectangle 31">
          <a:extLst>
            <a:ext uri="{FF2B5EF4-FFF2-40B4-BE49-F238E27FC236}">
              <a16:creationId xmlns:a16="http://schemas.microsoft.com/office/drawing/2014/main" id="{00000000-0008-0000-0400-000020000000}"/>
            </a:ext>
          </a:extLst>
        </xdr:cNvPr>
        <xdr:cNvSpPr/>
      </xdr:nvSpPr>
      <xdr:spPr>
        <a:xfrm>
          <a:off x="3722477" y="1039110"/>
          <a:ext cx="1175912" cy="342015"/>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Cost calculations for DMO prices</a:t>
          </a:r>
        </a:p>
      </xdr:txBody>
    </xdr:sp>
    <xdr:clientData/>
  </xdr:twoCellAnchor>
  <xdr:twoCellAnchor>
    <xdr:from>
      <xdr:col>5</xdr:col>
      <xdr:colOff>350520</xdr:colOff>
      <xdr:row>5</xdr:row>
      <xdr:rowOff>44700</xdr:rowOff>
    </xdr:from>
    <xdr:to>
      <xdr:col>6</xdr:col>
      <xdr:colOff>487680</xdr:colOff>
      <xdr:row>6</xdr:row>
      <xdr:rowOff>129540</xdr:rowOff>
    </xdr:to>
    <xdr:sp macro="" textlink="">
      <xdr:nvSpPr>
        <xdr:cNvPr id="33" name="Rectangle 32">
          <a:extLst>
            <a:ext uri="{FF2B5EF4-FFF2-40B4-BE49-F238E27FC236}">
              <a16:creationId xmlns:a16="http://schemas.microsoft.com/office/drawing/2014/main" id="{00000000-0008-0000-0400-000021000000}"/>
            </a:ext>
          </a:extLst>
        </xdr:cNvPr>
        <xdr:cNvSpPr/>
      </xdr:nvSpPr>
      <xdr:spPr>
        <a:xfrm>
          <a:off x="5349240" y="1020060"/>
          <a:ext cx="1554480"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rgbClr val="8064A2">
                  <a:lumMod val="75000"/>
                </a:srgbClr>
              </a:solidFill>
              <a:effectLst/>
              <a:uLnTx/>
              <a:uFillTx/>
              <a:latin typeface="+mn-lt"/>
              <a:ea typeface="+mn-ea"/>
              <a:cs typeface="+mn-cs"/>
            </a:rPr>
            <a:t>Regional cost assessment to determine DMO prices</a:t>
          </a:r>
        </a:p>
      </xdr:txBody>
    </xdr:sp>
    <xdr:clientData/>
  </xdr:twoCellAnchor>
  <xdr:twoCellAnchor>
    <xdr:from>
      <xdr:col>9</xdr:col>
      <xdr:colOff>428624</xdr:colOff>
      <xdr:row>11</xdr:row>
      <xdr:rowOff>180976</xdr:rowOff>
    </xdr:from>
    <xdr:to>
      <xdr:col>11</xdr:col>
      <xdr:colOff>377949</xdr:colOff>
      <xdr:row>13</xdr:row>
      <xdr:rowOff>126731</xdr:rowOff>
    </xdr:to>
    <xdr:sp macro="" textlink="">
      <xdr:nvSpPr>
        <xdr:cNvPr id="34" name="Rectangle 33">
          <a:hlinkClick xmlns:r="http://schemas.openxmlformats.org/officeDocument/2006/relationships" r:id="rId11"/>
          <a:extLst>
            <a:ext uri="{FF2B5EF4-FFF2-40B4-BE49-F238E27FC236}">
              <a16:creationId xmlns:a16="http://schemas.microsoft.com/office/drawing/2014/main" id="{00000000-0008-0000-0400-000022000000}"/>
            </a:ext>
          </a:extLst>
        </xdr:cNvPr>
        <xdr:cNvSpPr/>
      </xdr:nvSpPr>
      <xdr:spPr>
        <a:xfrm>
          <a:off x="9886949" y="3067051"/>
          <a:ext cx="1187575" cy="583930"/>
        </a:xfrm>
        <a:prstGeom prst="rect">
          <a:avLst/>
        </a:prstGeom>
        <a:solidFill>
          <a:srgbClr val="C14E00">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lvl="0" algn="ctr">
            <a:defRPr/>
          </a:pPr>
          <a:r>
            <a:rPr lang="en-AU" sz="1200" b="1" kern="0">
              <a:solidFill>
                <a:sysClr val="window" lastClr="FFFFFF"/>
              </a:solidFill>
              <a:latin typeface="Calibri" panose="020F0502020204030204"/>
            </a:rPr>
            <a:t>Overall summary</a:t>
          </a:r>
        </a:p>
      </xdr:txBody>
    </xdr:sp>
    <xdr:clientData/>
  </xdr:twoCellAnchor>
  <xdr:twoCellAnchor>
    <xdr:from>
      <xdr:col>7</xdr:col>
      <xdr:colOff>579121</xdr:colOff>
      <xdr:row>9</xdr:row>
      <xdr:rowOff>163195</xdr:rowOff>
    </xdr:from>
    <xdr:to>
      <xdr:col>9</xdr:col>
      <xdr:colOff>87093</xdr:colOff>
      <xdr:row>11</xdr:row>
      <xdr:rowOff>104506</xdr:rowOff>
    </xdr:to>
    <xdr:sp macro="" textlink="">
      <xdr:nvSpPr>
        <xdr:cNvPr id="35" name="Rectangle 34">
          <a:hlinkClick xmlns:r="http://schemas.openxmlformats.org/officeDocument/2006/relationships" r:id="rId12"/>
          <a:extLst>
            <a:ext uri="{FF2B5EF4-FFF2-40B4-BE49-F238E27FC236}">
              <a16:creationId xmlns:a16="http://schemas.microsoft.com/office/drawing/2014/main" id="{00000000-0008-0000-0400-000023000000}"/>
            </a:ext>
          </a:extLst>
        </xdr:cNvPr>
        <xdr:cNvSpPr/>
      </xdr:nvSpPr>
      <xdr:spPr>
        <a:xfrm>
          <a:off x="8361046" y="2411095"/>
          <a:ext cx="1184372" cy="579486"/>
        </a:xfrm>
        <a:prstGeom prst="rect">
          <a:avLst/>
        </a:prstGeom>
        <a:solidFill>
          <a:srgbClr val="70303C">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 lastClr="FFFFFF"/>
              </a:solidFill>
              <a:effectLst/>
              <a:uLnTx/>
              <a:uFillTx/>
              <a:latin typeface="Calibri" panose="020F0502020204030204"/>
            </a:rPr>
            <a:t>Residential </a:t>
          </a:r>
          <a:r>
            <a:rPr kumimoji="0" lang="en-AU" sz="1200" b="1" i="0" u="none" strike="noStrike" kern="0" cap="none" spc="0" normalizeH="0">
              <a:ln>
                <a:noFill/>
              </a:ln>
              <a:solidFill>
                <a:sysClr val="window" lastClr="FFFFFF"/>
              </a:solidFill>
              <a:effectLst/>
              <a:uLnTx/>
              <a:uFillTx/>
              <a:latin typeface="Calibri" panose="020F0502020204030204"/>
            </a:rPr>
            <a:t> without CL</a:t>
          </a:r>
          <a:endParaRPr kumimoji="0" lang="en-AU" sz="1200" b="1" i="0" u="none" strike="noStrike" kern="0" cap="none" spc="0" normalizeH="0" baseline="0">
            <a:ln>
              <a:noFill/>
            </a:ln>
            <a:solidFill>
              <a:sysClr val="window" lastClr="FFFFFF"/>
            </a:solidFill>
            <a:effectLst/>
            <a:uLnTx/>
            <a:uFillTx/>
            <a:latin typeface="Calibri" panose="020F0502020204030204"/>
          </a:endParaRPr>
        </a:p>
      </xdr:txBody>
    </xdr:sp>
    <xdr:clientData/>
  </xdr:twoCellAnchor>
  <xdr:twoCellAnchor>
    <xdr:from>
      <xdr:col>7</xdr:col>
      <xdr:colOff>582296</xdr:colOff>
      <xdr:row>11</xdr:row>
      <xdr:rowOff>188594</xdr:rowOff>
    </xdr:from>
    <xdr:to>
      <xdr:col>9</xdr:col>
      <xdr:colOff>83918</xdr:colOff>
      <xdr:row>13</xdr:row>
      <xdr:rowOff>129905</xdr:rowOff>
    </xdr:to>
    <xdr:sp macro="" textlink="">
      <xdr:nvSpPr>
        <xdr:cNvPr id="36" name="Rectangle 35">
          <a:hlinkClick xmlns:r="http://schemas.openxmlformats.org/officeDocument/2006/relationships" r:id="rId13"/>
          <a:extLst>
            <a:ext uri="{FF2B5EF4-FFF2-40B4-BE49-F238E27FC236}">
              <a16:creationId xmlns:a16="http://schemas.microsoft.com/office/drawing/2014/main" id="{00000000-0008-0000-0400-000024000000}"/>
            </a:ext>
          </a:extLst>
        </xdr:cNvPr>
        <xdr:cNvSpPr/>
      </xdr:nvSpPr>
      <xdr:spPr>
        <a:xfrm>
          <a:off x="8364221" y="3074669"/>
          <a:ext cx="1178022" cy="579486"/>
        </a:xfrm>
        <a:prstGeom prst="rect">
          <a:avLst/>
        </a:prstGeom>
        <a:solidFill>
          <a:srgbClr val="70303C">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lvl="0" algn="ctr">
            <a:defRPr/>
          </a:pPr>
          <a:r>
            <a:rPr lang="en-AU" sz="1200" b="1" kern="0">
              <a:solidFill>
                <a:sysClr val="window" lastClr="FFFFFF"/>
              </a:solidFill>
              <a:latin typeface="Calibri" panose="020F0502020204030204"/>
            </a:rPr>
            <a:t>Residential with CL</a:t>
          </a:r>
        </a:p>
      </xdr:txBody>
    </xdr:sp>
    <xdr:clientData/>
  </xdr:twoCellAnchor>
  <xdr:twoCellAnchor>
    <xdr:from>
      <xdr:col>7</xdr:col>
      <xdr:colOff>579121</xdr:colOff>
      <xdr:row>13</xdr:row>
      <xdr:rowOff>237759</xdr:rowOff>
    </xdr:from>
    <xdr:to>
      <xdr:col>9</xdr:col>
      <xdr:colOff>80743</xdr:colOff>
      <xdr:row>17</xdr:row>
      <xdr:rowOff>11430</xdr:rowOff>
    </xdr:to>
    <xdr:sp macro="" textlink="">
      <xdr:nvSpPr>
        <xdr:cNvPr id="37" name="Rectangle 36">
          <a:hlinkClick xmlns:r="http://schemas.openxmlformats.org/officeDocument/2006/relationships" r:id="rId14"/>
          <a:extLst>
            <a:ext uri="{FF2B5EF4-FFF2-40B4-BE49-F238E27FC236}">
              <a16:creationId xmlns:a16="http://schemas.microsoft.com/office/drawing/2014/main" id="{00000000-0008-0000-0400-000025000000}"/>
            </a:ext>
          </a:extLst>
        </xdr:cNvPr>
        <xdr:cNvSpPr/>
      </xdr:nvSpPr>
      <xdr:spPr>
        <a:xfrm>
          <a:off x="8361046" y="3762009"/>
          <a:ext cx="1178022" cy="573771"/>
        </a:xfrm>
        <a:prstGeom prst="rect">
          <a:avLst/>
        </a:prstGeom>
        <a:solidFill>
          <a:srgbClr val="70303C">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 lastClr="FFFFFF"/>
              </a:solidFill>
              <a:effectLst/>
              <a:uLnTx/>
              <a:uFillTx/>
              <a:latin typeface="Calibri" panose="020F0502020204030204"/>
            </a:rPr>
            <a:t>Small business  without</a:t>
          </a:r>
          <a:r>
            <a:rPr kumimoji="0" lang="en-AU" sz="1200" b="1" i="0" u="none" strike="noStrike" kern="0" cap="none" spc="0" normalizeH="0">
              <a:ln>
                <a:noFill/>
              </a:ln>
              <a:solidFill>
                <a:sysClr val="window" lastClr="FFFFFF"/>
              </a:solidFill>
              <a:effectLst/>
              <a:uLnTx/>
              <a:uFillTx/>
              <a:latin typeface="Calibri" panose="020F0502020204030204"/>
            </a:rPr>
            <a:t> CL</a:t>
          </a:r>
          <a:endParaRPr kumimoji="0" lang="en-AU" sz="1200" b="1" i="0" u="none" strike="noStrike" kern="0" cap="none" spc="0" normalizeH="0" baseline="0">
            <a:ln>
              <a:noFill/>
            </a:ln>
            <a:solidFill>
              <a:sysClr val="window" lastClr="FFFFFF"/>
            </a:solidFill>
            <a:effectLst/>
            <a:uLnTx/>
            <a:uFillTx/>
            <a:latin typeface="Calibri" panose="020F0502020204030204"/>
          </a:endParaRPr>
        </a:p>
      </xdr:txBody>
    </xdr:sp>
    <xdr:clientData/>
  </xdr:twoCellAnchor>
  <xdr:twoCellAnchor>
    <xdr:from>
      <xdr:col>2</xdr:col>
      <xdr:colOff>0</xdr:colOff>
      <xdr:row>9</xdr:row>
      <xdr:rowOff>197282</xdr:rowOff>
    </xdr:from>
    <xdr:to>
      <xdr:col>3</xdr:col>
      <xdr:colOff>182977</xdr:colOff>
      <xdr:row>11</xdr:row>
      <xdr:rowOff>144943</xdr:rowOff>
    </xdr:to>
    <xdr:sp macro="" textlink="">
      <xdr:nvSpPr>
        <xdr:cNvPr id="38" name="Rectangle 37">
          <a:hlinkClick xmlns:r="http://schemas.openxmlformats.org/officeDocument/2006/relationships" r:id="rId15"/>
          <a:extLst>
            <a:ext uri="{FF2B5EF4-FFF2-40B4-BE49-F238E27FC236}">
              <a16:creationId xmlns:a16="http://schemas.microsoft.com/office/drawing/2014/main" id="{00000000-0008-0000-0400-000026000000}"/>
            </a:ext>
          </a:extLst>
        </xdr:cNvPr>
        <xdr:cNvSpPr/>
      </xdr:nvSpPr>
      <xdr:spPr>
        <a:xfrm>
          <a:off x="1587500" y="2443595"/>
          <a:ext cx="1175165" cy="582661"/>
        </a:xfrm>
        <a:prstGeom prst="rect">
          <a:avLst/>
        </a:prstGeom>
        <a:solidFill>
          <a:schemeClr val="bg1">
            <a:lumMod val="85000"/>
          </a:scheme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Text" lastClr="000000">
                  <a:lumMod val="65000"/>
                  <a:lumOff val="35000"/>
                </a:sysClr>
              </a:solidFill>
              <a:effectLst/>
              <a:uLnTx/>
              <a:uFillTx/>
              <a:latin typeface="Calibri" panose="020F0502020204030204"/>
              <a:ea typeface="+mn-ea"/>
              <a:cs typeface="+mn-cs"/>
            </a:rPr>
            <a:t>Key inputs</a:t>
          </a:r>
        </a:p>
      </xdr:txBody>
    </xdr:sp>
    <xdr:clientData/>
  </xdr:twoCellAnchor>
  <xdr:twoCellAnchor>
    <xdr:from>
      <xdr:col>3</xdr:col>
      <xdr:colOff>179802</xdr:colOff>
      <xdr:row>10</xdr:row>
      <xdr:rowOff>234613</xdr:rowOff>
    </xdr:from>
    <xdr:to>
      <xdr:col>3</xdr:col>
      <xdr:colOff>1199839</xdr:colOff>
      <xdr:row>11</xdr:row>
      <xdr:rowOff>199323</xdr:rowOff>
    </xdr:to>
    <xdr:cxnSp macro="">
      <xdr:nvCxnSpPr>
        <xdr:cNvPr id="39" name="Elbow Connector 38">
          <a:extLst>
            <a:ext uri="{FF2B5EF4-FFF2-40B4-BE49-F238E27FC236}">
              <a16:creationId xmlns:a16="http://schemas.microsoft.com/office/drawing/2014/main" id="{00000000-0008-0000-0400-000027000000}"/>
            </a:ext>
          </a:extLst>
        </xdr:cNvPr>
        <xdr:cNvCxnSpPr>
          <a:stCxn id="38" idx="3"/>
          <a:endCxn id="4" idx="1"/>
        </xdr:cNvCxnSpPr>
      </xdr:nvCxnSpPr>
      <xdr:spPr>
        <a:xfrm>
          <a:off x="2759490" y="2734926"/>
          <a:ext cx="1020037" cy="345710"/>
        </a:xfrm>
        <a:prstGeom prst="bentConnector3">
          <a:avLst>
            <a:gd name="adj1" fmla="val 50000"/>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742</xdr:colOff>
      <xdr:row>5</xdr:row>
      <xdr:rowOff>67560</xdr:rowOff>
    </xdr:from>
    <xdr:to>
      <xdr:col>3</xdr:col>
      <xdr:colOff>175259</xdr:colOff>
      <xdr:row>6</xdr:row>
      <xdr:rowOff>152400</xdr:rowOff>
    </xdr:to>
    <xdr:sp macro="" textlink="">
      <xdr:nvSpPr>
        <xdr:cNvPr id="40" name="Rectangle 39">
          <a:extLst>
            <a:ext uri="{FF2B5EF4-FFF2-40B4-BE49-F238E27FC236}">
              <a16:creationId xmlns:a16="http://schemas.microsoft.com/office/drawing/2014/main" id="{00000000-0008-0000-0400-000028000000}"/>
            </a:ext>
          </a:extLst>
        </xdr:cNvPr>
        <xdr:cNvSpPr/>
      </xdr:nvSpPr>
      <xdr:spPr>
        <a:xfrm>
          <a:off x="1197082" y="1042920"/>
          <a:ext cx="1142257"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Inputs and assumptions</a:t>
          </a:r>
        </a:p>
      </xdr:txBody>
    </xdr:sp>
    <xdr:clientData/>
  </xdr:twoCellAnchor>
  <xdr:twoCellAnchor>
    <xdr:from>
      <xdr:col>9</xdr:col>
      <xdr:colOff>407777</xdr:colOff>
      <xdr:row>5</xdr:row>
      <xdr:rowOff>64385</xdr:rowOff>
    </xdr:from>
    <xdr:to>
      <xdr:col>13</xdr:col>
      <xdr:colOff>85725</xdr:colOff>
      <xdr:row>6</xdr:row>
      <xdr:rowOff>152400</xdr:rowOff>
    </xdr:to>
    <xdr:sp macro="" textlink="">
      <xdr:nvSpPr>
        <xdr:cNvPr id="41" name="Rectangle 40">
          <a:extLst>
            <a:ext uri="{FF2B5EF4-FFF2-40B4-BE49-F238E27FC236}">
              <a16:creationId xmlns:a16="http://schemas.microsoft.com/office/drawing/2014/main" id="{00000000-0008-0000-0400-000029000000}"/>
            </a:ext>
          </a:extLst>
        </xdr:cNvPr>
        <xdr:cNvSpPr/>
      </xdr:nvSpPr>
      <xdr:spPr>
        <a:xfrm>
          <a:off x="9866102" y="1035935"/>
          <a:ext cx="2154448" cy="34519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Overview / Summary</a:t>
          </a:r>
        </a:p>
      </xdr:txBody>
    </xdr:sp>
    <xdr:clientData/>
  </xdr:twoCellAnchor>
  <xdr:twoCellAnchor>
    <xdr:from>
      <xdr:col>7</xdr:col>
      <xdr:colOff>335280</xdr:colOff>
      <xdr:row>5</xdr:row>
      <xdr:rowOff>67560</xdr:rowOff>
    </xdr:from>
    <xdr:to>
      <xdr:col>9</xdr:col>
      <xdr:colOff>214101</xdr:colOff>
      <xdr:row>6</xdr:row>
      <xdr:rowOff>152400</xdr:rowOff>
    </xdr:to>
    <xdr:sp macro="" textlink="">
      <xdr:nvSpPr>
        <xdr:cNvPr id="42" name="Rectangle 41">
          <a:extLst>
            <a:ext uri="{FF2B5EF4-FFF2-40B4-BE49-F238E27FC236}">
              <a16:creationId xmlns:a16="http://schemas.microsoft.com/office/drawing/2014/main" id="{00000000-0008-0000-0400-00002A000000}"/>
            </a:ext>
          </a:extLst>
        </xdr:cNvPr>
        <xdr:cNvSpPr/>
      </xdr:nvSpPr>
      <xdr:spPr>
        <a:xfrm>
          <a:off x="7574280" y="1042920"/>
          <a:ext cx="1524741"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Cost stacks with changes in underlying costs</a:t>
          </a:r>
        </a:p>
      </xdr:txBody>
    </xdr:sp>
    <xdr:clientData/>
  </xdr:twoCellAnchor>
  <xdr:twoCellAnchor>
    <xdr:from>
      <xdr:col>3</xdr:col>
      <xdr:colOff>480060</xdr:colOff>
      <xdr:row>5</xdr:row>
      <xdr:rowOff>99060</xdr:rowOff>
    </xdr:from>
    <xdr:to>
      <xdr:col>3</xdr:col>
      <xdr:colOff>784860</xdr:colOff>
      <xdr:row>6</xdr:row>
      <xdr:rowOff>152400</xdr:rowOff>
    </xdr:to>
    <xdr:sp macro="" textlink="">
      <xdr:nvSpPr>
        <xdr:cNvPr id="43" name="Right Arrow 42">
          <a:extLst>
            <a:ext uri="{FF2B5EF4-FFF2-40B4-BE49-F238E27FC236}">
              <a16:creationId xmlns:a16="http://schemas.microsoft.com/office/drawing/2014/main" id="{00000000-0008-0000-0400-00002B000000}"/>
            </a:ext>
          </a:extLst>
        </xdr:cNvPr>
        <xdr:cNvSpPr/>
      </xdr:nvSpPr>
      <xdr:spPr>
        <a:xfrm>
          <a:off x="2644140" y="1074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1242060</xdr:colOff>
      <xdr:row>5</xdr:row>
      <xdr:rowOff>99060</xdr:rowOff>
    </xdr:from>
    <xdr:to>
      <xdr:col>5</xdr:col>
      <xdr:colOff>129540</xdr:colOff>
      <xdr:row>6</xdr:row>
      <xdr:rowOff>152400</xdr:rowOff>
    </xdr:to>
    <xdr:sp macro="" textlink="">
      <xdr:nvSpPr>
        <xdr:cNvPr id="44" name="Right Arrow 43">
          <a:extLst>
            <a:ext uri="{FF2B5EF4-FFF2-40B4-BE49-F238E27FC236}">
              <a16:creationId xmlns:a16="http://schemas.microsoft.com/office/drawing/2014/main" id="{00000000-0008-0000-0400-00002C000000}"/>
            </a:ext>
          </a:extLst>
        </xdr:cNvPr>
        <xdr:cNvSpPr/>
      </xdr:nvSpPr>
      <xdr:spPr>
        <a:xfrm>
          <a:off x="4823460" y="1074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701040</xdr:colOff>
      <xdr:row>5</xdr:row>
      <xdr:rowOff>99060</xdr:rowOff>
    </xdr:from>
    <xdr:to>
      <xdr:col>7</xdr:col>
      <xdr:colOff>182880</xdr:colOff>
      <xdr:row>6</xdr:row>
      <xdr:rowOff>152400</xdr:rowOff>
    </xdr:to>
    <xdr:sp macro="" textlink="">
      <xdr:nvSpPr>
        <xdr:cNvPr id="45" name="Right Arrow 44">
          <a:extLst>
            <a:ext uri="{FF2B5EF4-FFF2-40B4-BE49-F238E27FC236}">
              <a16:creationId xmlns:a16="http://schemas.microsoft.com/office/drawing/2014/main" id="{00000000-0008-0000-0400-00002D000000}"/>
            </a:ext>
          </a:extLst>
        </xdr:cNvPr>
        <xdr:cNvSpPr/>
      </xdr:nvSpPr>
      <xdr:spPr>
        <a:xfrm>
          <a:off x="7117080" y="1074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289560</xdr:colOff>
      <xdr:row>5</xdr:row>
      <xdr:rowOff>99060</xdr:rowOff>
    </xdr:from>
    <xdr:to>
      <xdr:col>9</xdr:col>
      <xdr:colOff>594360</xdr:colOff>
      <xdr:row>6</xdr:row>
      <xdr:rowOff>152400</xdr:rowOff>
    </xdr:to>
    <xdr:sp macro="" textlink="">
      <xdr:nvSpPr>
        <xdr:cNvPr id="46" name="Right Arrow 45">
          <a:extLst>
            <a:ext uri="{FF2B5EF4-FFF2-40B4-BE49-F238E27FC236}">
              <a16:creationId xmlns:a16="http://schemas.microsoft.com/office/drawing/2014/main" id="{00000000-0008-0000-0400-00002E000000}"/>
            </a:ext>
          </a:extLst>
        </xdr:cNvPr>
        <xdr:cNvSpPr/>
      </xdr:nvSpPr>
      <xdr:spPr>
        <a:xfrm>
          <a:off x="9174480" y="1074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303892</xdr:colOff>
      <xdr:row>12</xdr:row>
      <xdr:rowOff>219575</xdr:rowOff>
    </xdr:from>
    <xdr:to>
      <xdr:col>7</xdr:col>
      <xdr:colOff>579121</xdr:colOff>
      <xdr:row>15</xdr:row>
      <xdr:rowOff>87820</xdr:rowOff>
    </xdr:to>
    <xdr:cxnSp macro="">
      <xdr:nvCxnSpPr>
        <xdr:cNvPr id="47" name="Elbow Connector 46">
          <a:extLst>
            <a:ext uri="{FF2B5EF4-FFF2-40B4-BE49-F238E27FC236}">
              <a16:creationId xmlns:a16="http://schemas.microsoft.com/office/drawing/2014/main" id="{00000000-0008-0000-0400-00002F000000}"/>
            </a:ext>
          </a:extLst>
        </xdr:cNvPr>
        <xdr:cNvCxnSpPr>
          <a:stCxn id="9" idx="3"/>
          <a:endCxn id="36" idx="1"/>
        </xdr:cNvCxnSpPr>
      </xdr:nvCxnSpPr>
      <xdr:spPr>
        <a:xfrm flipV="1">
          <a:off x="7247617" y="3362825"/>
          <a:ext cx="1113429" cy="687395"/>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10</xdr:row>
      <xdr:rowOff>68580</xdr:rowOff>
    </xdr:from>
    <xdr:to>
      <xdr:col>3</xdr:col>
      <xdr:colOff>731520</xdr:colOff>
      <xdr:row>11</xdr:row>
      <xdr:rowOff>22860</xdr:rowOff>
    </xdr:to>
    <xdr:sp macro="" textlink="">
      <xdr:nvSpPr>
        <xdr:cNvPr id="48" name="Rectangle 47">
          <a:extLst>
            <a:ext uri="{FF2B5EF4-FFF2-40B4-BE49-F238E27FC236}">
              <a16:creationId xmlns:a16="http://schemas.microsoft.com/office/drawing/2014/main" id="{00000000-0008-0000-0400-000030000000}"/>
            </a:ext>
          </a:extLst>
        </xdr:cNvPr>
        <xdr:cNvSpPr/>
      </xdr:nvSpPr>
      <xdr:spPr>
        <a:xfrm>
          <a:off x="2257425" y="2564130"/>
          <a:ext cx="579120" cy="33528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inputs</a:t>
          </a:r>
        </a:p>
      </xdr:txBody>
    </xdr:sp>
    <xdr:clientData/>
  </xdr:twoCellAnchor>
  <xdr:twoCellAnchor>
    <xdr:from>
      <xdr:col>3</xdr:col>
      <xdr:colOff>1199839</xdr:colOff>
      <xdr:row>16</xdr:row>
      <xdr:rowOff>17746</xdr:rowOff>
    </xdr:from>
    <xdr:to>
      <xdr:col>4</xdr:col>
      <xdr:colOff>925616</xdr:colOff>
      <xdr:row>19</xdr:row>
      <xdr:rowOff>39067</xdr:rowOff>
    </xdr:to>
    <xdr:sp macro="" textlink="">
      <xdr:nvSpPr>
        <xdr:cNvPr id="56" name="Rectangle 55">
          <a:hlinkClick xmlns:r="http://schemas.openxmlformats.org/officeDocument/2006/relationships" r:id="rId16"/>
          <a:extLst>
            <a:ext uri="{FF2B5EF4-FFF2-40B4-BE49-F238E27FC236}">
              <a16:creationId xmlns:a16="http://schemas.microsoft.com/office/drawing/2014/main" id="{50CA0613-344D-4691-BCB1-9A13F9F1E0E8}"/>
            </a:ext>
          </a:extLst>
        </xdr:cNvPr>
        <xdr:cNvSpPr/>
      </xdr:nvSpPr>
      <xdr:spPr>
        <a:xfrm>
          <a:off x="3779527" y="4153184"/>
          <a:ext cx="1186277" cy="569008"/>
        </a:xfrm>
        <a:prstGeom prst="rect">
          <a:avLst/>
        </a:prstGeom>
        <a:solidFill>
          <a:srgbClr val="0070C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Retail cost</a:t>
          </a:r>
        </a:p>
      </xdr:txBody>
    </xdr:sp>
    <xdr:clientData/>
  </xdr:twoCellAnchor>
  <xdr:twoCellAnchor>
    <xdr:from>
      <xdr:col>3</xdr:col>
      <xdr:colOff>178856</xdr:colOff>
      <xdr:row>15</xdr:row>
      <xdr:rowOff>126459</xdr:rowOff>
    </xdr:from>
    <xdr:to>
      <xdr:col>3</xdr:col>
      <xdr:colOff>1199839</xdr:colOff>
      <xdr:row>17</xdr:row>
      <xdr:rowOff>119688</xdr:rowOff>
    </xdr:to>
    <xdr:cxnSp macro="">
      <xdr:nvCxnSpPr>
        <xdr:cNvPr id="57" name="Elbow Connector 24">
          <a:extLst>
            <a:ext uri="{FF2B5EF4-FFF2-40B4-BE49-F238E27FC236}">
              <a16:creationId xmlns:a16="http://schemas.microsoft.com/office/drawing/2014/main" id="{34E6DAB8-B274-4870-A87F-4D1EFB4A5AA7}"/>
            </a:ext>
          </a:extLst>
        </xdr:cNvPr>
        <xdr:cNvCxnSpPr>
          <a:endCxn id="56" idx="1"/>
        </xdr:cNvCxnSpPr>
      </xdr:nvCxnSpPr>
      <xdr:spPr>
        <a:xfrm>
          <a:off x="2758544" y="4079334"/>
          <a:ext cx="1020983" cy="358354"/>
        </a:xfrm>
        <a:prstGeom prst="bentConnector3">
          <a:avLst>
            <a:gd name="adj1" fmla="val 50000"/>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15</xdr:row>
      <xdr:rowOff>90201</xdr:rowOff>
    </xdr:from>
    <xdr:to>
      <xdr:col>5</xdr:col>
      <xdr:colOff>581290</xdr:colOff>
      <xdr:row>17</xdr:row>
      <xdr:rowOff>119688</xdr:rowOff>
    </xdr:to>
    <xdr:cxnSp macro="">
      <xdr:nvCxnSpPr>
        <xdr:cNvPr id="64" name="Elbow Connector 17">
          <a:extLst>
            <a:ext uri="{FF2B5EF4-FFF2-40B4-BE49-F238E27FC236}">
              <a16:creationId xmlns:a16="http://schemas.microsoft.com/office/drawing/2014/main" id="{42C667C7-39FF-4583-896B-34226BCBEEEB}"/>
            </a:ext>
          </a:extLst>
        </xdr:cNvPr>
        <xdr:cNvCxnSpPr>
          <a:stCxn id="56" idx="3"/>
          <a:endCxn id="9" idx="1"/>
        </xdr:cNvCxnSpPr>
      </xdr:nvCxnSpPr>
      <xdr:spPr>
        <a:xfrm flipV="1">
          <a:off x="4962629" y="4043076"/>
          <a:ext cx="1119349" cy="394612"/>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13</xdr:row>
      <xdr:rowOff>254000</xdr:rowOff>
    </xdr:from>
    <xdr:to>
      <xdr:col>12</xdr:col>
      <xdr:colOff>550642</xdr:colOff>
      <xdr:row>17</xdr:row>
      <xdr:rowOff>39736</xdr:rowOff>
    </xdr:to>
    <xdr:sp macro="" textlink="">
      <xdr:nvSpPr>
        <xdr:cNvPr id="49" name="Rectangle 48">
          <a:hlinkClick xmlns:r="http://schemas.openxmlformats.org/officeDocument/2006/relationships" r:id="rId17"/>
          <a:extLst>
            <a:ext uri="{FF2B5EF4-FFF2-40B4-BE49-F238E27FC236}">
              <a16:creationId xmlns:a16="http://schemas.microsoft.com/office/drawing/2014/main" id="{98A3E7FB-732E-4CB6-855A-18DC1CAC78A2}"/>
            </a:ext>
          </a:extLst>
        </xdr:cNvPr>
        <xdr:cNvSpPr/>
      </xdr:nvSpPr>
      <xdr:spPr>
        <a:xfrm>
          <a:off x="10696575" y="3778250"/>
          <a:ext cx="1169767" cy="585836"/>
        </a:xfrm>
        <a:prstGeom prst="rect">
          <a:avLst/>
        </a:prstGeom>
        <a:solidFill>
          <a:srgbClr val="C14E00">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lvl="0" algn="ctr">
            <a:defRPr/>
          </a:pPr>
          <a:r>
            <a:rPr lang="en-AU" sz="1200" b="1" kern="0">
              <a:solidFill>
                <a:sysClr val="window" lastClr="FFFFFF"/>
              </a:solidFill>
              <a:latin typeface="Calibri" panose="020F0502020204030204"/>
            </a:rPr>
            <a:t>Summary detailed</a:t>
          </a:r>
        </a:p>
      </xdr:txBody>
    </xdr:sp>
    <xdr:clientData/>
  </xdr:twoCellAnchor>
  <xdr:twoCellAnchor>
    <xdr:from>
      <xdr:col>11</xdr:col>
      <xdr:colOff>0</xdr:colOff>
      <xdr:row>18</xdr:row>
      <xdr:rowOff>0</xdr:rowOff>
    </xdr:from>
    <xdr:to>
      <xdr:col>12</xdr:col>
      <xdr:colOff>550642</xdr:colOff>
      <xdr:row>21</xdr:row>
      <xdr:rowOff>36561</xdr:rowOff>
    </xdr:to>
    <xdr:sp macro="" textlink="">
      <xdr:nvSpPr>
        <xdr:cNvPr id="50" name="Rectangle 49">
          <a:hlinkClick xmlns:r="http://schemas.openxmlformats.org/officeDocument/2006/relationships" r:id="rId18"/>
          <a:extLst>
            <a:ext uri="{FF2B5EF4-FFF2-40B4-BE49-F238E27FC236}">
              <a16:creationId xmlns:a16="http://schemas.microsoft.com/office/drawing/2014/main" id="{4EB4360F-B2F3-4D83-A243-319F6AADC915}"/>
            </a:ext>
          </a:extLst>
        </xdr:cNvPr>
        <xdr:cNvSpPr/>
      </xdr:nvSpPr>
      <xdr:spPr>
        <a:xfrm>
          <a:off x="10696575" y="4505325"/>
          <a:ext cx="1169767" cy="579486"/>
        </a:xfrm>
        <a:prstGeom prst="rect">
          <a:avLst/>
        </a:prstGeom>
        <a:solidFill>
          <a:srgbClr val="C14E00">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lvl="0" algn="ctr">
            <a:defRPr/>
          </a:pPr>
          <a:r>
            <a:rPr lang="en-AU" sz="1200" b="1" kern="0">
              <a:solidFill>
                <a:sysClr val="window" lastClr="FFFFFF"/>
              </a:solidFill>
              <a:latin typeface="Calibri" panose="020F0502020204030204"/>
            </a:rPr>
            <a:t>Summary chart</a:t>
          </a:r>
        </a:p>
      </xdr:txBody>
    </xdr:sp>
    <xdr:clientData/>
  </xdr:twoCellAnchor>
  <xdr:twoCellAnchor>
    <xdr:from>
      <xdr:col>10</xdr:col>
      <xdr:colOff>403288</xdr:colOff>
      <xdr:row>13</xdr:row>
      <xdr:rowOff>126730</xdr:rowOff>
    </xdr:from>
    <xdr:to>
      <xdr:col>11</xdr:col>
      <xdr:colOff>1</xdr:colOff>
      <xdr:row>15</xdr:row>
      <xdr:rowOff>110355</xdr:rowOff>
    </xdr:to>
    <xdr:cxnSp macro="">
      <xdr:nvCxnSpPr>
        <xdr:cNvPr id="51" name="Elbow Connector 21">
          <a:extLst>
            <a:ext uri="{FF2B5EF4-FFF2-40B4-BE49-F238E27FC236}">
              <a16:creationId xmlns:a16="http://schemas.microsoft.com/office/drawing/2014/main" id="{96D48EB4-96CD-46E7-B77F-C144DDE31B6C}"/>
            </a:ext>
          </a:extLst>
        </xdr:cNvPr>
        <xdr:cNvCxnSpPr>
          <a:stCxn id="34" idx="2"/>
          <a:endCxn id="49" idx="1"/>
        </xdr:cNvCxnSpPr>
      </xdr:nvCxnSpPr>
      <xdr:spPr>
        <a:xfrm rot="16200000" flipH="1">
          <a:off x="10377769" y="3753949"/>
          <a:ext cx="421775" cy="215838"/>
        </a:xfrm>
        <a:prstGeom prst="bentConnector2">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403288</xdr:colOff>
      <xdr:row>13</xdr:row>
      <xdr:rowOff>126730</xdr:rowOff>
    </xdr:from>
    <xdr:to>
      <xdr:col>11</xdr:col>
      <xdr:colOff>1</xdr:colOff>
      <xdr:row>19</xdr:row>
      <xdr:rowOff>108767</xdr:rowOff>
    </xdr:to>
    <xdr:cxnSp macro="">
      <xdr:nvCxnSpPr>
        <xdr:cNvPr id="55" name="Elbow Connector 21">
          <a:extLst>
            <a:ext uri="{FF2B5EF4-FFF2-40B4-BE49-F238E27FC236}">
              <a16:creationId xmlns:a16="http://schemas.microsoft.com/office/drawing/2014/main" id="{4ABF401D-D66B-4758-86BE-D53DCF5BF6C4}"/>
            </a:ext>
          </a:extLst>
        </xdr:cNvPr>
        <xdr:cNvCxnSpPr>
          <a:stCxn id="34" idx="2"/>
          <a:endCxn id="50" idx="1"/>
        </xdr:cNvCxnSpPr>
      </xdr:nvCxnSpPr>
      <xdr:spPr>
        <a:xfrm rot="16200000" flipH="1">
          <a:off x="10016613" y="4115105"/>
          <a:ext cx="1144087" cy="215838"/>
        </a:xfrm>
        <a:prstGeom prst="bentConnector2">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552450</xdr:colOff>
      <xdr:row>18</xdr:row>
      <xdr:rowOff>57150</xdr:rowOff>
    </xdr:from>
    <xdr:to>
      <xdr:col>13</xdr:col>
      <xdr:colOff>388844</xdr:colOff>
      <xdr:row>44</xdr:row>
      <xdr:rowOff>76200</xdr:rowOff>
    </xdr:to>
    <xdr:graphicFrame macro="">
      <xdr:nvGraphicFramePr>
        <xdr:cNvPr id="2" name="Chart 1">
          <a:extLst>
            <a:ext uri="{FF2B5EF4-FFF2-40B4-BE49-F238E27FC236}">
              <a16:creationId xmlns:a16="http://schemas.microsoft.com/office/drawing/2014/main" id="{838DC077-41C9-4020-837A-328BB2485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723900</xdr:colOff>
      <xdr:row>3</xdr:row>
      <xdr:rowOff>0</xdr:rowOff>
    </xdr:from>
    <xdr:to>
      <xdr:col>18</xdr:col>
      <xdr:colOff>0</xdr:colOff>
      <xdr:row>20</xdr:row>
      <xdr:rowOff>0</xdr:rowOff>
    </xdr:to>
    <xdr:graphicFrame macro="">
      <xdr:nvGraphicFramePr>
        <xdr:cNvPr id="7" name="Chart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xdr:row>
      <xdr:rowOff>0</xdr:rowOff>
    </xdr:from>
    <xdr:to>
      <xdr:col>28</xdr:col>
      <xdr:colOff>317500</xdr:colOff>
      <xdr:row>20</xdr:row>
      <xdr:rowOff>0</xdr:rowOff>
    </xdr:to>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21</xdr:row>
      <xdr:rowOff>0</xdr:rowOff>
    </xdr:from>
    <xdr:to>
      <xdr:col>12</xdr:col>
      <xdr:colOff>60960</xdr:colOff>
      <xdr:row>38</xdr:row>
      <xdr:rowOff>0</xdr:rowOff>
    </xdr:to>
    <xdr:graphicFrame macro="">
      <xdr:nvGraphicFramePr>
        <xdr:cNvPr id="9" name="Chart 8">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21</xdr:row>
      <xdr:rowOff>0</xdr:rowOff>
    </xdr:from>
    <xdr:to>
      <xdr:col>22</xdr:col>
      <xdr:colOff>0</xdr:colOff>
      <xdr:row>38</xdr:row>
      <xdr:rowOff>0</xdr:rowOff>
    </xdr:to>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xdr:row>
      <xdr:rowOff>0</xdr:rowOff>
    </xdr:from>
    <xdr:to>
      <xdr:col>8</xdr:col>
      <xdr:colOff>0</xdr:colOff>
      <xdr:row>20</xdr:row>
      <xdr:rowOff>0</xdr:rowOff>
    </xdr:to>
    <xdr:graphicFrame macro="">
      <xdr:nvGraphicFramePr>
        <xdr:cNvPr id="12" name="Chart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723900</xdr:colOff>
      <xdr:row>3</xdr:row>
      <xdr:rowOff>0</xdr:rowOff>
    </xdr:from>
    <xdr:to>
      <xdr:col>18</xdr:col>
      <xdr:colOff>0</xdr:colOff>
      <xdr:row>20</xdr:row>
      <xdr:rowOff>0</xdr:rowOff>
    </xdr:to>
    <xdr:graphicFrame macro="">
      <xdr:nvGraphicFramePr>
        <xdr:cNvPr id="2" name="Chart 1">
          <a:extLst>
            <a:ext uri="{FF2B5EF4-FFF2-40B4-BE49-F238E27FC236}">
              <a16:creationId xmlns:a16="http://schemas.microsoft.com/office/drawing/2014/main" id="{202B1214-A128-43DA-948C-C019FB8FA0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xdr:row>
      <xdr:rowOff>0</xdr:rowOff>
    </xdr:from>
    <xdr:to>
      <xdr:col>28</xdr:col>
      <xdr:colOff>342900</xdr:colOff>
      <xdr:row>20</xdr:row>
      <xdr:rowOff>0</xdr:rowOff>
    </xdr:to>
    <xdr:graphicFrame macro="">
      <xdr:nvGraphicFramePr>
        <xdr:cNvPr id="3" name="Chart 2">
          <a:extLst>
            <a:ext uri="{FF2B5EF4-FFF2-40B4-BE49-F238E27FC236}">
              <a16:creationId xmlns:a16="http://schemas.microsoft.com/office/drawing/2014/main" id="{DBAE1C23-0C90-485F-8507-862CEFD3E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21</xdr:row>
      <xdr:rowOff>0</xdr:rowOff>
    </xdr:from>
    <xdr:to>
      <xdr:col>12</xdr:col>
      <xdr:colOff>60960</xdr:colOff>
      <xdr:row>38</xdr:row>
      <xdr:rowOff>0</xdr:rowOff>
    </xdr:to>
    <xdr:graphicFrame macro="">
      <xdr:nvGraphicFramePr>
        <xdr:cNvPr id="4" name="Chart 3">
          <a:extLst>
            <a:ext uri="{FF2B5EF4-FFF2-40B4-BE49-F238E27FC236}">
              <a16:creationId xmlns:a16="http://schemas.microsoft.com/office/drawing/2014/main" id="{66978BE5-887B-4752-AAC4-87882B97A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21</xdr:row>
      <xdr:rowOff>0</xdr:rowOff>
    </xdr:from>
    <xdr:to>
      <xdr:col>22</xdr:col>
      <xdr:colOff>0</xdr:colOff>
      <xdr:row>38</xdr:row>
      <xdr:rowOff>0</xdr:rowOff>
    </xdr:to>
    <xdr:graphicFrame macro="">
      <xdr:nvGraphicFramePr>
        <xdr:cNvPr id="5" name="Chart 4">
          <a:extLst>
            <a:ext uri="{FF2B5EF4-FFF2-40B4-BE49-F238E27FC236}">
              <a16:creationId xmlns:a16="http://schemas.microsoft.com/office/drawing/2014/main" id="{24BC795F-6782-496A-A12E-794969661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xdr:row>
      <xdr:rowOff>0</xdr:rowOff>
    </xdr:from>
    <xdr:to>
      <xdr:col>8</xdr:col>
      <xdr:colOff>0</xdr:colOff>
      <xdr:row>20</xdr:row>
      <xdr:rowOff>0</xdr:rowOff>
    </xdr:to>
    <xdr:graphicFrame macro="">
      <xdr:nvGraphicFramePr>
        <xdr:cNvPr id="6" name="Chart 5">
          <a:extLst>
            <a:ext uri="{FF2B5EF4-FFF2-40B4-BE49-F238E27FC236}">
              <a16:creationId xmlns:a16="http://schemas.microsoft.com/office/drawing/2014/main" id="{4197A0D9-6AFC-4218-B490-3646D2A8A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723900</xdr:colOff>
      <xdr:row>3</xdr:row>
      <xdr:rowOff>0</xdr:rowOff>
    </xdr:from>
    <xdr:to>
      <xdr:col>18</xdr:col>
      <xdr:colOff>0</xdr:colOff>
      <xdr:row>20</xdr:row>
      <xdr:rowOff>0</xdr:rowOff>
    </xdr:to>
    <xdr:graphicFrame macro="">
      <xdr:nvGraphicFramePr>
        <xdr:cNvPr id="2" name="Chart 1">
          <a:extLst>
            <a:ext uri="{FF2B5EF4-FFF2-40B4-BE49-F238E27FC236}">
              <a16:creationId xmlns:a16="http://schemas.microsoft.com/office/drawing/2014/main" id="{F1ABDC9D-6137-4C47-B77E-9601B9A2A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xdr:row>
      <xdr:rowOff>0</xdr:rowOff>
    </xdr:from>
    <xdr:to>
      <xdr:col>28</xdr:col>
      <xdr:colOff>292100</xdr:colOff>
      <xdr:row>20</xdr:row>
      <xdr:rowOff>0</xdr:rowOff>
    </xdr:to>
    <xdr:graphicFrame macro="">
      <xdr:nvGraphicFramePr>
        <xdr:cNvPr id="3" name="Chart 2">
          <a:extLst>
            <a:ext uri="{FF2B5EF4-FFF2-40B4-BE49-F238E27FC236}">
              <a16:creationId xmlns:a16="http://schemas.microsoft.com/office/drawing/2014/main" id="{CEFC08A9-069F-463B-8B8B-677C97215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21</xdr:row>
      <xdr:rowOff>0</xdr:rowOff>
    </xdr:from>
    <xdr:to>
      <xdr:col>12</xdr:col>
      <xdr:colOff>60960</xdr:colOff>
      <xdr:row>38</xdr:row>
      <xdr:rowOff>0</xdr:rowOff>
    </xdr:to>
    <xdr:graphicFrame macro="">
      <xdr:nvGraphicFramePr>
        <xdr:cNvPr id="4" name="Chart 3">
          <a:extLst>
            <a:ext uri="{FF2B5EF4-FFF2-40B4-BE49-F238E27FC236}">
              <a16:creationId xmlns:a16="http://schemas.microsoft.com/office/drawing/2014/main" id="{6C18F035-609D-4D55-A10A-388A4AD4BF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680357</xdr:colOff>
      <xdr:row>21</xdr:row>
      <xdr:rowOff>0</xdr:rowOff>
    </xdr:from>
    <xdr:to>
      <xdr:col>21</xdr:col>
      <xdr:colOff>680357</xdr:colOff>
      <xdr:row>38</xdr:row>
      <xdr:rowOff>0</xdr:rowOff>
    </xdr:to>
    <xdr:graphicFrame macro="">
      <xdr:nvGraphicFramePr>
        <xdr:cNvPr id="5" name="Chart 4">
          <a:extLst>
            <a:ext uri="{FF2B5EF4-FFF2-40B4-BE49-F238E27FC236}">
              <a16:creationId xmlns:a16="http://schemas.microsoft.com/office/drawing/2014/main" id="{BA8B7E09-BEC3-4F66-83FE-E2D22FCBD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xdr:row>
      <xdr:rowOff>0</xdr:rowOff>
    </xdr:from>
    <xdr:to>
      <xdr:col>8</xdr:col>
      <xdr:colOff>0</xdr:colOff>
      <xdr:row>20</xdr:row>
      <xdr:rowOff>0</xdr:rowOff>
    </xdr:to>
    <xdr:graphicFrame macro="">
      <xdr:nvGraphicFramePr>
        <xdr:cNvPr id="6" name="Chart 5">
          <a:extLst>
            <a:ext uri="{FF2B5EF4-FFF2-40B4-BE49-F238E27FC236}">
              <a16:creationId xmlns:a16="http://schemas.microsoft.com/office/drawing/2014/main" id="{958364E1-08F0-4071-99A9-1CD4B5A47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4</xdr:row>
      <xdr:rowOff>30480</xdr:rowOff>
    </xdr:from>
    <xdr:to>
      <xdr:col>24</xdr:col>
      <xdr:colOff>22860</xdr:colOff>
      <xdr:row>19</xdr:row>
      <xdr:rowOff>144780</xdr:rowOff>
    </xdr:to>
    <xdr:graphicFrame macro="">
      <xdr:nvGraphicFramePr>
        <xdr:cNvPr id="2" name="Chart 1">
          <a:extLst>
            <a:ext uri="{FF2B5EF4-FFF2-40B4-BE49-F238E27FC236}">
              <a16:creationId xmlns:a16="http://schemas.microsoft.com/office/drawing/2014/main" id="{AEBE0B83-CDDB-42D0-A801-D39BEFB9A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0</xdr:colOff>
      <xdr:row>19</xdr:row>
      <xdr:rowOff>144780</xdr:rowOff>
    </xdr:to>
    <xdr:graphicFrame macro="">
      <xdr:nvGraphicFramePr>
        <xdr:cNvPr id="3" name="Chart 2">
          <a:extLst>
            <a:ext uri="{FF2B5EF4-FFF2-40B4-BE49-F238E27FC236}">
              <a16:creationId xmlns:a16="http://schemas.microsoft.com/office/drawing/2014/main" id="{4A0C0305-402B-4564-BC80-31FDC6BB2F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7620</xdr:colOff>
      <xdr:row>4</xdr:row>
      <xdr:rowOff>38100</xdr:rowOff>
    </xdr:from>
    <xdr:to>
      <xdr:col>33</xdr:col>
      <xdr:colOff>0</xdr:colOff>
      <xdr:row>19</xdr:row>
      <xdr:rowOff>152400</xdr:rowOff>
    </xdr:to>
    <xdr:graphicFrame macro="">
      <xdr:nvGraphicFramePr>
        <xdr:cNvPr id="4" name="Chart 3">
          <a:extLst>
            <a:ext uri="{FF2B5EF4-FFF2-40B4-BE49-F238E27FC236}">
              <a16:creationId xmlns:a16="http://schemas.microsoft.com/office/drawing/2014/main" id="{94D66B7B-593A-432E-A9FC-954A9C533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0</xdr:colOff>
      <xdr:row>4</xdr:row>
      <xdr:rowOff>30480</xdr:rowOff>
    </xdr:from>
    <xdr:to>
      <xdr:col>24</xdr:col>
      <xdr:colOff>22860</xdr:colOff>
      <xdr:row>19</xdr:row>
      <xdr:rowOff>144780</xdr:rowOff>
    </xdr:to>
    <xdr:graphicFrame macro="">
      <xdr:nvGraphicFramePr>
        <xdr:cNvPr id="2" name="Chart 1">
          <a:extLst>
            <a:ext uri="{FF2B5EF4-FFF2-40B4-BE49-F238E27FC236}">
              <a16:creationId xmlns:a16="http://schemas.microsoft.com/office/drawing/2014/main" id="{873D5743-FD17-4056-88F3-82E39ADE7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0</xdr:colOff>
      <xdr:row>19</xdr:row>
      <xdr:rowOff>144780</xdr:rowOff>
    </xdr:to>
    <xdr:graphicFrame macro="">
      <xdr:nvGraphicFramePr>
        <xdr:cNvPr id="3" name="Chart 2">
          <a:extLst>
            <a:ext uri="{FF2B5EF4-FFF2-40B4-BE49-F238E27FC236}">
              <a16:creationId xmlns:a16="http://schemas.microsoft.com/office/drawing/2014/main" id="{D5586164-1CF8-4514-B60B-BC85232E0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7620</xdr:colOff>
      <xdr:row>4</xdr:row>
      <xdr:rowOff>38100</xdr:rowOff>
    </xdr:from>
    <xdr:to>
      <xdr:col>33</xdr:col>
      <xdr:colOff>0</xdr:colOff>
      <xdr:row>19</xdr:row>
      <xdr:rowOff>152400</xdr:rowOff>
    </xdr:to>
    <xdr:graphicFrame macro="">
      <xdr:nvGraphicFramePr>
        <xdr:cNvPr id="4" name="Chart 3">
          <a:extLst>
            <a:ext uri="{FF2B5EF4-FFF2-40B4-BE49-F238E27FC236}">
              <a16:creationId xmlns:a16="http://schemas.microsoft.com/office/drawing/2014/main" id="{2812B7D6-94E3-444D-BAAD-650D36AF5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0</xdr:colOff>
      <xdr:row>4</xdr:row>
      <xdr:rowOff>30480</xdr:rowOff>
    </xdr:from>
    <xdr:to>
      <xdr:col>24</xdr:col>
      <xdr:colOff>22860</xdr:colOff>
      <xdr:row>19</xdr:row>
      <xdr:rowOff>144780</xdr:rowOff>
    </xdr:to>
    <xdr:graphicFrame macro="">
      <xdr:nvGraphicFramePr>
        <xdr:cNvPr id="2" name="Chart 1">
          <a:extLst>
            <a:ext uri="{FF2B5EF4-FFF2-40B4-BE49-F238E27FC236}">
              <a16:creationId xmlns:a16="http://schemas.microsoft.com/office/drawing/2014/main" id="{B158C3F4-0AEB-45A9-8907-A9107FDC9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0</xdr:colOff>
      <xdr:row>19</xdr:row>
      <xdr:rowOff>144780</xdr:rowOff>
    </xdr:to>
    <xdr:graphicFrame macro="">
      <xdr:nvGraphicFramePr>
        <xdr:cNvPr id="3" name="Chart 2">
          <a:extLst>
            <a:ext uri="{FF2B5EF4-FFF2-40B4-BE49-F238E27FC236}">
              <a16:creationId xmlns:a16="http://schemas.microsoft.com/office/drawing/2014/main" id="{901C3D5E-7D28-45A4-A35D-F1F916306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7620</xdr:colOff>
      <xdr:row>4</xdr:row>
      <xdr:rowOff>38100</xdr:rowOff>
    </xdr:from>
    <xdr:to>
      <xdr:col>33</xdr:col>
      <xdr:colOff>0</xdr:colOff>
      <xdr:row>19</xdr:row>
      <xdr:rowOff>152400</xdr:rowOff>
    </xdr:to>
    <xdr:graphicFrame macro="">
      <xdr:nvGraphicFramePr>
        <xdr:cNvPr id="4" name="Chart 3">
          <a:extLst>
            <a:ext uri="{FF2B5EF4-FFF2-40B4-BE49-F238E27FC236}">
              <a16:creationId xmlns:a16="http://schemas.microsoft.com/office/drawing/2014/main" id="{443D036B-EA6A-4078-9F8F-A0A1D8636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0</xdr:colOff>
      <xdr:row>4</xdr:row>
      <xdr:rowOff>30480</xdr:rowOff>
    </xdr:from>
    <xdr:to>
      <xdr:col>24</xdr:col>
      <xdr:colOff>22860</xdr:colOff>
      <xdr:row>19</xdr:row>
      <xdr:rowOff>144780</xdr:rowOff>
    </xdr:to>
    <xdr:graphicFrame macro="">
      <xdr:nvGraphicFramePr>
        <xdr:cNvPr id="2" name="Chart 1">
          <a:extLst>
            <a:ext uri="{FF2B5EF4-FFF2-40B4-BE49-F238E27FC236}">
              <a16:creationId xmlns:a16="http://schemas.microsoft.com/office/drawing/2014/main" id="{1AD97526-8EFA-436C-AFDA-6A492BC5F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386715</xdr:colOff>
      <xdr:row>4</xdr:row>
      <xdr:rowOff>30480</xdr:rowOff>
    </xdr:from>
    <xdr:to>
      <xdr:col>15</xdr:col>
      <xdr:colOff>0</xdr:colOff>
      <xdr:row>19</xdr:row>
      <xdr:rowOff>144780</xdr:rowOff>
    </xdr:to>
    <xdr:graphicFrame macro="">
      <xdr:nvGraphicFramePr>
        <xdr:cNvPr id="3" name="Chart 2">
          <a:extLst>
            <a:ext uri="{FF2B5EF4-FFF2-40B4-BE49-F238E27FC236}">
              <a16:creationId xmlns:a16="http://schemas.microsoft.com/office/drawing/2014/main" id="{EE350E1C-DE8B-4B75-9C10-7D640044AD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7620</xdr:colOff>
      <xdr:row>4</xdr:row>
      <xdr:rowOff>38100</xdr:rowOff>
    </xdr:from>
    <xdr:to>
      <xdr:col>33</xdr:col>
      <xdr:colOff>0</xdr:colOff>
      <xdr:row>19</xdr:row>
      <xdr:rowOff>152400</xdr:rowOff>
    </xdr:to>
    <xdr:graphicFrame macro="">
      <xdr:nvGraphicFramePr>
        <xdr:cNvPr id="4" name="Chart 3">
          <a:extLst>
            <a:ext uri="{FF2B5EF4-FFF2-40B4-BE49-F238E27FC236}">
              <a16:creationId xmlns:a16="http://schemas.microsoft.com/office/drawing/2014/main" id="{B41D1BFE-66CA-4AEB-B0A1-93690BC92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0</xdr:colOff>
      <xdr:row>4</xdr:row>
      <xdr:rowOff>30480</xdr:rowOff>
    </xdr:from>
    <xdr:to>
      <xdr:col>24</xdr:col>
      <xdr:colOff>22860</xdr:colOff>
      <xdr:row>19</xdr:row>
      <xdr:rowOff>144780</xdr:rowOff>
    </xdr:to>
    <xdr:graphicFrame macro="">
      <xdr:nvGraphicFramePr>
        <xdr:cNvPr id="2" name="Chart 1">
          <a:extLst>
            <a:ext uri="{FF2B5EF4-FFF2-40B4-BE49-F238E27FC236}">
              <a16:creationId xmlns:a16="http://schemas.microsoft.com/office/drawing/2014/main" id="{B8FF7C20-46DC-4318-95DB-C7D2F181D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386715</xdr:colOff>
      <xdr:row>4</xdr:row>
      <xdr:rowOff>30480</xdr:rowOff>
    </xdr:from>
    <xdr:to>
      <xdr:col>15</xdr:col>
      <xdr:colOff>0</xdr:colOff>
      <xdr:row>19</xdr:row>
      <xdr:rowOff>144780</xdr:rowOff>
    </xdr:to>
    <xdr:graphicFrame macro="">
      <xdr:nvGraphicFramePr>
        <xdr:cNvPr id="3" name="Chart 2">
          <a:extLst>
            <a:ext uri="{FF2B5EF4-FFF2-40B4-BE49-F238E27FC236}">
              <a16:creationId xmlns:a16="http://schemas.microsoft.com/office/drawing/2014/main" id="{1E30DB34-FEA8-46CA-9436-71DC457C8E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7620</xdr:colOff>
      <xdr:row>4</xdr:row>
      <xdr:rowOff>38100</xdr:rowOff>
    </xdr:from>
    <xdr:to>
      <xdr:col>33</xdr:col>
      <xdr:colOff>0</xdr:colOff>
      <xdr:row>19</xdr:row>
      <xdr:rowOff>152400</xdr:rowOff>
    </xdr:to>
    <xdr:graphicFrame macro="">
      <xdr:nvGraphicFramePr>
        <xdr:cNvPr id="4" name="Chart 3">
          <a:extLst>
            <a:ext uri="{FF2B5EF4-FFF2-40B4-BE49-F238E27FC236}">
              <a16:creationId xmlns:a16="http://schemas.microsoft.com/office/drawing/2014/main" id="{DBA09BE0-ADAD-4A90-88F6-8E4D46826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rba.gov.au/publications/smp/2024/may/" TargetMode="External"/><Relationship Id="rId1" Type="http://schemas.openxmlformats.org/officeDocument/2006/relationships/hyperlink" Target="https://www.rba.gov.au/publications/smp/2025/feb/"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7:F14"/>
  <sheetViews>
    <sheetView tabSelected="1" zoomScaleNormal="100" workbookViewId="0">
      <selection activeCell="B2" sqref="B2"/>
    </sheetView>
  </sheetViews>
  <sheetFormatPr defaultColWidth="8.85546875" defaultRowHeight="15" x14ac:dyDescent="0.25"/>
  <cols>
    <col min="1" max="16384" width="8.85546875" style="3"/>
  </cols>
  <sheetData>
    <row r="7" spans="1:6" x14ac:dyDescent="0.25">
      <c r="A7" s="3" t="s">
        <v>188</v>
      </c>
    </row>
    <row r="9" spans="1:6" ht="36" x14ac:dyDescent="0.25">
      <c r="F9" s="2" t="s">
        <v>276</v>
      </c>
    </row>
    <row r="10" spans="1:6" ht="36" x14ac:dyDescent="0.25">
      <c r="D10" s="3" t="s">
        <v>188</v>
      </c>
      <c r="F10" s="2" t="str">
        <f>FY</f>
        <v>2025-26</v>
      </c>
    </row>
    <row r="11" spans="1:6" ht="23.25" x14ac:dyDescent="0.25">
      <c r="F11" s="4" t="str">
        <f>'Key inputs'!D8&amp;" Determination"</f>
        <v>Final Determination</v>
      </c>
    </row>
    <row r="12" spans="1:6" ht="23.25" x14ac:dyDescent="0.25">
      <c r="F12" s="4" t="s">
        <v>188</v>
      </c>
    </row>
    <row r="13" spans="1:6" x14ac:dyDescent="0.25">
      <c r="F13" s="5"/>
    </row>
    <row r="14" spans="1:6" x14ac:dyDescent="0.25">
      <c r="F14" s="5"/>
    </row>
  </sheetData>
  <sheetProtection algorithmName="SHA-256" hashValue="ayegPgYKkucdg74ehFeaT76jRTupuoxErqzPWm5qIGc=" saltValue="lzH+Up9aB2Z/VsSQj5n0PQ==" spinCount="100000" sheet="1" formatCells="0" formatColumns="0" formatRows="0" insertColumns="0" insertRows="0" insertHyperlinks="0" deleteColumns="0" deleteRows="0" sort="0" autoFilter="0" pivotTables="0"/>
  <pageMargins left="0.7" right="0.7" top="0.75" bottom="0.75" header="0.3" footer="0.3"/>
  <headerFooter>
    <oddHeader>&amp;C&amp;"Calibri"&amp;10&amp;KFF0000 OFFICIAL SENSITIVE&amp;1#_x000D_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27"/>
  <sheetViews>
    <sheetView workbookViewId="0">
      <pane ySplit="3" topLeftCell="A4" activePane="bottomLeft" state="frozen"/>
      <selection pane="bottomLeft" activeCell="A2" sqref="A2"/>
    </sheetView>
  </sheetViews>
  <sheetFormatPr defaultColWidth="8.85546875" defaultRowHeight="12.75" x14ac:dyDescent="0.25"/>
  <cols>
    <col min="1" max="1" width="1.85546875" style="1" customWidth="1"/>
    <col min="2" max="2" width="11" style="1" bestFit="1" customWidth="1"/>
    <col min="3" max="3" width="21.140625" style="6" customWidth="1"/>
    <col min="4" max="16384" width="8.85546875" style="1"/>
  </cols>
  <sheetData>
    <row r="1" spans="1:3" s="9" customFormat="1" ht="18" x14ac:dyDescent="0.25">
      <c r="A1" s="18" t="s">
        <v>8</v>
      </c>
      <c r="C1" s="10"/>
    </row>
    <row r="2" spans="1:3" x14ac:dyDescent="0.25">
      <c r="B2" s="8"/>
      <c r="C2" s="1"/>
    </row>
    <row r="3" spans="1:3" ht="15.75" x14ac:dyDescent="0.25">
      <c r="B3" s="16" t="s">
        <v>9</v>
      </c>
      <c r="C3" s="11" t="s">
        <v>7</v>
      </c>
    </row>
    <row r="4" spans="1:3" ht="15.6" customHeight="1" x14ac:dyDescent="0.25">
      <c r="B4" s="7">
        <v>1</v>
      </c>
      <c r="C4" s="8" t="s">
        <v>146</v>
      </c>
    </row>
    <row r="5" spans="1:3" ht="15.6" customHeight="1" x14ac:dyDescent="0.25">
      <c r="B5" s="17">
        <f>B4+0.1</f>
        <v>1.1000000000000001</v>
      </c>
      <c r="C5" s="68" t="s">
        <v>95</v>
      </c>
    </row>
    <row r="6" spans="1:3" ht="15.6" customHeight="1" x14ac:dyDescent="0.25">
      <c r="B6" s="17">
        <f>B5+0.1</f>
        <v>1.2000000000000002</v>
      </c>
      <c r="C6" s="68" t="s">
        <v>17</v>
      </c>
    </row>
    <row r="7" spans="1:3" ht="15.6" customHeight="1" x14ac:dyDescent="0.25">
      <c r="B7" s="17">
        <v>1.3</v>
      </c>
      <c r="C7" s="68" t="s">
        <v>235</v>
      </c>
    </row>
    <row r="8" spans="1:3" ht="15.6" customHeight="1" x14ac:dyDescent="0.25">
      <c r="B8" s="17">
        <v>1.4</v>
      </c>
      <c r="C8" s="68" t="s">
        <v>236</v>
      </c>
    </row>
    <row r="9" spans="1:3" ht="15.6" customHeight="1" x14ac:dyDescent="0.25">
      <c r="B9" s="115">
        <v>2</v>
      </c>
      <c r="C9" s="8" t="s">
        <v>163</v>
      </c>
    </row>
    <row r="10" spans="1:3" ht="15.6" customHeight="1" x14ac:dyDescent="0.25">
      <c r="B10" s="17">
        <f>B9+0.1</f>
        <v>2.1</v>
      </c>
      <c r="C10" s="68" t="s">
        <v>138</v>
      </c>
    </row>
    <row r="11" spans="1:3" ht="15.6" customHeight="1" x14ac:dyDescent="0.25">
      <c r="B11" s="17">
        <f>B10+0.1</f>
        <v>2.2000000000000002</v>
      </c>
      <c r="C11" s="68" t="s">
        <v>139</v>
      </c>
    </row>
    <row r="12" spans="1:3" ht="15.6" customHeight="1" x14ac:dyDescent="0.25">
      <c r="B12" s="17">
        <f>B11+0.1</f>
        <v>2.3000000000000003</v>
      </c>
      <c r="C12" s="68" t="s">
        <v>140</v>
      </c>
    </row>
    <row r="13" spans="1:3" ht="15.6" customHeight="1" x14ac:dyDescent="0.25">
      <c r="B13" s="7">
        <v>3</v>
      </c>
      <c r="C13" s="8" t="s">
        <v>147</v>
      </c>
    </row>
    <row r="14" spans="1:3" ht="15.6" customHeight="1" x14ac:dyDescent="0.25">
      <c r="B14" s="17">
        <f t="shared" ref="B14:B22" si="0">B13+0.1</f>
        <v>3.1</v>
      </c>
      <c r="C14" s="68" t="s">
        <v>2</v>
      </c>
    </row>
    <row r="15" spans="1:3" ht="15.6" customHeight="1" x14ac:dyDescent="0.25">
      <c r="B15" s="17">
        <f t="shared" si="0"/>
        <v>3.2</v>
      </c>
      <c r="C15" s="68" t="s">
        <v>4</v>
      </c>
    </row>
    <row r="16" spans="1:3" ht="15.6" customHeight="1" x14ac:dyDescent="0.25">
      <c r="B16" s="17">
        <f t="shared" si="0"/>
        <v>3.3000000000000003</v>
      </c>
      <c r="C16" s="68" t="s">
        <v>0</v>
      </c>
    </row>
    <row r="17" spans="2:3" ht="15.6" customHeight="1" x14ac:dyDescent="0.25">
      <c r="B17" s="17">
        <f t="shared" si="0"/>
        <v>3.4000000000000004</v>
      </c>
      <c r="C17" s="68" t="s">
        <v>3</v>
      </c>
    </row>
    <row r="18" spans="2:3" ht="15.6" customHeight="1" x14ac:dyDescent="0.25">
      <c r="B18" s="17">
        <f t="shared" si="0"/>
        <v>3.5000000000000004</v>
      </c>
      <c r="C18" s="68" t="s">
        <v>5</v>
      </c>
    </row>
    <row r="19" spans="2:3" ht="15.6" customHeight="1" x14ac:dyDescent="0.25">
      <c r="B19" s="7">
        <v>4</v>
      </c>
      <c r="C19" s="8" t="s">
        <v>148</v>
      </c>
    </row>
    <row r="20" spans="2:3" ht="15.6" customHeight="1" x14ac:dyDescent="0.25">
      <c r="B20" s="17">
        <f>B19+0.1</f>
        <v>4.0999999999999996</v>
      </c>
      <c r="C20" s="68" t="s">
        <v>62</v>
      </c>
    </row>
    <row r="21" spans="2:3" ht="15.6" customHeight="1" x14ac:dyDescent="0.25">
      <c r="B21" s="17">
        <f t="shared" si="0"/>
        <v>4.1999999999999993</v>
      </c>
      <c r="C21" s="68" t="s">
        <v>63</v>
      </c>
    </row>
    <row r="22" spans="2:3" ht="15.6" customHeight="1" x14ac:dyDescent="0.25">
      <c r="B22" s="17">
        <f t="shared" si="0"/>
        <v>4.2999999999999989</v>
      </c>
      <c r="C22" s="68" t="s">
        <v>64</v>
      </c>
    </row>
    <row r="23" spans="2:3" ht="15.6" customHeight="1" x14ac:dyDescent="0.25">
      <c r="B23" s="17">
        <f>B22+0.1</f>
        <v>4.3999999999999986</v>
      </c>
      <c r="C23" s="68" t="s">
        <v>168</v>
      </c>
    </row>
    <row r="24" spans="2:3" ht="15.6" customHeight="1" x14ac:dyDescent="0.25">
      <c r="B24" s="7">
        <v>5</v>
      </c>
      <c r="C24" s="8" t="s">
        <v>149</v>
      </c>
    </row>
    <row r="25" spans="2:3" ht="15.6" customHeight="1" x14ac:dyDescent="0.25">
      <c r="B25" s="17">
        <f>B24+0.1</f>
        <v>5.0999999999999996</v>
      </c>
      <c r="C25" s="68" t="s">
        <v>93</v>
      </c>
    </row>
    <row r="26" spans="2:3" ht="15.6" customHeight="1" x14ac:dyDescent="0.25">
      <c r="B26" s="17">
        <f>B25+0.1</f>
        <v>5.1999999999999993</v>
      </c>
      <c r="C26" s="68" t="s">
        <v>92</v>
      </c>
    </row>
    <row r="27" spans="2:3" ht="15.6" customHeight="1" x14ac:dyDescent="0.25">
      <c r="B27" s="17">
        <f>B26+0.1</f>
        <v>5.2999999999999989</v>
      </c>
      <c r="C27" s="68" t="s">
        <v>24</v>
      </c>
    </row>
  </sheetData>
  <sheetProtection algorithmName="SHA-256" hashValue="0APiOceWjAZ09weRyhANRONvMqnrGpycGQamIebCf6g=" saltValue="1h/aYAM83tP3ernPXR3FwA==" spinCount="100000" sheet="1" formatCells="0" formatColumns="0" formatRows="0" insertColumns="0" insertRows="0" insertHyperlinks="0" deleteColumns="0" deleteRows="0" sort="0" autoFilter="0" pivotTables="0"/>
  <hyperlinks>
    <hyperlink ref="C25" location="'Key inputs'!A1" display="Key inputs" xr:uid="{00000000-0004-0000-0200-000000000000}"/>
    <hyperlink ref="C12" location="'SB wo CL'!A1" display="Small business without CL" xr:uid="{00000000-0004-0000-0200-000003000000}"/>
    <hyperlink ref="C11" location="'Res w CL'!A1" display="Residential with CL" xr:uid="{00000000-0004-0000-0200-000004000000}"/>
    <hyperlink ref="C10" location="'Res wo CL'!A1" display="Residential without CL" xr:uid="{00000000-0004-0000-0200-000005000000}"/>
    <hyperlink ref="C5" location="Structure!A1" display="Model Structure" xr:uid="{00000000-0004-0000-0200-000006000000}"/>
    <hyperlink ref="C6" location="Summary!A1" display="Summary!A1" xr:uid="{00000000-0004-0000-0200-000007000000}"/>
    <hyperlink ref="C14" location="Ausgrid!A1" display="Ausgrid" xr:uid="{00000000-0004-0000-0200-000008000000}"/>
    <hyperlink ref="C15" location="Endeavour!A1" display="Endeavour" xr:uid="{00000000-0004-0000-0200-000009000000}"/>
    <hyperlink ref="C16" location="Energex!A1" display="Energex" xr:uid="{00000000-0004-0000-0200-00000A000000}"/>
    <hyperlink ref="C17" location="Essential!A1" display="Essential" xr:uid="{00000000-0004-0000-0200-00000B000000}"/>
    <hyperlink ref="C18" location="SAPN!A1" display="SAPN" xr:uid="{00000000-0004-0000-0200-00000C000000}"/>
    <hyperlink ref="C20" location="'Network cost'!A1" display="Network costs" xr:uid="{00000000-0004-0000-0200-00000D000000}"/>
    <hyperlink ref="C21" location="'Wholesale cost'!A1" display="Wholesale costs" xr:uid="{00000000-0004-0000-0200-00000E000000}"/>
    <hyperlink ref="C22" location="'Environmental cost'!A1" display="Environmental costs" xr:uid="{00000000-0004-0000-0200-00000F000000}"/>
    <hyperlink ref="C27" location="Usage!A1" display="Usage" xr:uid="{00000000-0004-0000-0200-000010000000}"/>
    <hyperlink ref="C26" location="'Detail inputs'!A1" display="Detail inputs" xr:uid="{00000000-0004-0000-0200-000011000000}"/>
    <hyperlink ref="C23" location="'Retail cost'!A1" display="Retail costs" xr:uid="{CC70AA6C-BE30-4413-B46E-0D72E2B3415A}"/>
    <hyperlink ref="C7" location="'Summary Detailed'!A1" display="Summary Detailed" xr:uid="{A9BF8E4B-CD2B-4987-97A1-B46E2C1D0BC7}"/>
    <hyperlink ref="C8" location="'Summary Chart'!A1" display="Summary Chart" xr:uid="{0A758182-287C-4BE7-88BC-9748ACCA90F9}"/>
  </hyperlinks>
  <pageMargins left="0.7" right="0.7" top="0.75" bottom="0.75" header="0.3" footer="0.3"/>
  <pageSetup paperSize="9" orientation="portrait" r:id="rId1"/>
  <headerFooter>
    <oddHeader>&amp;C&amp;"Calibri"&amp;10&amp;KFF0000 OFFICIAL SENSITIVE&amp;1#_x000D_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F9:F14"/>
  <sheetViews>
    <sheetView workbookViewId="0">
      <selection activeCell="B2" sqref="B2"/>
    </sheetView>
  </sheetViews>
  <sheetFormatPr defaultColWidth="8.85546875" defaultRowHeight="15" x14ac:dyDescent="0.25"/>
  <cols>
    <col min="1" max="16384" width="8.85546875" style="3"/>
  </cols>
  <sheetData>
    <row r="9" spans="6:6" ht="36" x14ac:dyDescent="0.25">
      <c r="F9" s="2" t="s">
        <v>150</v>
      </c>
    </row>
    <row r="10" spans="6:6" ht="36" x14ac:dyDescent="0.25">
      <c r="F10" s="2" t="str">
        <f>"DMO "&amp;FY</f>
        <v>DMO 2025-26</v>
      </c>
    </row>
    <row r="11" spans="6:6" ht="23.25" x14ac:dyDescent="0.25">
      <c r="F11" s="4"/>
    </row>
    <row r="12" spans="6:6" ht="23.25" x14ac:dyDescent="0.25">
      <c r="F12" s="4"/>
    </row>
    <row r="13" spans="6:6" x14ac:dyDescent="0.25">
      <c r="F13" s="5"/>
    </row>
    <row r="14" spans="6:6" x14ac:dyDescent="0.25">
      <c r="F14" s="5"/>
    </row>
  </sheetData>
  <sheetProtection algorithmName="SHA-256" hashValue="REj/o9SvETg0EOLt8CgEy1INEAU+PlXwmNajE5vOZHc=" saltValue="HZEKVHjIhuwga0KOAya66Q==" spinCount="100000" sheet="1" formatCells="0" formatColumns="0" formatRows="0" insertColumns="0" insertRows="0" insertHyperlinks="0" deleteColumns="0" deleteRows="0" sort="0" autoFilter="0" pivotTables="0"/>
  <pageMargins left="0.7" right="0.7" top="0.75" bottom="0.75" header="0.3" footer="0.3"/>
  <headerFooter>
    <oddHeader>&amp;C&amp;"Calibri"&amp;10&amp;KFF0000 OFFICIAL SENSITIVE&amp;1#_x000D_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249977111117893"/>
  </sheetPr>
  <dimension ref="A1:I62"/>
  <sheetViews>
    <sheetView zoomScaleNormal="100" workbookViewId="0">
      <selection sqref="A1:B1"/>
    </sheetView>
  </sheetViews>
  <sheetFormatPr defaultColWidth="8.85546875" defaultRowHeight="15" x14ac:dyDescent="0.25"/>
  <cols>
    <col min="1" max="1" width="3.140625" style="3" customWidth="1"/>
    <col min="2" max="2" width="19.5703125" style="3" customWidth="1"/>
    <col min="3" max="3" width="14.140625" style="3" customWidth="1"/>
    <col min="4" max="6" width="20.85546875" style="3" customWidth="1"/>
    <col min="7" max="9" width="12" style="3" customWidth="1"/>
    <col min="10" max="16384" width="8.85546875" style="3"/>
  </cols>
  <sheetData>
    <row r="1" spans="1:9" ht="10.35" customHeight="1" x14ac:dyDescent="0.25">
      <c r="A1" s="430" t="s">
        <v>18</v>
      </c>
      <c r="B1" s="430"/>
    </row>
    <row r="2" spans="1:9" s="14" customFormat="1" ht="22.5" customHeight="1" x14ac:dyDescent="0.25">
      <c r="A2" s="15" t="s">
        <v>95</v>
      </c>
    </row>
    <row r="4" spans="1:9" x14ac:dyDescent="0.25">
      <c r="G4" s="63"/>
      <c r="H4" s="63"/>
      <c r="I4" s="63"/>
    </row>
    <row r="5" spans="1:9" ht="15.75" x14ac:dyDescent="0.25">
      <c r="B5" s="32" t="s">
        <v>94</v>
      </c>
      <c r="G5" s="63"/>
      <c r="H5" s="63"/>
      <c r="I5" s="63"/>
    </row>
    <row r="6" spans="1:9" ht="20.100000000000001" customHeight="1" x14ac:dyDescent="0.25">
      <c r="G6" s="63"/>
      <c r="H6" s="63"/>
      <c r="I6" s="63"/>
    </row>
    <row r="7" spans="1:9" s="40" customFormat="1" ht="30" customHeight="1" x14ac:dyDescent="0.25">
      <c r="B7" s="3"/>
      <c r="C7" s="3"/>
      <c r="D7" s="3"/>
      <c r="E7" s="3"/>
      <c r="F7" s="3"/>
      <c r="G7" s="66"/>
      <c r="H7" s="66"/>
      <c r="I7" s="66"/>
    </row>
    <row r="8" spans="1:9" ht="20.100000000000001" customHeight="1" x14ac:dyDescent="0.25">
      <c r="G8" s="63"/>
      <c r="H8" s="63"/>
      <c r="I8" s="63"/>
    </row>
    <row r="9" spans="1:9" s="40" customFormat="1" ht="30" customHeight="1" x14ac:dyDescent="0.25">
      <c r="B9" s="3"/>
      <c r="C9" s="3"/>
      <c r="D9" s="3"/>
      <c r="E9" s="3"/>
      <c r="F9" s="3"/>
      <c r="G9" s="66"/>
      <c r="H9" s="66"/>
      <c r="I9" s="66"/>
    </row>
    <row r="10" spans="1:9" ht="20.100000000000001" customHeight="1" x14ac:dyDescent="0.25">
      <c r="G10" s="63"/>
      <c r="H10" s="63"/>
      <c r="I10" s="63"/>
    </row>
    <row r="11" spans="1:9" s="40" customFormat="1" ht="30" customHeight="1" x14ac:dyDescent="0.25">
      <c r="B11" s="3"/>
      <c r="C11" s="3"/>
      <c r="D11" s="3"/>
      <c r="E11" s="3"/>
      <c r="F11" s="3"/>
      <c r="G11" s="66"/>
      <c r="H11" s="66"/>
      <c r="I11" s="66"/>
    </row>
    <row r="12" spans="1:9" ht="20.100000000000001" customHeight="1" x14ac:dyDescent="0.25"/>
    <row r="13" spans="1:9" s="40" customFormat="1" ht="30" customHeight="1" x14ac:dyDescent="0.25">
      <c r="B13" s="3"/>
      <c r="C13" s="3"/>
      <c r="D13" s="3"/>
      <c r="E13" s="3"/>
      <c r="F13" s="3"/>
    </row>
    <row r="14" spans="1:9" ht="20.100000000000001" customHeight="1" x14ac:dyDescent="0.25"/>
    <row r="23" spans="1:3" x14ac:dyDescent="0.25">
      <c r="B23" s="104" t="s">
        <v>84</v>
      </c>
    </row>
    <row r="24" spans="1:3" x14ac:dyDescent="0.25">
      <c r="B24" s="104"/>
    </row>
    <row r="25" spans="1:3" x14ac:dyDescent="0.25">
      <c r="B25" s="104"/>
    </row>
    <row r="26" spans="1:3" ht="15.75" x14ac:dyDescent="0.25">
      <c r="A26" s="5"/>
      <c r="B26" s="32" t="s">
        <v>131</v>
      </c>
    </row>
    <row r="27" spans="1:3" x14ac:dyDescent="0.25">
      <c r="B27" s="3" t="s">
        <v>61</v>
      </c>
      <c r="C27" s="3" t="s">
        <v>97</v>
      </c>
    </row>
    <row r="28" spans="1:3" x14ac:dyDescent="0.25">
      <c r="B28" s="3" t="s">
        <v>193</v>
      </c>
      <c r="C28" s="3" t="s">
        <v>194</v>
      </c>
    </row>
    <row r="29" spans="1:3" x14ac:dyDescent="0.25">
      <c r="B29" s="3" t="s">
        <v>71</v>
      </c>
      <c r="C29" s="3" t="s">
        <v>99</v>
      </c>
    </row>
    <row r="30" spans="1:3" x14ac:dyDescent="0.25">
      <c r="B30" s="3" t="s">
        <v>132</v>
      </c>
      <c r="C30" s="3" t="s">
        <v>133</v>
      </c>
    </row>
    <row r="31" spans="1:3" x14ac:dyDescent="0.25">
      <c r="B31" s="3" t="s">
        <v>2</v>
      </c>
      <c r="C31" s="3" t="s">
        <v>198</v>
      </c>
    </row>
    <row r="32" spans="1:3" x14ac:dyDescent="0.25">
      <c r="B32" s="3" t="s">
        <v>16</v>
      </c>
      <c r="C32" s="3" t="s">
        <v>115</v>
      </c>
    </row>
    <row r="33" spans="2:3" x14ac:dyDescent="0.25">
      <c r="B33" s="3" t="s">
        <v>30</v>
      </c>
      <c r="C33" s="3" t="s">
        <v>197</v>
      </c>
    </row>
    <row r="34" spans="2:3" x14ac:dyDescent="0.25">
      <c r="B34" s="3" t="s">
        <v>107</v>
      </c>
      <c r="C34" s="3" t="s">
        <v>143</v>
      </c>
    </row>
    <row r="35" spans="2:3" x14ac:dyDescent="0.25">
      <c r="B35" s="3" t="s">
        <v>117</v>
      </c>
      <c r="C35" s="3" t="s">
        <v>118</v>
      </c>
    </row>
    <row r="36" spans="2:3" x14ac:dyDescent="0.25">
      <c r="B36" s="3" t="s">
        <v>100</v>
      </c>
      <c r="C36" s="3" t="s">
        <v>137</v>
      </c>
    </row>
    <row r="37" spans="2:3" x14ac:dyDescent="0.25">
      <c r="B37" s="3" t="s">
        <v>4</v>
      </c>
      <c r="C37" s="3" t="s">
        <v>199</v>
      </c>
    </row>
    <row r="38" spans="2:3" x14ac:dyDescent="0.25">
      <c r="B38" s="3" t="s">
        <v>0</v>
      </c>
      <c r="C38" s="3" t="s">
        <v>201</v>
      </c>
    </row>
    <row r="39" spans="2:3" x14ac:dyDescent="0.25">
      <c r="B39" s="3" t="s">
        <v>3</v>
      </c>
      <c r="C39" s="3" t="s">
        <v>200</v>
      </c>
    </row>
    <row r="40" spans="2:3" x14ac:dyDescent="0.25">
      <c r="B40" s="3" t="s">
        <v>76</v>
      </c>
      <c r="C40" s="3" t="s">
        <v>114</v>
      </c>
    </row>
    <row r="41" spans="2:3" x14ac:dyDescent="0.25">
      <c r="B41" s="3" t="s">
        <v>101</v>
      </c>
      <c r="C41" s="3" t="s">
        <v>103</v>
      </c>
    </row>
    <row r="42" spans="2:3" x14ac:dyDescent="0.25">
      <c r="B42" s="3" t="s">
        <v>38</v>
      </c>
      <c r="C42" s="3" t="s">
        <v>196</v>
      </c>
    </row>
    <row r="43" spans="2:3" x14ac:dyDescent="0.25">
      <c r="B43" s="3" t="s">
        <v>53</v>
      </c>
      <c r="C43" s="3" t="s">
        <v>192</v>
      </c>
    </row>
    <row r="44" spans="2:3" x14ac:dyDescent="0.25">
      <c r="B44" s="3" t="s">
        <v>73</v>
      </c>
      <c r="C44" s="3" t="s">
        <v>109</v>
      </c>
    </row>
    <row r="45" spans="2:3" x14ac:dyDescent="0.25">
      <c r="B45" s="3" t="s">
        <v>74</v>
      </c>
      <c r="C45" s="3" t="s">
        <v>111</v>
      </c>
    </row>
    <row r="46" spans="2:3" x14ac:dyDescent="0.25">
      <c r="B46" s="3" t="s">
        <v>108</v>
      </c>
      <c r="C46" s="3" t="s">
        <v>144</v>
      </c>
    </row>
    <row r="47" spans="2:3" x14ac:dyDescent="0.25">
      <c r="B47" s="3" t="s">
        <v>119</v>
      </c>
      <c r="C47" s="3" t="s">
        <v>120</v>
      </c>
    </row>
    <row r="48" spans="2:3" x14ac:dyDescent="0.25">
      <c r="B48" s="3" t="s">
        <v>78</v>
      </c>
      <c r="C48" s="3" t="s">
        <v>142</v>
      </c>
    </row>
    <row r="49" spans="2:3" x14ac:dyDescent="0.25">
      <c r="B49" s="3" t="s">
        <v>102</v>
      </c>
      <c r="C49" s="3" t="s">
        <v>104</v>
      </c>
    </row>
    <row r="50" spans="2:3" x14ac:dyDescent="0.25">
      <c r="B50" s="3" t="s">
        <v>57</v>
      </c>
      <c r="C50" s="3" t="s">
        <v>96</v>
      </c>
    </row>
    <row r="51" spans="2:3" x14ac:dyDescent="0.25">
      <c r="B51" s="3" t="s">
        <v>121</v>
      </c>
      <c r="C51" s="3" t="s">
        <v>122</v>
      </c>
    </row>
    <row r="52" spans="2:3" x14ac:dyDescent="0.25">
      <c r="B52" s="3" t="s">
        <v>135</v>
      </c>
      <c r="C52" s="3" t="s">
        <v>105</v>
      </c>
    </row>
    <row r="53" spans="2:3" x14ac:dyDescent="0.25">
      <c r="B53" s="63" t="s">
        <v>164</v>
      </c>
      <c r="C53" s="3" t="s">
        <v>190</v>
      </c>
    </row>
    <row r="54" spans="2:3" x14ac:dyDescent="0.25">
      <c r="B54" s="3" t="s">
        <v>79</v>
      </c>
      <c r="C54" s="3" t="s">
        <v>113</v>
      </c>
    </row>
    <row r="55" spans="2:3" x14ac:dyDescent="0.25">
      <c r="B55" s="3" t="s">
        <v>165</v>
      </c>
      <c r="C55" s="3" t="s">
        <v>203</v>
      </c>
    </row>
    <row r="56" spans="2:3" x14ac:dyDescent="0.25">
      <c r="B56" s="3" t="s">
        <v>72</v>
      </c>
      <c r="C56" s="3" t="s">
        <v>136</v>
      </c>
    </row>
    <row r="57" spans="2:3" x14ac:dyDescent="0.25">
      <c r="B57" s="3" t="s">
        <v>106</v>
      </c>
      <c r="C57" s="3" t="s">
        <v>110</v>
      </c>
    </row>
    <row r="58" spans="2:3" x14ac:dyDescent="0.25">
      <c r="B58" s="3" t="s">
        <v>5</v>
      </c>
      <c r="C58" s="3" t="s">
        <v>202</v>
      </c>
    </row>
    <row r="59" spans="2:3" x14ac:dyDescent="0.25">
      <c r="B59" s="3" t="s">
        <v>75</v>
      </c>
      <c r="C59" s="3" t="s">
        <v>112</v>
      </c>
    </row>
    <row r="60" spans="2:3" x14ac:dyDescent="0.25">
      <c r="B60" s="3" t="s">
        <v>39</v>
      </c>
      <c r="C60" s="3" t="s">
        <v>116</v>
      </c>
    </row>
    <row r="61" spans="2:3" x14ac:dyDescent="0.25">
      <c r="B61" s="3" t="s">
        <v>70</v>
      </c>
      <c r="C61" s="3" t="s">
        <v>98</v>
      </c>
    </row>
    <row r="62" spans="2:3" x14ac:dyDescent="0.25">
      <c r="B62" s="3" t="s">
        <v>195</v>
      </c>
      <c r="C62" s="3" t="s">
        <v>191</v>
      </c>
    </row>
  </sheetData>
  <sheetProtection algorithmName="SHA-256" hashValue="BIuUkev5PZwuYi/RTCQff4PWLOQP/U4uXeXOJ6USSCs=" saltValue="TN7kp9Zqp4/unooVh2nnnw==" spinCount="100000" sheet="1" formatCells="0" formatColumns="0" formatRows="0" insertColumns="0" insertRows="0" insertHyperlinks="0" deleteColumns="0" deleteRows="0" sort="0" autoFilter="0" pivotTables="0"/>
  <mergeCells count="1">
    <mergeCell ref="A1:B1"/>
  </mergeCells>
  <hyperlinks>
    <hyperlink ref="A1" location="Index!A1" display="&lt;&lt;Back to Index" xr:uid="{00000000-0004-0000-0400-000000000000}"/>
  </hyperlinks>
  <pageMargins left="0.7" right="0.7" top="0.75" bottom="0.75" header="0.3" footer="0.3"/>
  <pageSetup paperSize="9" orientation="portrait" r:id="rId1"/>
  <headerFooter>
    <oddHeader>&amp;C&amp;"Calibri"&amp;10&amp;KFF0000 OFFICIAL SENSITIVE&amp;1#_x000D_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sheetPr>
  <dimension ref="A1:AU72"/>
  <sheetViews>
    <sheetView zoomScaleNormal="100" workbookViewId="0">
      <selection sqref="A1:B1"/>
    </sheetView>
  </sheetViews>
  <sheetFormatPr defaultColWidth="8.85546875" defaultRowHeight="15" x14ac:dyDescent="0.25"/>
  <cols>
    <col min="1" max="1" width="1" style="3" customWidth="1"/>
    <col min="2" max="2" width="16" style="3" customWidth="1"/>
    <col min="3" max="3" width="13" style="3" customWidth="1"/>
    <col min="4" max="8" width="8.5703125" style="3" customWidth="1"/>
    <col min="9" max="9" width="10.5703125" style="3" customWidth="1"/>
    <col min="10" max="11" width="8.28515625" style="126" customWidth="1"/>
    <col min="12" max="12" width="9.5703125" style="126" customWidth="1"/>
    <col min="13" max="13" width="22" style="3" customWidth="1"/>
    <col min="14" max="14" width="12.85546875" style="3" customWidth="1"/>
    <col min="15" max="15" width="11.5703125" style="3" customWidth="1"/>
    <col min="16" max="16" width="14.28515625" style="3" customWidth="1"/>
    <col min="17" max="17" width="9.85546875" style="3" customWidth="1"/>
    <col min="18" max="18" width="10.42578125" style="3" customWidth="1"/>
    <col min="19" max="19" width="14.5703125" style="3" customWidth="1"/>
    <col min="20" max="20" width="8.85546875" style="3" customWidth="1"/>
    <col min="21" max="21" width="8.7109375" style="3" customWidth="1"/>
    <col min="22" max="22" width="13.140625" style="3" customWidth="1"/>
    <col min="23" max="23" width="11.42578125" style="3" customWidth="1"/>
    <col min="24" max="24" width="11.7109375" style="3" customWidth="1"/>
    <col min="25" max="25" width="13.85546875" style="3" customWidth="1"/>
    <col min="26" max="26" width="9.42578125" style="3" customWidth="1"/>
    <col min="27" max="28" width="10.85546875" style="3" customWidth="1"/>
    <col min="29" max="29" width="11.140625" style="3" customWidth="1"/>
    <col min="30" max="30" width="14" style="3" customWidth="1"/>
    <col min="31" max="31" width="11.7109375" style="3" customWidth="1"/>
    <col min="32" max="32" width="11.5703125" style="3" customWidth="1"/>
    <col min="33" max="33" width="12.140625" style="3" customWidth="1"/>
    <col min="34" max="34" width="4.7109375" style="3" customWidth="1"/>
    <col min="35" max="35" width="8.85546875" style="3"/>
    <col min="36" max="39" width="9.7109375" style="3" customWidth="1"/>
    <col min="40" max="40" width="4.5703125" style="3" customWidth="1"/>
    <col min="41" max="42" width="9.7109375" style="3" customWidth="1"/>
    <col min="43" max="16384" width="8.85546875" style="3"/>
  </cols>
  <sheetData>
    <row r="1" spans="1:38" ht="11.25" customHeight="1" x14ac:dyDescent="0.25">
      <c r="A1" s="430" t="s">
        <v>18</v>
      </c>
      <c r="B1" s="431"/>
      <c r="F1" s="3" t="s">
        <v>188</v>
      </c>
    </row>
    <row r="2" spans="1:38" s="14" customFormat="1" ht="18.75" x14ac:dyDescent="0.25">
      <c r="A2" s="15" t="str">
        <f>"DMO "&amp;FY&amp;" "&amp;'Key inputs'!D8&amp;" Determination Prices and Cost Changes"</f>
        <v>DMO 2025-26 Final Determination Prices and Cost Changes</v>
      </c>
      <c r="J2" s="292"/>
      <c r="K2" s="324"/>
      <c r="L2" s="292"/>
    </row>
    <row r="3" spans="1:38" ht="6" customHeight="1" x14ac:dyDescent="0.25">
      <c r="B3" s="89"/>
      <c r="C3" s="3" t="s">
        <v>188</v>
      </c>
      <c r="E3" s="3" t="s">
        <v>188</v>
      </c>
      <c r="F3" s="114"/>
      <c r="M3" s="5"/>
      <c r="N3" s="19"/>
      <c r="O3" s="19"/>
      <c r="P3" s="19"/>
      <c r="Q3" s="19"/>
      <c r="R3" s="19"/>
    </row>
    <row r="4" spans="1:38" ht="15" customHeight="1" x14ac:dyDescent="0.25">
      <c r="B4" s="32" t="str">
        <f>"DMO "&amp;FY&amp;"  "&amp;'Key inputs'!D8&amp;" Determination Prices"</f>
        <v>DMO 2025-26  Final Determination Prices</v>
      </c>
      <c r="E4" s="225"/>
      <c r="G4" s="203" t="s">
        <v>188</v>
      </c>
      <c r="H4" s="203" t="s">
        <v>188</v>
      </c>
      <c r="M4" s="32" t="str">
        <f>"Summary of cost changes from DMO "&amp;PY&amp;" to DMO "&amp;FY</f>
        <v>Summary of cost changes from DMO 2024-25 to DMO 2025-26</v>
      </c>
      <c r="N4" s="19"/>
      <c r="O4" s="19"/>
      <c r="P4" s="19"/>
      <c r="Q4" s="19"/>
      <c r="R4" s="19"/>
      <c r="V4" s="32" t="str">
        <f>"Proportion of costs in base DMO "&amp;FY</f>
        <v>Proportion of costs in base DMO 2025-26</v>
      </c>
    </row>
    <row r="5" spans="1:38" ht="15" customHeight="1" x14ac:dyDescent="0.25">
      <c r="B5" s="89" t="s">
        <v>123</v>
      </c>
      <c r="C5" s="3" t="s">
        <v>188</v>
      </c>
      <c r="E5" s="175"/>
      <c r="G5" s="203" t="s">
        <v>188</v>
      </c>
      <c r="H5" s="203" t="s">
        <v>188</v>
      </c>
      <c r="M5" s="32"/>
      <c r="N5" s="19"/>
      <c r="O5" s="19"/>
      <c r="P5" s="19"/>
      <c r="Q5" s="19"/>
      <c r="R5" s="19"/>
      <c r="W5" s="64" t="str">
        <f>FY</f>
        <v>2025-26</v>
      </c>
      <c r="AD5" s="282"/>
    </row>
    <row r="6" spans="1:38" ht="15" customHeight="1" x14ac:dyDescent="0.25">
      <c r="B6" s="447" t="s">
        <v>1</v>
      </c>
      <c r="C6" s="107"/>
      <c r="D6" s="437" t="s">
        <v>6</v>
      </c>
      <c r="E6" s="437"/>
      <c r="F6" s="437" t="s">
        <v>6</v>
      </c>
      <c r="G6" s="437"/>
      <c r="H6" s="437" t="s">
        <v>77</v>
      </c>
      <c r="I6" s="438"/>
      <c r="J6" s="319"/>
      <c r="K6" s="319"/>
      <c r="L6" s="319"/>
      <c r="M6" s="452" t="s">
        <v>32</v>
      </c>
      <c r="N6" s="452" t="s">
        <v>62</v>
      </c>
      <c r="O6" s="452" t="s">
        <v>63</v>
      </c>
      <c r="P6" s="452" t="s">
        <v>64</v>
      </c>
      <c r="Q6" s="452" t="s">
        <v>168</v>
      </c>
      <c r="R6" s="452" t="s">
        <v>210</v>
      </c>
      <c r="S6" s="452" t="s">
        <v>69</v>
      </c>
      <c r="V6" s="452" t="s">
        <v>32</v>
      </c>
      <c r="W6" s="452" t="s">
        <v>62</v>
      </c>
      <c r="X6" s="452" t="s">
        <v>63</v>
      </c>
      <c r="Y6" s="452" t="s">
        <v>64</v>
      </c>
      <c r="Z6" s="452" t="s">
        <v>169</v>
      </c>
      <c r="AA6" s="452" t="s">
        <v>210</v>
      </c>
      <c r="AB6" s="452" t="s">
        <v>55</v>
      </c>
      <c r="AD6" s="19"/>
      <c r="AE6" s="19"/>
    </row>
    <row r="7" spans="1:38" ht="15" customHeight="1" x14ac:dyDescent="0.25">
      <c r="B7" s="447"/>
      <c r="C7" s="107"/>
      <c r="D7" s="439" t="s">
        <v>127</v>
      </c>
      <c r="E7" s="439"/>
      <c r="F7" s="439" t="s">
        <v>128</v>
      </c>
      <c r="G7" s="439"/>
      <c r="H7" s="439" t="s">
        <v>127</v>
      </c>
      <c r="I7" s="440"/>
      <c r="J7" s="319"/>
      <c r="K7" s="319"/>
      <c r="L7" s="319"/>
      <c r="M7" s="452"/>
      <c r="N7" s="452"/>
      <c r="O7" s="452"/>
      <c r="P7" s="452"/>
      <c r="Q7" s="452"/>
      <c r="R7" s="452"/>
      <c r="S7" s="452"/>
      <c r="V7" s="452"/>
      <c r="W7" s="452"/>
      <c r="X7" s="452"/>
      <c r="Y7" s="452"/>
      <c r="Z7" s="452"/>
      <c r="AA7" s="452"/>
      <c r="AB7" s="452"/>
      <c r="AD7" s="19"/>
      <c r="AE7" s="19"/>
      <c r="AL7" s="198"/>
    </row>
    <row r="8" spans="1:38" s="40" customFormat="1" ht="15" customHeight="1" x14ac:dyDescent="0.25">
      <c r="B8" s="46" t="s">
        <v>2</v>
      </c>
      <c r="C8" s="289" t="s">
        <v>83</v>
      </c>
      <c r="D8" s="442" cm="1">
        <f t="array" aca="1" ref="D8" ca="1">INDEX(INDIRECT("'"&amp;$B8&amp;"'!$B$6:$F$16"),MATCH("DMO "&amp;FY&amp;" price ($ pa, inc GST)",INDIRECT("'"&amp;$B8&amp;"'!$B$6:$B$16"),0),MATCH(D$6&amp;D$7,INDIRECT("'"&amp;$B8&amp;"'!$B$6:$E$6")&amp;INDIRECT("'"&amp;$B8&amp;"'!$B$7:$E$7"),0))</f>
        <v>1965</v>
      </c>
      <c r="E8" s="442"/>
      <c r="F8" s="442">
        <f t="array" aca="1" ref="F8" ca="1">INDEX(INDIRECT("'"&amp;$B8&amp;"'!$B$6:$F$15"),MATCH("DMO "&amp;FY&amp;" price ($ pa, inc GST)",INDIRECT("'"&amp;$B8&amp;"'!$B$6:$B$15"),0),MATCH(F$6&amp;F$7,INDIRECT("'"&amp;$B8&amp;"'!$B$6:$E$6")&amp;INDIRECT("'"&amp;$B8&amp;"'!$B$7:$E$7"),0))</f>
        <v>2717</v>
      </c>
      <c r="G8" s="442"/>
      <c r="H8" s="455">
        <f t="array" aca="1" ref="H8" ca="1">INDEX(INDIRECT("'"&amp;$B8&amp;"'!$B$6:$F$15"),MATCH("DMO "&amp;FY&amp;" price ($ pa, inc GST)",INDIRECT("'"&amp;$B8&amp;"'!$B$6:$B$15"),0),MATCH(H$6&amp;H$7,INDIRECT("'"&amp;$B8&amp;"'!$B$6:$E$6")&amp;INDIRECT("'"&amp;$B8&amp;"'!$B$7:$E$7"),0))</f>
        <v>4977</v>
      </c>
      <c r="I8" s="456"/>
      <c r="J8" s="319"/>
      <c r="K8" s="319"/>
      <c r="L8" s="319"/>
      <c r="M8" s="5" t="str">
        <f>T8&amp;" "&amp;U8</f>
        <v>Residential without CL</v>
      </c>
      <c r="N8" s="19"/>
      <c r="O8" s="19"/>
      <c r="P8" s="113"/>
      <c r="Q8" s="113"/>
      <c r="R8" s="113"/>
      <c r="S8" s="113"/>
      <c r="T8" s="195" t="s">
        <v>6</v>
      </c>
      <c r="U8" s="196" t="s">
        <v>127</v>
      </c>
      <c r="V8" s="5" t="str">
        <f>M8</f>
        <v>Residential without CL</v>
      </c>
      <c r="W8" s="19"/>
      <c r="X8" s="19"/>
      <c r="Y8" s="113"/>
      <c r="Z8" s="113"/>
      <c r="AA8" s="113"/>
      <c r="AB8" s="113"/>
      <c r="AD8" s="260"/>
      <c r="AE8" s="260"/>
    </row>
    <row r="9" spans="1:38" ht="15" customHeight="1" x14ac:dyDescent="0.25">
      <c r="B9" s="65"/>
      <c r="C9" s="443" t="s">
        <v>145</v>
      </c>
      <c r="D9" s="441" t="str">
        <f t="array" aca="1" ref="D9" ca="1">INDEX(INDIRECT("'"&amp;$B8&amp;"'!$B$6:$F$15"),MATCH("Annual usage (kWh)",INDIRECT("'"&amp;$B8&amp;"'!$B$6:$B$15"),0),MATCH(D$6&amp;D$7,INDIRECT("'"&amp;$B8&amp;"'!$B$6:$E$6")&amp;INDIRECT("'"&amp;$B8&amp;"'!$B$7:$E$7"),0))&amp;" kWh"</f>
        <v>3900 kWh</v>
      </c>
      <c r="E9" s="441"/>
      <c r="F9" s="450" t="str">
        <f t="array" aca="1" ref="F9" ca="1">"Flat rate "&amp;INDEX(INDIRECT("'"&amp;$B8&amp;"'!$B$6:$F$15"),MATCH("Flat rate usage (kWh)",INDIRECT("'"&amp;$B8&amp;"'!$B$6:$B$15"),0),MATCH(F$6&amp;F$7,INDIRECT("'"&amp;$B8&amp;"'!$B$6:$E$6")&amp;INDIRECT("'"&amp;$B8&amp;"'!$B$7:$E$7"),0))&amp;" kWh"</f>
        <v>Flat rate 4800 kWh</v>
      </c>
      <c r="G9" s="451"/>
      <c r="H9" s="453" t="str">
        <f t="array" aca="1" ref="H9" ca="1">INDEX(INDIRECT("'"&amp;$B8&amp;"'!$B$6:$F$15"),MATCH("Annual usage (kWh)",INDIRECT("'"&amp;$B8&amp;"'!$B$6:$B$15"),0),MATCH(H$6&amp;H$7,INDIRECT("'"&amp;$B8&amp;"'!$B$6:$E$6")&amp;INDIRECT("'"&amp;$B8&amp;"'!$B$7:$E$7"),0))&amp;" kWh"</f>
        <v>10000 kWh</v>
      </c>
      <c r="I9" s="454"/>
      <c r="J9" s="319"/>
      <c r="K9" s="319"/>
      <c r="L9" s="319"/>
      <c r="M9" s="3" t="s">
        <v>2</v>
      </c>
      <c r="N9" s="209" cm="1">
        <f t="array" aca="1" ref="N9" ca="1">INDEX(INDIRECT("'"&amp;$M9&amp;"'!F23:AJ38"),MATCH(N$6,INDIRECT("'"&amp;$M9&amp;"'!F23:F38"),0),MATCH($T9&amp;$U9&amp;"Change",INDIRECT("'"&amp;$M9&amp;"'!F23:AJ23")&amp;INDIRECT("'"&amp;$M9&amp;"'!F24:AJ24")&amp;INDIRECT("'"&amp;$M9&amp;"'!F30:AJ30"),0))</f>
        <v>8.4003905752518593E-2</v>
      </c>
      <c r="O9" s="211" cm="1">
        <f t="array" aca="1" ref="O9" ca="1">INDEX(INDIRECT("'"&amp;$M9&amp;"'!F23:AJ38"),MATCH(O$6,INDIRECT("'"&amp;$M9&amp;"'!F23:F38"),0),MATCH($T9&amp;$U9&amp;"Change",INDIRECT("'"&amp;$M9&amp;"'!F23:AJ23")&amp;INDIRECT("'"&amp;$M9&amp;"'!F24:AJ24")&amp;INDIRECT("'"&amp;$M9&amp;"'!F30:AJ30"),0))</f>
        <v>5.8443201423314939E-2</v>
      </c>
      <c r="P9" s="211" cm="1">
        <f t="array" aca="1" ref="P9" ca="1">INDEX(INDIRECT("'"&amp;$M9&amp;"'!F23:AJ38"),MATCH(P$6,INDIRECT("'"&amp;$M9&amp;"'!F23:F38"),0),MATCH($T9&amp;$U9&amp;"Change",INDIRECT("'"&amp;$M9&amp;"'!F23:AJ23")&amp;INDIRECT("'"&amp;$M9&amp;"'!F24:AJ24")&amp;INDIRECT("'"&amp;$M9&amp;"'!F30:AJ30"),0))</f>
        <v>-0.18899729746790339</v>
      </c>
      <c r="Q9" s="211" cm="1">
        <f t="array" aca="1" ref="Q9" ca="1">INDEX(INDIRECT("'"&amp;$M9&amp;"'!F23:AJ38"),MATCH(Q$6,INDIRECT("'"&amp;$M9&amp;"'!F23:F38"),0),MATCH($T9&amp;$U9&amp;"Change",INDIRECT("'"&amp;$M9&amp;"'!F23:AJ23")&amp;INDIRECT("'"&amp;$M9&amp;"'!F24:AJ24")&amp;INDIRECT("'"&amp;$M9&amp;"'!F30:AJ30"),0))</f>
        <v>0.2592701648770479</v>
      </c>
      <c r="R9" s="211" cm="1">
        <f t="array" aca="1" ref="R9" ca="1">INDEX(INDIRECT("'"&amp;$M9&amp;"'!F23:AJ38"),MATCH(R$6,INDIRECT("'"&amp;$M9&amp;"'!F23:F38"),0),MATCH($T9&amp;$U9&amp;"Change",INDIRECT("'"&amp;$M9&amp;"'!F23:AJ23")&amp;INDIRECT("'"&amp;$M9&amp;"'!F24:AJ24")&amp;INDIRECT("'"&amp;$M9&amp;"'!F30:AJ30"),0))</f>
        <v>8.5347382267102007E-2</v>
      </c>
      <c r="S9" s="214">
        <f t="array" aca="1" ref="S9" ca="1">INDEX(INDIRECT("'"&amp;$M9&amp;"'!$B$6:$F$16"),MATCH("Change from DMO "&amp;PY&amp;" price (%)",INDIRECT("'"&amp;$M9&amp;"'!$B$6:$B$16"),0),MATCH($T9&amp;$U9,INDIRECT("'"&amp;$M9&amp;"'!$B$6:$E$6")&amp;INDIRECT("'"&amp;$M9&amp;"'!$B$7:$E$7"),0))</f>
        <v>8.5635359116022158E-2</v>
      </c>
      <c r="T9" s="64" t="str">
        <f>T8</f>
        <v>Residential</v>
      </c>
      <c r="U9" s="64" t="str">
        <f t="shared" ref="T9:U13" si="0">U8</f>
        <v>without CL</v>
      </c>
      <c r="V9" s="3" t="s">
        <v>2</v>
      </c>
      <c r="W9" s="190" cm="1">
        <f t="array" aca="1" ref="W9" ca="1">INDEX(INDIRECT("'"&amp;$V9&amp;"'!F23:AJ38"),MATCH(W$6,INDIRECT("'"&amp;$V9&amp;"'!F23:F38"),0),MATCH($T9&amp;$U9&amp;$W$5&amp;"Proportion",INDIRECT("'"&amp;$V9&amp;"'!F23:AJ23")&amp;INDIRECT("'"&amp;$V9&amp;"'!F24:AJ24")&amp;INDIRECT("'"&amp;$V9&amp;"'!F25:AJ25")&amp;INDIRECT("'"&amp;$V9&amp;"'!F30:AJ30"),0))</f>
        <v>0.36230277952169565</v>
      </c>
      <c r="X9" s="190" cm="1">
        <f t="array" aca="1" ref="X9" ca="1">INDEX(INDIRECT("'"&amp;$V9&amp;"'!F23:AJ38"),MATCH(X$6,INDIRECT("'"&amp;$V9&amp;"'!F23:F38"),0),MATCH($T9&amp;$U9&amp;$W$5&amp;"Proportion",INDIRECT("'"&amp;$V9&amp;"'!F23:AJ23")&amp;INDIRECT("'"&amp;$V9&amp;"'!F24:AJ24")&amp;INDIRECT("'"&amp;$V9&amp;"'!F25:AJ25")&amp;INDIRECT("'"&amp;$V9&amp;"'!F30:AJ30"),0))</f>
        <v>0.38370101334424156</v>
      </c>
      <c r="Y9" s="190" cm="1">
        <f t="array" aca="1" ref="Y9" ca="1">INDEX(INDIRECT("'"&amp;$V9&amp;"'!F23:AJ38"),MATCH(Y$6,INDIRECT("'"&amp;$V9&amp;"'!F23:F38"),0),MATCH($T9&amp;$U9&amp;$W$5&amp;"Proportion",INDIRECT("'"&amp;$V9&amp;"'!F23:AJ23")&amp;INDIRECT("'"&amp;$V9&amp;"'!F24:AJ24")&amp;INDIRECT("'"&amp;$V9&amp;"'!F25:AJ25")&amp;INDIRECT("'"&amp;$V9&amp;"'!F30:AJ30"),0))</f>
        <v>3.4774310078098385E-2</v>
      </c>
      <c r="Z9" s="190" cm="1">
        <f t="array" aca="1" ref="Z9" ca="1">INDEX(INDIRECT("'"&amp;$V9&amp;"'!F23:AJ38"),MATCH(Z$6,INDIRECT("'"&amp;$V9&amp;"'!F23:F38"),0),MATCH($T9&amp;$U9&amp;$W$5&amp;"Proportion",INDIRECT("'"&amp;$V9&amp;"'!F23:AJ23")&amp;INDIRECT("'"&amp;$V9&amp;"'!F24:AJ24")&amp;INDIRECT("'"&amp;$V9&amp;"'!F25:AJ25")&amp;INDIRECT("'"&amp;$V9&amp;"'!F30:AJ30"),0))</f>
        <v>0.15903952991808207</v>
      </c>
      <c r="AA9" s="190" cm="1">
        <f t="array" aca="1" ref="AA9" ca="1">INDEX(INDIRECT("'"&amp;$V9&amp;"'!F23:AJ38"),MATCH(AA$6,INDIRECT("'"&amp;$V9&amp;"'!F23:F38"),0),MATCH($T9&amp;$U9&amp;$W$5&amp;"Proportion",INDIRECT("'"&amp;$V9&amp;"'!F23:AJ23")&amp;INDIRECT("'"&amp;$V9&amp;"'!F24:AJ24")&amp;INDIRECT("'"&amp;$V9&amp;"'!F25:AJ25")&amp;INDIRECT("'"&amp;$V9&amp;"'!F30:AJ30"),0))</f>
        <v>5.998835954439051E-2</v>
      </c>
      <c r="AB9" s="216">
        <f ca="1">SUM(W9:AA9)</f>
        <v>0.99980599240650825</v>
      </c>
      <c r="AD9" s="19"/>
      <c r="AE9" s="19"/>
    </row>
    <row r="10" spans="1:38" ht="15" customHeight="1" x14ac:dyDescent="0.25">
      <c r="B10" s="65"/>
      <c r="C10" s="443"/>
      <c r="D10" s="108"/>
      <c r="E10" s="109"/>
      <c r="F10" s="450" t="str">
        <f t="array" aca="1" ref="F10" ca="1">"+ CL "&amp;INDEX(INDIRECT("'"&amp;$B8&amp;"'!$B$6:$F$15"),MATCH("Controlled load usage (kWh)",INDIRECT("'"&amp;$B8&amp;"'!$B$6:$B$15"),0),MATCH(F$6&amp;F$7,INDIRECT("'"&amp;$B8&amp;"'!$B$6:$E$6")&amp;INDIRECT("'"&amp;$B8&amp;"'!$B$7:$E$7"),0))&amp;" kWh"</f>
        <v>+ CL 2000 kWh</v>
      </c>
      <c r="G10" s="451"/>
      <c r="H10" s="108"/>
      <c r="I10" s="179"/>
      <c r="J10" s="319"/>
      <c r="K10" s="319"/>
      <c r="L10" s="319"/>
      <c r="M10" s="3" t="s">
        <v>4</v>
      </c>
      <c r="N10" s="209">
        <f t="array" aca="1" ref="N10" ca="1">INDEX(INDIRECT("'"&amp;$M10&amp;"'!F23:AJ38"),MATCH(N$6,INDIRECT("'"&amp;$M10&amp;"'!F23:F38"),0),MATCH($T10&amp;$U10&amp;"Change",INDIRECT("'"&amp;$M10&amp;"'!F23:AJ23")&amp;INDIRECT("'"&amp;$M10&amp;"'!F24:AJ24")&amp;INDIRECT("'"&amp;$M10&amp;"'!F30:AJ30"),0))</f>
        <v>9.373918834778916E-2</v>
      </c>
      <c r="O10" s="211">
        <f t="array" aca="1" ref="O10" ca="1">INDEX(INDIRECT("'"&amp;$M10&amp;"'!F23:AJ38"),MATCH(O$6,INDIRECT("'"&amp;$M10&amp;"'!F23:F38"),0),MATCH($T10&amp;$U10&amp;"Change",INDIRECT("'"&amp;$M10&amp;"'!F23:AJ23")&amp;INDIRECT("'"&amp;$M10&amp;"'!F24:AJ24")&amp;INDIRECT("'"&amp;$M10&amp;"'!F30:AJ30"),0))</f>
        <v>5.1718462425141665E-2</v>
      </c>
      <c r="P10" s="211">
        <f t="array" aca="1" ref="P10" ca="1">INDEX(INDIRECT("'"&amp;$M10&amp;"'!F23:AJ38"),MATCH(P$6,INDIRECT("'"&amp;$M10&amp;"'!F23:F38"),0),MATCH($T10&amp;$U10&amp;"Change",INDIRECT("'"&amp;$M10&amp;"'!F23:AJ23")&amp;INDIRECT("'"&amp;$M10&amp;"'!F24:AJ24")&amp;INDIRECT("'"&amp;$M10&amp;"'!F30:AJ30"),0))</f>
        <v>-0.1813946310687703</v>
      </c>
      <c r="Q10" s="211" cm="1">
        <f t="array" aca="1" ref="Q10" ca="1">INDEX(INDIRECT("'"&amp;$M10&amp;"'!F23:AJ38"),MATCH(Q$6,INDIRECT("'"&amp;$M10&amp;"'!F23:F38"),0),MATCH($T10&amp;$U10&amp;"Change",INDIRECT("'"&amp;$M10&amp;"'!F23:AJ23")&amp;INDIRECT("'"&amp;$M10&amp;"'!F24:AJ24")&amp;INDIRECT("'"&amp;$M10&amp;"'!F30:AJ30"),0))</f>
        <v>0.28021428539714271</v>
      </c>
      <c r="R10" s="211" cm="1">
        <f t="array" aca="1" ref="R10" ca="1">INDEX(INDIRECT("'"&amp;$M10&amp;"'!F23:AJ38"),MATCH(R$6,INDIRECT("'"&amp;$M10&amp;"'!F23:F38"),0),MATCH($T10&amp;$U10&amp;"Change",INDIRECT("'"&amp;$M10&amp;"'!F23:AJ23")&amp;INDIRECT("'"&amp;$M10&amp;"'!F24:AJ24")&amp;INDIRECT("'"&amp;$M10&amp;"'!F30:AJ30"),0))</f>
        <v>8.459078775453345E-2</v>
      </c>
      <c r="S10" s="214">
        <f t="array" aca="1" ref="S10" ca="1">INDEX(INDIRECT("'"&amp;$M10&amp;"'!$B$6:$F$16"),MATCH("Change from DMO "&amp;PY&amp;" price (%)",INDIRECT("'"&amp;$M10&amp;"'!$B$6:$B$16"),0),MATCH($T10&amp;$U10,INDIRECT("'"&amp;$M10&amp;"'!$B$6:$E$6")&amp;INDIRECT("'"&amp;$M10&amp;"'!$B$7:$E$7"),0))</f>
        <v>8.4570400359873954E-2</v>
      </c>
      <c r="T10" s="64" t="str">
        <f t="shared" si="0"/>
        <v>Residential</v>
      </c>
      <c r="U10" s="64" t="str">
        <f t="shared" si="0"/>
        <v>without CL</v>
      </c>
      <c r="V10" s="3" t="s">
        <v>4</v>
      </c>
      <c r="W10" s="190" cm="1">
        <f t="array" aca="1" ref="W10" ca="1">INDEX(INDIRECT("'"&amp;$V10&amp;"'!F23:AJ38"),MATCH(W$6,INDIRECT("'"&amp;$V10&amp;"'!F23:F38"),0),MATCH($T10&amp;$U10&amp;$W$5&amp;"Proportion",INDIRECT("'"&amp;$V10&amp;"'!F23:AJ23")&amp;INDIRECT("'"&amp;$V10&amp;"'!F24:AJ24")&amp;INDIRECT("'"&amp;$V10&amp;"'!F25:AJ25")&amp;INDIRECT("'"&amp;$V10&amp;"'!F30:AJ30"),0))</f>
        <v>0.34695453131480708</v>
      </c>
      <c r="X10" s="190" cm="1">
        <f t="array" aca="1" ref="X10" ca="1">INDEX(INDIRECT("'"&amp;$V10&amp;"'!F23:AJ38"),MATCH(X$6,INDIRECT("'"&amp;$V10&amp;"'!F23:F38"),0),MATCH($T10&amp;$U10&amp;$W$5&amp;"Proportion",INDIRECT("'"&amp;$V10&amp;"'!F23:AJ23")&amp;INDIRECT("'"&amp;$V10&amp;"'!F24:AJ24")&amp;INDIRECT("'"&amp;$V10&amp;"'!F25:AJ25")&amp;INDIRECT("'"&amp;$V10&amp;"'!F30:AJ30"),0))</f>
        <v>0.41412729718017699</v>
      </c>
      <c r="Y10" s="190" cm="1">
        <f t="array" aca="1" ref="Y10" ca="1">INDEX(INDIRECT("'"&amp;$V10&amp;"'!F23:AJ38"),MATCH(Y$6,INDIRECT("'"&amp;$V10&amp;"'!F23:F38"),0),MATCH($T10&amp;$U10&amp;$W$5&amp;"Proportion",INDIRECT("'"&amp;$V10&amp;"'!F23:AJ23")&amp;INDIRECT("'"&amp;$V10&amp;"'!F24:AJ24")&amp;INDIRECT("'"&amp;$V10&amp;"'!F25:AJ25")&amp;INDIRECT("'"&amp;$V10&amp;"'!F30:AJ30"),0))</f>
        <v>3.6253556620681915E-2</v>
      </c>
      <c r="Z10" s="190" cm="1">
        <f t="array" aca="1" ref="Z10" ca="1">INDEX(INDIRECT("'"&amp;$V10&amp;"'!F23:AJ38"),MATCH(Z$6,INDIRECT("'"&amp;$V10&amp;"'!F23:F38"),0),MATCH($T10&amp;$U10&amp;$W$5&amp;"Proportion",INDIRECT("'"&amp;$V10&amp;"'!F23:AJ23")&amp;INDIRECT("'"&amp;$V10&amp;"'!F24:AJ24")&amp;INDIRECT("'"&amp;$V10&amp;"'!F25:AJ25")&amp;INDIRECT("'"&amp;$V10&amp;"'!F30:AJ30"),0))</f>
        <v>0.1428061639228963</v>
      </c>
      <c r="AA10" s="190" cm="1">
        <f t="array" aca="1" ref="AA10" ca="1">INDEX(INDIRECT("'"&amp;$V10&amp;"'!F23:AJ38"),MATCH(AA$6,INDIRECT("'"&amp;$V10&amp;"'!F23:F38"),0),MATCH($T10&amp;$U10&amp;$W$5&amp;"Proportion",INDIRECT("'"&amp;$V10&amp;"'!F23:AJ23")&amp;INDIRECT("'"&amp;$V10&amp;"'!F24:AJ24")&amp;INDIRECT("'"&amp;$V10&amp;"'!F25:AJ25")&amp;INDIRECT("'"&amp;$V10&amp;"'!F30:AJ30"),0))</f>
        <v>6.0009035045014716E-2</v>
      </c>
      <c r="AB10" s="216">
        <f ca="1">SUM(W10:AA10)</f>
        <v>1.0001505840835769</v>
      </c>
      <c r="AD10" s="19"/>
      <c r="AE10" s="19"/>
    </row>
    <row r="11" spans="1:38" ht="15" customHeight="1" x14ac:dyDescent="0.25">
      <c r="B11" s="65"/>
      <c r="C11" s="177" t="s">
        <v>271</v>
      </c>
      <c r="D11" s="182">
        <f ca="1">+D8-D12</f>
        <v>1810</v>
      </c>
      <c r="E11" s="288"/>
      <c r="F11" s="182">
        <f ca="1">+F8-F12</f>
        <v>2509</v>
      </c>
      <c r="G11" s="183"/>
      <c r="H11" s="182">
        <f ca="1">+H8-H12</f>
        <v>4612</v>
      </c>
      <c r="I11" s="179"/>
      <c r="J11" s="319"/>
      <c r="K11" s="319"/>
      <c r="L11" s="319"/>
      <c r="M11" s="3" t="s">
        <v>3</v>
      </c>
      <c r="N11" s="209">
        <f t="array" aca="1" ref="N11" ca="1">INDEX(INDIRECT("'"&amp;$M11&amp;"'!F23:AJ38"),MATCH(N$6,INDIRECT("'"&amp;$M11&amp;"'!F23:F38"),0),MATCH($T11&amp;$U11&amp;"Change",INDIRECT("'"&amp;$M11&amp;"'!F23:AJ23")&amp;INDIRECT("'"&amp;$M11&amp;"'!F24:AJ24")&amp;INDIRECT("'"&amp;$M11&amp;"'!F30:AJ30"),0))</f>
        <v>8.128543575699454E-2</v>
      </c>
      <c r="O11" s="211">
        <f t="array" aca="1" ref="O11" ca="1">INDEX(INDIRECT("'"&amp;$M11&amp;"'!F23:AJ38"),MATCH(O$6,INDIRECT("'"&amp;$M11&amp;"'!F23:F38"),0),MATCH($T11&amp;$U11&amp;"Change",INDIRECT("'"&amp;$M11&amp;"'!F23:AJ23")&amp;INDIRECT("'"&amp;$M11&amp;"'!F24:AJ24")&amp;INDIRECT("'"&amp;$M11&amp;"'!F30:AJ30"),0))</f>
        <v>7.7067027854404335E-2</v>
      </c>
      <c r="P11" s="211">
        <f t="array" aca="1" ref="P11" ca="1">INDEX(INDIRECT("'"&amp;$M11&amp;"'!F23:AJ38"),MATCH(P$6,INDIRECT("'"&amp;$M11&amp;"'!F23:F38"),0),MATCH($T11&amp;$U11&amp;"Change",INDIRECT("'"&amp;$M11&amp;"'!F23:AJ23")&amp;INDIRECT("'"&amp;$M11&amp;"'!F24:AJ24")&amp;INDIRECT("'"&amp;$M11&amp;"'!F30:AJ30"),0))</f>
        <v>-0.1807676387221645</v>
      </c>
      <c r="Q11" s="211" cm="1">
        <f t="array" aca="1" ref="Q11" ca="1">INDEX(INDIRECT("'"&amp;$M11&amp;"'!F23:AJ38"),MATCH(Q$6,INDIRECT("'"&amp;$M11&amp;"'!F23:F38"),0),MATCH($T11&amp;$U11&amp;"Change",INDIRECT("'"&amp;$M11&amp;"'!F23:AJ23")&amp;INDIRECT("'"&amp;$M11&amp;"'!F24:AJ24")&amp;INDIRECT("'"&amp;$M11&amp;"'!F30:AJ30"),0))</f>
        <v>0.27305946224386435</v>
      </c>
      <c r="R11" s="211" cm="1">
        <f t="array" aca="1" ref="R11" ca="1">INDEX(INDIRECT("'"&amp;$M11&amp;"'!F23:AJ38"),MATCH(R$6,INDIRECT("'"&amp;$M11&amp;"'!F23:F38"),0),MATCH($T11&amp;$U11&amp;"Change",INDIRECT("'"&amp;$M11&amp;"'!F23:AJ23")&amp;INDIRECT("'"&amp;$M11&amp;"'!F24:AJ24")&amp;INDIRECT("'"&amp;$M11&amp;"'!F30:AJ30"),0))</f>
        <v>9.0855008824911349E-2</v>
      </c>
      <c r="S11" s="214">
        <f t="array" aca="1" ref="S11" ca="1">INDEX(INDIRECT("'"&amp;$M11&amp;"'!$B$6:$F$16"),MATCH("Change from DMO "&amp;PY&amp;" price (%)",INDIRECT("'"&amp;$M11&amp;"'!$B$6:$B$16"),0),MATCH($T11&amp;$U11,INDIRECT("'"&amp;$M11&amp;"'!$B$6:$E$6")&amp;INDIRECT("'"&amp;$M11&amp;"'!$B$7:$E$7"),0))</f>
        <v>9.0728213290887316E-2</v>
      </c>
      <c r="T11" s="64" t="str">
        <f t="shared" si="0"/>
        <v>Residential</v>
      </c>
      <c r="U11" s="64" t="str">
        <f t="shared" si="0"/>
        <v>without CL</v>
      </c>
      <c r="V11" s="3" t="s">
        <v>3</v>
      </c>
      <c r="W11" s="190" cm="1">
        <f t="array" aca="1" ref="W11" ca="1">INDEX(INDIRECT("'"&amp;$V11&amp;"'!F23:AJ38"),MATCH(W$6,INDIRECT("'"&amp;$V11&amp;"'!F23:F38"),0),MATCH($T11&amp;$U11&amp;$W$5&amp;"Proportion",INDIRECT("'"&amp;$V11&amp;"'!F23:AJ23")&amp;INDIRECT("'"&amp;$V11&amp;"'!F24:AJ24")&amp;INDIRECT("'"&amp;$V11&amp;"'!F25:AJ25")&amp;INDIRECT("'"&amp;$V11&amp;"'!F30:AJ30"),0))</f>
        <v>0.45566613095369951</v>
      </c>
      <c r="X11" s="190" cm="1">
        <f t="array" aca="1" ref="X11" ca="1">INDEX(INDIRECT("'"&amp;$V11&amp;"'!F23:AJ38"),MATCH(X$6,INDIRECT("'"&amp;$V11&amp;"'!F23:F38"),0),MATCH($T11&amp;$U11&amp;$W$5&amp;"Proportion",INDIRECT("'"&amp;$V11&amp;"'!F23:AJ23")&amp;INDIRECT("'"&amp;$V11&amp;"'!F24:AJ24")&amp;INDIRECT("'"&amp;$V11&amp;"'!F25:AJ25")&amp;INDIRECT("'"&amp;$V11&amp;"'!F30:AJ30"),0))</f>
        <v>0.32960681499815286</v>
      </c>
      <c r="Y11" s="190" cm="1">
        <f t="array" aca="1" ref="Y11" ca="1">INDEX(INDIRECT("'"&amp;$V11&amp;"'!F23:AJ38"),MATCH(Y$6,INDIRECT("'"&amp;$V11&amp;"'!F23:F38"),0),MATCH($T11&amp;$U11&amp;$W$5&amp;"Proportion",INDIRECT("'"&amp;$V11&amp;"'!F23:AJ23")&amp;INDIRECT("'"&amp;$V11&amp;"'!F24:AJ24")&amp;INDIRECT("'"&amp;$V11&amp;"'!F25:AJ25")&amp;INDIRECT("'"&amp;$V11&amp;"'!F30:AJ30"),0))</f>
        <v>2.9248597799194996E-2</v>
      </c>
      <c r="Z11" s="190" cm="1">
        <f t="array" aca="1" ref="Z11" ca="1">INDEX(INDIRECT("'"&amp;$V11&amp;"'!F23:AJ38"),MATCH(Z$6,INDIRECT("'"&amp;$V11&amp;"'!F23:F38"),0),MATCH($T11&amp;$U11&amp;$W$5&amp;"Proportion",INDIRECT("'"&amp;$V11&amp;"'!F23:AJ23")&amp;INDIRECT("'"&amp;$V11&amp;"'!F24:AJ24")&amp;INDIRECT("'"&amp;$V11&amp;"'!F25:AJ25")&amp;INDIRECT("'"&amp;$V11&amp;"'!F30:AJ30"),0))</f>
        <v>0.12541463057391569</v>
      </c>
      <c r="AA11" s="190" cm="1">
        <f t="array" aca="1" ref="AA11" ca="1">INDEX(INDIRECT("'"&amp;$V11&amp;"'!F23:AJ38"),MATCH(AA$6,INDIRECT("'"&amp;$V11&amp;"'!F23:F38"),0),MATCH($T11&amp;$U11&amp;$W$5&amp;"Proportion",INDIRECT("'"&amp;$V11&amp;"'!F23:AJ23")&amp;INDIRECT("'"&amp;$V11&amp;"'!F24:AJ24")&amp;INDIRECT("'"&amp;$V11&amp;"'!F25:AJ25")&amp;INDIRECT("'"&amp;$V11&amp;"'!F30:AJ30"),0))</f>
        <v>5.999592602074235E-2</v>
      </c>
      <c r="AB11" s="216">
        <f ca="1">SUM(W11:AA11)</f>
        <v>0.99993210034570534</v>
      </c>
      <c r="AD11" s="19"/>
      <c r="AE11" s="19"/>
    </row>
    <row r="12" spans="1:38" ht="15" customHeight="1" x14ac:dyDescent="0.25">
      <c r="B12" s="65"/>
      <c r="C12" s="264" t="s">
        <v>134</v>
      </c>
      <c r="D12" s="265" cm="1">
        <f t="array" aca="1" ref="D12" ca="1">INDEX(INDIRECT("'"&amp;$B8&amp;"'!$B$6:$F$16"),MATCH("Change from DMO "&amp;PY&amp;" price ($)",INDIRECT("'"&amp;$B8&amp;"'!$B$6:$B$16"),0),MATCH(D$6&amp;D$7,INDIRECT("'"&amp;$B8&amp;"'!$B$6:$E$6")&amp;INDIRECT("'"&amp;$B8&amp;"'!$B$7:$E$7"),0))</f>
        <v>155</v>
      </c>
      <c r="E12" s="266" t="str" cm="1">
        <f t="array" aca="1" ref="E12" ca="1">"("&amp;ROUND(INDEX(INDIRECT("'"&amp;$B8&amp;"'!$B$6:$F$16"),MATCH("Change from DMO "&amp;PY&amp;" price (%)",INDIRECT("'"&amp;$B8&amp;"'!$B$6:$B$16"),0),MATCH(D$6&amp;D$7,INDIRECT("'"&amp;$B8&amp;"'!$B$6:$E$6")&amp;INDIRECT("'"&amp;$B8&amp;"'!$B$7:$E$7"),0))*100,1)&amp;"%)"</f>
        <v>(8.6%)</v>
      </c>
      <c r="F12" s="265">
        <f t="array" aca="1" ref="F12" ca="1">INDEX(INDIRECT("'"&amp;$B8&amp;"'!$B$6:$F$16"),MATCH("Change from DMO "&amp;PY&amp;" price ($)",INDIRECT("'"&amp;$B8&amp;"'!$B$6:$B$16"),0),MATCH(F$6&amp;F$7,INDIRECT("'"&amp;$B8&amp;"'!$B$6:$E$6")&amp;INDIRECT("'"&amp;$B8&amp;"'!$B$7:$E$7"),0))</f>
        <v>208</v>
      </c>
      <c r="G12" s="266" t="str">
        <f t="array" aca="1" ref="G12" ca="1">"("&amp;ROUND(INDEX(INDIRECT("'"&amp;$B8&amp;"'!$B$6:$F$16"),MATCH("Change from DMO "&amp;PY&amp;" price (%)",INDIRECT("'"&amp;$B8&amp;"'!$B$6:$B$16"),0),MATCH(F$6&amp;F$7,INDIRECT("'"&amp;$B8&amp;"'!$B$6:$E$6")&amp;INDIRECT("'"&amp;$B8&amp;"'!$B$7:$E$7"),0))*100,1)&amp;"%)"</f>
        <v>(8.3%)</v>
      </c>
      <c r="H12" s="265" cm="1">
        <f t="array" aca="1" ref="H12" ca="1">INDEX(INDIRECT("'"&amp;$B8&amp;"'!$B$6:$F$16"),MATCH("Change from DMO "&amp;PY&amp;" price ($)",INDIRECT("'"&amp;$B8&amp;"'!$B$6:$B$16"),0),MATCH(H$6&amp;H$7,INDIRECT("'"&amp;$B8&amp;"'!$B$6:$E$6")&amp;INDIRECT("'"&amp;$B8&amp;"'!$B$7:$E$7"),0))</f>
        <v>365</v>
      </c>
      <c r="I12" s="267" t="str">
        <f t="array" aca="1" ref="I12" ca="1">"("&amp;ROUND(INDEX(INDIRECT("'"&amp;$B8&amp;"'!$B$6:$F$16"),MATCH("Change from DMO "&amp;PY&amp;" price (%)",INDIRECT("'"&amp;$B8&amp;"'!$B$6:$B$16"),0),MATCH(H$6&amp;H$7,INDIRECT("'"&amp;$B8&amp;"'!$B$6:$E$6")&amp;INDIRECT("'"&amp;$B8&amp;"'!$B$7:$E$7"),0))*100,1)&amp;"%)"</f>
        <v>(7.9%)</v>
      </c>
      <c r="J12" s="319"/>
      <c r="K12" s="319"/>
      <c r="L12" s="319"/>
      <c r="M12" s="3" t="s">
        <v>0</v>
      </c>
      <c r="N12" s="209">
        <f t="array" aca="1" ref="N12" ca="1">INDEX(INDIRECT("'"&amp;$M12&amp;"'!F23:AJ38"),MATCH(N$6,INDIRECT("'"&amp;$M12&amp;"'!F23:F38"),0),MATCH($T12&amp;$U12&amp;"Change",INDIRECT("'"&amp;$M12&amp;"'!F23:AJ23")&amp;INDIRECT("'"&amp;$M12&amp;"'!F24:AJ24")&amp;INDIRECT("'"&amp;$M12&amp;"'!F30:AJ30"),0))</f>
        <v>1.3996452809067916E-2</v>
      </c>
      <c r="O12" s="211">
        <f t="array" aca="1" ref="O12" ca="1">INDEX(INDIRECT("'"&amp;$M12&amp;"'!F23:AJ38"),MATCH(O$6,INDIRECT("'"&amp;$M12&amp;"'!F23:F38"),0),MATCH($T12&amp;$U12&amp;"Change",INDIRECT("'"&amp;$M12&amp;"'!F23:AJ23")&amp;INDIRECT("'"&amp;$M12&amp;"'!F24:AJ24")&amp;INDIRECT("'"&amp;$M12&amp;"'!F30:AJ30"),0))</f>
        <v>-1.0122996063427481E-3</v>
      </c>
      <c r="P12" s="211">
        <f t="array" aca="1" ref="P12" ca="1">INDEX(INDIRECT("'"&amp;$M12&amp;"'!F23:AJ38"),MATCH(P$6,INDIRECT("'"&amp;$M12&amp;"'!F23:F38"),0),MATCH($T12&amp;$U12&amp;"Change",INDIRECT("'"&amp;$M12&amp;"'!F23:AJ23")&amp;INDIRECT("'"&amp;$M12&amp;"'!F24:AJ24")&amp;INDIRECT("'"&amp;$M12&amp;"'!F30:AJ30"),0))</f>
        <v>-0.2790062105346941</v>
      </c>
      <c r="Q12" s="211" cm="1">
        <f t="array" aca="1" ref="Q12" ca="1">INDEX(INDIRECT("'"&amp;$M12&amp;"'!F23:AJ38"),MATCH(Q$6,INDIRECT("'"&amp;$M12&amp;"'!F23:F38"),0),MATCH($T12&amp;$U12&amp;"Change",INDIRECT("'"&amp;$M12&amp;"'!F23:AJ23")&amp;INDIRECT("'"&amp;$M12&amp;"'!F24:AJ24")&amp;INDIRECT("'"&amp;$M12&amp;"'!F30:AJ30"),0))</f>
        <v>0.35366874928501768</v>
      </c>
      <c r="R12" s="211" cm="1">
        <f t="array" aca="1" ref="R12" ca="1">INDEX(INDIRECT("'"&amp;$M12&amp;"'!F23:AJ38"),MATCH(R$6,INDIRECT("'"&amp;$M12&amp;"'!F23:F38"),0),MATCH($T12&amp;$U12&amp;"Change",INDIRECT("'"&amp;$M12&amp;"'!F23:AJ23")&amp;INDIRECT("'"&amp;$M12&amp;"'!F24:AJ24")&amp;INDIRECT("'"&amp;$M12&amp;"'!F30:AJ30"),0))</f>
        <v>3.7235510313333067E-2</v>
      </c>
      <c r="S12" s="214">
        <f t="array" aca="1" ref="S12" ca="1">INDEX(INDIRECT("'"&amp;$M12&amp;"'!$B$6:$F$16"),MATCH("Change from DMO "&amp;PY&amp;" price (%)",INDIRECT("'"&amp;$M12&amp;"'!$B$6:$B$16"),0),MATCH($T12&amp;$U12,INDIRECT("'"&amp;$M12&amp;"'!$B$6:$E$6")&amp;INDIRECT("'"&amp;$M12&amp;"'!$B$7:$E$7"),0))</f>
        <v>3.7270087124879003E-2</v>
      </c>
      <c r="T12" s="64" t="str">
        <f t="shared" si="0"/>
        <v>Residential</v>
      </c>
      <c r="U12" s="64" t="str">
        <f t="shared" si="0"/>
        <v>without CL</v>
      </c>
      <c r="V12" s="3" t="s">
        <v>0</v>
      </c>
      <c r="W12" s="190" cm="1">
        <f t="array" aca="1" ref="W12" ca="1">INDEX(INDIRECT("'"&amp;$V12&amp;"'!F23:AJ38"),MATCH(W$6,INDIRECT("'"&amp;$V12&amp;"'!F23:F38"),0),MATCH($T12&amp;$U12&amp;$W$5&amp;"Proportion",INDIRECT("'"&amp;$V12&amp;"'!F23:AJ23")&amp;INDIRECT("'"&amp;$V12&amp;"'!F24:AJ24")&amp;INDIRECT("'"&amp;$V12&amp;"'!F25:AJ25")&amp;INDIRECT("'"&amp;$V12&amp;"'!F30:AJ30"),0))</f>
        <v>0.36325218712378365</v>
      </c>
      <c r="X12" s="190" cm="1">
        <f t="array" aca="1" ref="X12" ca="1">INDEX(INDIRECT("'"&amp;$V12&amp;"'!F23:AJ38"),MATCH(X$6,INDIRECT("'"&amp;$V12&amp;"'!F23:F38"),0),MATCH($T12&amp;$U12&amp;$W$5&amp;"Proportion",INDIRECT("'"&amp;$V12&amp;"'!F23:AJ23")&amp;INDIRECT("'"&amp;$V12&amp;"'!F24:AJ24")&amp;INDIRECT("'"&amp;$V12&amp;"'!F25:AJ25")&amp;INDIRECT("'"&amp;$V12&amp;"'!F30:AJ30"),0))</f>
        <v>0.39524356424074369</v>
      </c>
      <c r="Y12" s="190" cm="1">
        <f t="array" aca="1" ref="Y12" ca="1">INDEX(INDIRECT("'"&amp;$V12&amp;"'!F23:AJ38"),MATCH(Y$6,INDIRECT("'"&amp;$V12&amp;"'!F23:F38"),0),MATCH($T12&amp;$U12&amp;$W$5&amp;"Proportion",INDIRECT("'"&amp;$V12&amp;"'!F23:AJ23")&amp;INDIRECT("'"&amp;$V12&amp;"'!F24:AJ24")&amp;INDIRECT("'"&amp;$V12&amp;"'!F25:AJ25")&amp;INDIRECT("'"&amp;$V12&amp;"'!F30:AJ30"),0))</f>
        <v>2.8140559187913774E-2</v>
      </c>
      <c r="Z12" s="190" cm="1">
        <f t="array" aca="1" ref="Z12" ca="1">INDEX(INDIRECT("'"&amp;$V12&amp;"'!F23:AJ38"),MATCH(Z$6,INDIRECT("'"&amp;$V12&amp;"'!F23:F38"),0),MATCH($T12&amp;$U12&amp;$W$5&amp;"Proportion",INDIRECT("'"&amp;$V12&amp;"'!F23:AJ23")&amp;INDIRECT("'"&amp;$V12&amp;"'!F24:AJ24")&amp;INDIRECT("'"&amp;$V12&amp;"'!F25:AJ25")&amp;INDIRECT("'"&amp;$V12&amp;"'!F30:AJ30"),0))</f>
        <v>0.15315138163714997</v>
      </c>
      <c r="AA12" s="190" cm="1">
        <f t="array" aca="1" ref="AA12" ca="1">INDEX(INDIRECT("'"&amp;$V12&amp;"'!F23:AJ38"),MATCH(AA$6,INDIRECT("'"&amp;$V12&amp;"'!F23:F38"),0),MATCH($T12&amp;$U12&amp;$W$5&amp;"Proportion",INDIRECT("'"&amp;$V12&amp;"'!F23:AJ23")&amp;INDIRECT("'"&amp;$V12&amp;"'!F24:AJ24")&amp;INDIRECT("'"&amp;$V12&amp;"'!F25:AJ25")&amp;INDIRECT("'"&amp;$V12&amp;"'!F30:AJ30"),0))</f>
        <v>5.9986448437633552E-2</v>
      </c>
      <c r="AB12" s="216">
        <f ca="1">SUM(W12:AA12)</f>
        <v>0.99977414062722469</v>
      </c>
    </row>
    <row r="13" spans="1:38" ht="15" customHeight="1" x14ac:dyDescent="0.25">
      <c r="B13" s="65"/>
      <c r="C13" s="237" t="s">
        <v>187</v>
      </c>
      <c r="D13" s="238">
        <f ca="1">+D8-(+D11*(1+'Key inputs'!$J$10))</f>
        <v>111.55999999999995</v>
      </c>
      <c r="E13" s="239" t="str">
        <f ca="1">CONCATENATE("(",ROUND(+D13/D11*100,1),"%)")</f>
        <v>(6.2%)</v>
      </c>
      <c r="F13" s="238">
        <f ca="1">+F8-+F11*(1+'Key inputs'!$J$10)</f>
        <v>147.78400000000011</v>
      </c>
      <c r="G13" s="239" t="str">
        <f ca="1">CONCATENATE("(",ROUND(+F13/F11*100,1),"%)")</f>
        <v>(5.9%)</v>
      </c>
      <c r="H13" s="238">
        <f ca="1">+H8-+H11*(1+'Key inputs'!$J$10)</f>
        <v>254.3119999999999</v>
      </c>
      <c r="I13" s="240" t="str">
        <f ca="1">CONCATENATE("(",ROUND(+H13/H11*100,1),"%)")</f>
        <v>(5.5%)</v>
      </c>
      <c r="J13" s="319"/>
      <c r="K13" s="319"/>
      <c r="L13" s="319"/>
      <c r="M13" s="3" t="s">
        <v>5</v>
      </c>
      <c r="N13" s="209">
        <f t="array" aca="1" ref="N13" ca="1">INDEX(INDIRECT("'"&amp;$M13&amp;"'!F23:AJ38"),MATCH(N$6,INDIRECT("'"&amp;$M13&amp;"'!F23:F38"),0),MATCH($T13&amp;$U13&amp;"Change",INDIRECT("'"&amp;$M13&amp;"'!F23:AJ23")&amp;INDIRECT("'"&amp;$M13&amp;"'!F24:AJ24")&amp;INDIRECT("'"&amp;$M13&amp;"'!F30:AJ30"),0))</f>
        <v>-2.7487095244490445E-2</v>
      </c>
      <c r="O13" s="211">
        <f t="array" aca="1" ref="O13" ca="1">INDEX(INDIRECT("'"&amp;$M13&amp;"'!F23:AJ38"),MATCH(O$6,INDIRECT("'"&amp;$M13&amp;"'!F23:F38"),0),MATCH($T13&amp;$U13&amp;"Change",INDIRECT("'"&amp;$M13&amp;"'!F23:AJ23")&amp;INDIRECT("'"&amp;$M13&amp;"'!F24:AJ24")&amp;INDIRECT("'"&amp;$M13&amp;"'!F30:AJ30"),0))</f>
        <v>6.5806172986848654E-2</v>
      </c>
      <c r="P13" s="211">
        <f t="array" aca="1" ref="P13" ca="1">INDEX(INDIRECT("'"&amp;$M13&amp;"'!F23:AJ38"),MATCH(P$6,INDIRECT("'"&amp;$M13&amp;"'!F23:F38"),0),MATCH($T13&amp;$U13&amp;"Change",INDIRECT("'"&amp;$M13&amp;"'!F23:AJ23")&amp;INDIRECT("'"&amp;$M13&amp;"'!F24:AJ24")&amp;INDIRECT("'"&amp;$M13&amp;"'!F30:AJ30"),0))</f>
        <v>-0.25903782711919621</v>
      </c>
      <c r="Q13" s="211" cm="1">
        <f t="array" aca="1" ref="Q13" ca="1">INDEX(INDIRECT("'"&amp;$M13&amp;"'!F23:AJ38"),MATCH(Q$6,INDIRECT("'"&amp;$M13&amp;"'!F23:F38"),0),MATCH($T13&amp;$U13&amp;"Change",INDIRECT("'"&amp;$M13&amp;"'!F23:AJ23")&amp;INDIRECT("'"&amp;$M13&amp;"'!F24:AJ24")&amp;INDIRECT("'"&amp;$M13&amp;"'!F30:AJ30"),0))</f>
        <v>0.23602192417116344</v>
      </c>
      <c r="R13" s="211" cm="1">
        <f t="array" aca="1" ref="R13" ca="1">INDEX(INDIRECT("'"&amp;$M13&amp;"'!F23:AJ38"),MATCH(R$6,INDIRECT("'"&amp;$M13&amp;"'!F23:F38"),0),MATCH($T13&amp;$U13&amp;"Change",INDIRECT("'"&amp;$M13&amp;"'!F23:AJ23")&amp;INDIRECT("'"&amp;$M13&amp;"'!F24:AJ24")&amp;INDIRECT("'"&amp;$M13&amp;"'!F30:AJ30"),0))</f>
        <v>3.1620571786357091E-2</v>
      </c>
      <c r="S13" s="214" cm="1">
        <f t="array" aca="1" ref="S13" ca="1">INDEX(INDIRECT("'"&amp;$M13&amp;"'!$B$6:$F$16"),MATCH("Change from DMO "&amp;PY&amp;" price (%)",INDIRECT("'"&amp;$M13&amp;"'!$B$6:$B$16"),0),MATCH($T13&amp;$U13,INDIRECT("'"&amp;$M13&amp;"'!$B$6:$E$6")&amp;INDIRECT("'"&amp;$M13&amp;"'!$B$7:$E$7"),0))</f>
        <v>3.183856502242155E-2</v>
      </c>
      <c r="T13" s="64" t="str">
        <f t="shared" si="0"/>
        <v>Residential</v>
      </c>
      <c r="U13" s="64" t="str">
        <f t="shared" si="0"/>
        <v>without CL</v>
      </c>
      <c r="V13" s="3" t="s">
        <v>5</v>
      </c>
      <c r="W13" s="190" cm="1">
        <f t="array" aca="1" ref="W13" ca="1">INDEX(INDIRECT("'"&amp;$V13&amp;"'!F23:AJ38"),MATCH(W$6,INDIRECT("'"&amp;$V13&amp;"'!F23:F38"),0),MATCH($T13&amp;$U13&amp;$W$5&amp;"Proportion",INDIRECT("'"&amp;$V13&amp;"'!F23:AJ23")&amp;INDIRECT("'"&amp;$V13&amp;"'!F24:AJ24")&amp;INDIRECT("'"&amp;$V13&amp;"'!F25:AJ25")&amp;INDIRECT("'"&amp;$V13&amp;"'!F30:AJ30"),0))</f>
        <v>0.38982676836078684</v>
      </c>
      <c r="X13" s="190" cm="1">
        <f t="array" aca="1" ref="X13" ca="1">INDEX(INDIRECT("'"&amp;$V13&amp;"'!F23:AJ38"),MATCH(X$6,INDIRECT("'"&amp;$V13&amp;"'!F23:F38"),0),MATCH($T13&amp;$U13&amp;$W$5&amp;"Proportion",INDIRECT("'"&amp;$V13&amp;"'!F23:AJ23")&amp;INDIRECT("'"&amp;$V13&amp;"'!F24:AJ24")&amp;INDIRECT("'"&amp;$V13&amp;"'!F25:AJ25")&amp;INDIRECT("'"&amp;$V13&amp;"'!F30:AJ30"),0))</f>
        <v>0.37322871745017461</v>
      </c>
      <c r="Y13" s="190" cm="1">
        <f t="array" aca="1" ref="Y13" ca="1">INDEX(INDIRECT("'"&amp;$V13&amp;"'!F23:AJ38"),MATCH(Y$6,INDIRECT("'"&amp;$V13&amp;"'!F23:F38"),0),MATCH($T13&amp;$U13&amp;$W$5&amp;"Proportion",INDIRECT("'"&amp;$V13&amp;"'!F23:AJ23")&amp;INDIRECT("'"&amp;$V13&amp;"'!F24:AJ24")&amp;INDIRECT("'"&amp;$V13&amp;"'!F25:AJ25")&amp;INDIRECT("'"&amp;$V13&amp;"'!F30:AJ30"),0))</f>
        <v>3.1397990310547547E-2</v>
      </c>
      <c r="Z13" s="190" cm="1">
        <f t="array" aca="1" ref="Z13" ca="1">INDEX(INDIRECT("'"&amp;$V13&amp;"'!F23:AJ38"),MATCH(Z$6,INDIRECT("'"&amp;$V13&amp;"'!F23:F38"),0),MATCH($T13&amp;$U13&amp;$W$5&amp;"Proportion",INDIRECT("'"&amp;$V13&amp;"'!F23:AJ23")&amp;INDIRECT("'"&amp;$V13&amp;"'!F24:AJ24")&amp;INDIRECT("'"&amp;$V13&amp;"'!F25:AJ25")&amp;INDIRECT("'"&amp;$V13&amp;"'!F30:AJ30"),0))</f>
        <v>0.14536027678297123</v>
      </c>
      <c r="AA13" s="190" cm="1">
        <f t="array" aca="1" ref="AA13" ca="1">INDEX(INDIRECT("'"&amp;$V13&amp;"'!F23:AJ38"),MATCH(AA$6,INDIRECT("'"&amp;$V13&amp;"'!F23:F38"),0),MATCH($T13&amp;$U13&amp;$W$5&amp;"Proportion",INDIRECT("'"&amp;$V13&amp;"'!F23:AJ23")&amp;INDIRECT("'"&amp;$V13&amp;"'!F24:AJ24")&amp;INDIRECT("'"&amp;$V13&amp;"'!F25:AJ25")&amp;INDIRECT("'"&amp;$V13&amp;"'!F30:AJ30"),0))</f>
        <v>5.9988111887520082E-2</v>
      </c>
      <c r="AB13" s="216">
        <f ca="1">SUM(W13:AA13)</f>
        <v>0.99980186479200039</v>
      </c>
      <c r="AD13" s="282"/>
      <c r="AE13" s="19"/>
    </row>
    <row r="14" spans="1:38" s="40" customFormat="1" ht="15" customHeight="1" x14ac:dyDescent="0.25">
      <c r="B14" s="290" t="s">
        <v>4</v>
      </c>
      <c r="C14" s="291" t="s">
        <v>83</v>
      </c>
      <c r="D14" s="434">
        <f t="array" aca="1" ref="D14" ca="1">INDEX(INDIRECT("'"&amp;$B14&amp;"'!$B$6:$F$16"),MATCH("DMO "&amp;FY&amp;" price ($ pa, inc GST)",INDIRECT("'"&amp;$B14&amp;"'!$B$6:$B$16"),0),MATCH(D$6&amp;D$7,INDIRECT("'"&amp;$B14&amp;"'!$B$6:$E$6")&amp;INDIRECT("'"&amp;$B14&amp;"'!$B$7:$E$7"),0))</f>
        <v>2411</v>
      </c>
      <c r="E14" s="434"/>
      <c r="F14" s="434">
        <f t="array" aca="1" ref="F14" ca="1">INDEX(INDIRECT("'"&amp;$B14&amp;"'!$B$6:$F$16"),MATCH("DMO "&amp;FY&amp;" price ($ pa, inc GST)",INDIRECT("'"&amp;$B14&amp;"'!$B$6:$B$16"),0),MATCH(F$6&amp;F$7,INDIRECT("'"&amp;$B14&amp;"'!$B$6:$E$6")&amp;INDIRECT("'"&amp;$B14&amp;"'!$B$7:$E$7"),0))</f>
        <v>3072</v>
      </c>
      <c r="G14" s="434"/>
      <c r="H14" s="435" cm="1">
        <f t="array" aca="1" ref="H14" ca="1">INDEX(INDIRECT("'"&amp;$B14&amp;"'!$B$6:$F$16"),MATCH("DMO "&amp;FY&amp;" price ($ pa, inc GST)",INDIRECT("'"&amp;$B14&amp;"'!$B$6:$B$16"),0),MATCH(H$6&amp;H$7,INDIRECT("'"&amp;$B14&amp;"'!$B$6:$E$6")&amp;INDIRECT("'"&amp;$B14&amp;"'!$B$7:$E$7"),0))</f>
        <v>4775</v>
      </c>
      <c r="I14" s="436"/>
      <c r="J14" s="319"/>
      <c r="K14" s="319"/>
      <c r="L14" s="319"/>
      <c r="M14" s="5" t="str">
        <f>T14&amp;" "&amp;U14</f>
        <v>Residential with CL</v>
      </c>
      <c r="N14" s="209"/>
      <c r="O14" s="211"/>
      <c r="P14" s="211"/>
      <c r="Q14" s="211"/>
      <c r="R14" s="211"/>
      <c r="S14" s="212"/>
      <c r="T14" s="126" t="s">
        <v>6</v>
      </c>
      <c r="U14" s="126" t="s">
        <v>128</v>
      </c>
      <c r="V14" s="5" t="str">
        <f>M14</f>
        <v>Residential with CL</v>
      </c>
      <c r="W14" s="191"/>
      <c r="X14" s="191"/>
      <c r="Y14" s="192"/>
      <c r="Z14" s="192"/>
      <c r="AA14" s="192"/>
      <c r="AB14" s="217"/>
      <c r="AD14" s="19"/>
      <c r="AE14" s="19"/>
    </row>
    <row r="15" spans="1:38" ht="15" customHeight="1" x14ac:dyDescent="0.25">
      <c r="B15" s="67"/>
      <c r="C15" s="444" t="s">
        <v>145</v>
      </c>
      <c r="D15" s="432" t="str">
        <f t="array" aca="1" ref="D15" ca="1">INDEX(INDIRECT("'"&amp;$B14&amp;"'!$B$6:$F$15"),MATCH("Annual usage (kWh)",INDIRECT("'"&amp;$B14&amp;"'!$B$6:$B$15"),0),MATCH(D$6&amp;D$7,INDIRECT("'"&amp;$B14&amp;"'!$B$6:$E$6")&amp;INDIRECT("'"&amp;$B14&amp;"'!$B$7:$E$7"),0))&amp;" kWh"</f>
        <v>4900 kWh</v>
      </c>
      <c r="E15" s="446"/>
      <c r="F15" s="448" t="str">
        <f t="array" aca="1" ref="F15" ca="1">"Flat rate "&amp;INDEX(INDIRECT("'"&amp;$B14&amp;"'!$B$6:$F$15"),MATCH("Flat rate usage (kWh)",INDIRECT("'"&amp;$B14&amp;"'!$B$6:$B$15"),0),MATCH(F$6&amp;F$7,INDIRECT("'"&amp;$B14&amp;"'!$B$6:$E$6")&amp;INDIRECT("'"&amp;$B14&amp;"'!$B$7:$E$7"),0))&amp;" kWh"</f>
        <v>Flat rate 5200 kWh</v>
      </c>
      <c r="G15" s="449"/>
      <c r="H15" s="432" t="str">
        <f t="array" aca="1" ref="H15" ca="1">INDEX(INDIRECT("'"&amp;$B14&amp;"'!$B$6:$F$15"),MATCH("Annual usage (kWh)",INDIRECT("'"&amp;$B14&amp;"'!$B$6:$B$15"),0),MATCH(H$6&amp;H$7,INDIRECT("'"&amp;$B14&amp;"'!$B$6:$E$6")&amp;INDIRECT("'"&amp;$B14&amp;"'!$B$7:$E$7"),0))&amp;" kWh"</f>
        <v>10000 kWh</v>
      </c>
      <c r="I15" s="433"/>
      <c r="J15" s="319"/>
      <c r="K15" s="319"/>
      <c r="L15" s="319"/>
      <c r="M15" s="3" t="s">
        <v>2</v>
      </c>
      <c r="N15" s="209">
        <f t="array" aca="1" ref="N15" ca="1">INDEX(INDIRECT("'"&amp;$M15&amp;"'!F23:AJ38"),MATCH(N$6,INDIRECT("'"&amp;$M15&amp;"'!F23:F38"),0),MATCH($T15&amp;$U15&amp;"Change",INDIRECT("'"&amp;$M15&amp;"'!F23:AJ23")&amp;INDIRECT("'"&amp;$M15&amp;"'!F24:AJ24")&amp;INDIRECT("'"&amp;$M15&amp;"'!F30:AJ30"),0))</f>
        <v>8.2331088826083532E-2</v>
      </c>
      <c r="O15" s="211">
        <f t="array" aca="1" ref="O15" ca="1">INDEX(INDIRECT("'"&amp;$M15&amp;"'!F23:AJ38"),MATCH(O$6,INDIRECT("'"&amp;$M15&amp;"'!F23:F38"),0),MATCH($T15&amp;$U15&amp;"Change",INDIRECT("'"&amp;$M15&amp;"'!F23:AJ23")&amp;INDIRECT("'"&amp;$M15&amp;"'!F24:AJ24")&amp;INDIRECT("'"&amp;$M15&amp;"'!F30:AJ30"),0))</f>
        <v>7.9820810333683712E-2</v>
      </c>
      <c r="P15" s="211">
        <f t="array" aca="1" ref="P15" ca="1">INDEX(INDIRECT("'"&amp;$M15&amp;"'!F23:AJ38"),MATCH(P$6,INDIRECT("'"&amp;$M15&amp;"'!F23:F38"),0),MATCH($T15&amp;$U15&amp;"Change",INDIRECT("'"&amp;$M15&amp;"'!F23:AJ23")&amp;INDIRECT("'"&amp;$M15&amp;"'!F24:AJ24")&amp;INDIRECT("'"&amp;$M15&amp;"'!F30:AJ30"),0))</f>
        <v>-0.19033106383573117</v>
      </c>
      <c r="Q15" s="211" cm="1">
        <f t="array" aca="1" ref="Q15" ca="1">INDEX(INDIRECT("'"&amp;$M15&amp;"'!F23:AJ38"),MATCH(Q$6,INDIRECT("'"&amp;$M15&amp;"'!F23:F38"),0),MATCH($T15&amp;$U15&amp;"Change",INDIRECT("'"&amp;$M15&amp;"'!F23:AJ23")&amp;INDIRECT("'"&amp;$M15&amp;"'!F24:AJ24")&amp;INDIRECT("'"&amp;$M15&amp;"'!F30:AJ30"),0))</f>
        <v>0.2592701648770479</v>
      </c>
      <c r="R15" s="211" cm="1">
        <f t="array" aca="1" ref="R15" ca="1">INDEX(INDIRECT("'"&amp;$M15&amp;"'!F23:AJ38"),MATCH(R$6,INDIRECT("'"&amp;$M15&amp;"'!F23:F38"),0),MATCH($T15&amp;$U15&amp;"Change",INDIRECT("'"&amp;$M15&amp;"'!F23:AJ23")&amp;INDIRECT("'"&amp;$M15&amp;"'!F24:AJ24")&amp;INDIRECT("'"&amp;$M15&amp;"'!F30:AJ30"),0))</f>
        <v>8.2757506472342021E-2</v>
      </c>
      <c r="S15" s="214">
        <f t="array" aca="1" ref="S15" ca="1">INDEX(INDIRECT("'"&amp;$M15&amp;"'!$B$6:$F$16"),MATCH("Change from DMO "&amp;PY&amp;" price (%)",INDIRECT("'"&amp;$M15&amp;"'!$B$6:$B$16"),0),MATCH($T15&amp;$U15,INDIRECT("'"&amp;$M15&amp;"'!$B$6:$E$6")&amp;INDIRECT("'"&amp;$M15&amp;"'!$B$7:$E$7"),0))</f>
        <v>8.290155440414515E-2</v>
      </c>
      <c r="T15" s="64" t="str">
        <f t="shared" ref="T15:U19" si="1">T14</f>
        <v>Residential</v>
      </c>
      <c r="U15" s="64" t="str">
        <f t="shared" si="1"/>
        <v>with CL</v>
      </c>
      <c r="V15" s="3" t="s">
        <v>2</v>
      </c>
      <c r="W15" s="190" cm="1">
        <f t="array" aca="1" ref="W15" ca="1">INDEX(INDIRECT("'"&amp;$V15&amp;"'!F23:AJ38"),MATCH(W$6,INDIRECT("'"&amp;$V15&amp;"'!F23:F38"),0),MATCH($T15&amp;$U15&amp;$W$5&amp;"Proportion",INDIRECT("'"&amp;$V15&amp;"'!F23:AJ23")&amp;INDIRECT("'"&amp;$V15&amp;"'!F24:AJ24")&amp;INDIRECT("'"&amp;$V15&amp;"'!F25:AJ25")&amp;INDIRECT("'"&amp;$V15&amp;"'!F30:AJ30"),0))</f>
        <v>0.34049676007683405</v>
      </c>
      <c r="X15" s="190" cm="1">
        <f t="array" aca="1" ref="X15" ca="1">INDEX(INDIRECT("'"&amp;$V15&amp;"'!F23:AJ38"),MATCH(X$6,INDIRECT("'"&amp;$V15&amp;"'!F23:F38"),0),MATCH($T15&amp;$U15&amp;$W$5&amp;"Proportion",INDIRECT("'"&amp;$V15&amp;"'!F23:AJ23")&amp;INDIRECT("'"&amp;$V15&amp;"'!F24:AJ24")&amp;INDIRECT("'"&amp;$V15&amp;"'!F25:AJ25")&amp;INDIRECT("'"&amp;$V15&amp;"'!F30:AJ30"),0))</f>
        <v>0.44062223277542245</v>
      </c>
      <c r="Y15" s="190" cm="1">
        <f t="array" aca="1" ref="Y15" ca="1">INDEX(INDIRECT("'"&amp;$V15&amp;"'!F23:AJ38"),MATCH(Y$6,INDIRECT("'"&amp;$V15&amp;"'!F23:F38"),0),MATCH($T15&amp;$U15&amp;$W$5&amp;"Proportion",INDIRECT("'"&amp;$V15&amp;"'!F23:AJ23")&amp;INDIRECT("'"&amp;$V15&amp;"'!F24:AJ24")&amp;INDIRECT("'"&amp;$V15&amp;"'!F25:AJ25")&amp;INDIRECT("'"&amp;$V15&amp;"'!F30:AJ30"),0))</f>
        <v>4.3850620618852858E-2</v>
      </c>
      <c r="Z15" s="190" cm="1">
        <f t="array" aca="1" ref="Z15" ca="1">INDEX(INDIRECT("'"&amp;$V15&amp;"'!F23:AJ38"),MATCH(Z$6,INDIRECT("'"&amp;$V15&amp;"'!F23:F38"),0),MATCH($T15&amp;$U15&amp;$W$5&amp;"Proportion",INDIRECT("'"&amp;$V15&amp;"'!F23:AJ23")&amp;INDIRECT("'"&amp;$V15&amp;"'!F24:AJ24")&amp;INDIRECT("'"&amp;$V15&amp;"'!F25:AJ25")&amp;INDIRECT("'"&amp;$V15&amp;"'!F30:AJ30"),0))</f>
        <v>0.1150212279311856</v>
      </c>
      <c r="AA15" s="190" cm="1">
        <f t="array" aca="1" ref="AA15" ca="1">INDEX(INDIRECT("'"&amp;$V15&amp;"'!F23:AJ38"),MATCH(AA$6,INDIRECT("'"&amp;$V15&amp;"'!F23:F38"),0),MATCH($T15&amp;$U15&amp;$W$5&amp;"Proportion",INDIRECT("'"&amp;$V15&amp;"'!F23:AJ23")&amp;INDIRECT("'"&amp;$V15&amp;"'!F24:AJ24")&amp;INDIRECT("'"&amp;$V15&amp;"'!F25:AJ25")&amp;INDIRECT("'"&amp;$V15&amp;"'!F30:AJ30"),0))</f>
        <v>5.9999415408657254E-2</v>
      </c>
      <c r="AB15" s="216">
        <f ca="1">SUM(W15:AA15)</f>
        <v>0.99999025681095222</v>
      </c>
      <c r="AD15" s="261"/>
      <c r="AE15" s="261"/>
    </row>
    <row r="16" spans="1:38" ht="15" customHeight="1" x14ac:dyDescent="0.25">
      <c r="B16" s="67"/>
      <c r="C16" s="445"/>
      <c r="D16" s="110"/>
      <c r="E16" s="111"/>
      <c r="F16" s="448" t="str">
        <f t="array" aca="1" ref="F16" ca="1">"+ CL "&amp;INDEX(INDIRECT("'"&amp;$B14&amp;"'!$B$6:$F$15"),MATCH("Controlled load usage (kWh)",INDIRECT("'"&amp;$B14&amp;"'!$B$6:$B$15"),0),MATCH(F$6&amp;F$7,INDIRECT("'"&amp;$B14&amp;"'!$B$6:$E$6")&amp;INDIRECT("'"&amp;$B14&amp;"'!$B$7:$E$7"),0))&amp;" kWh"</f>
        <v>+ CL 2200 kWh</v>
      </c>
      <c r="G16" s="449"/>
      <c r="H16" s="110"/>
      <c r="I16" s="178"/>
      <c r="J16" s="319"/>
      <c r="K16" s="319"/>
      <c r="L16" s="319"/>
      <c r="M16" s="3" t="s">
        <v>4</v>
      </c>
      <c r="N16" s="209">
        <f t="array" aca="1" ref="N16" ca="1">INDEX(INDIRECT("'"&amp;$M16&amp;"'!F23:AJ38"),MATCH(N$6,INDIRECT("'"&amp;$M16&amp;"'!F23:F38"),0),MATCH($T16&amp;$U16&amp;"Change",INDIRECT("'"&amp;$M16&amp;"'!F23:AJ23")&amp;INDIRECT("'"&amp;$M16&amp;"'!F24:AJ24")&amp;INDIRECT("'"&amp;$M16&amp;"'!F30:AJ30"),0))</f>
        <v>0.11069987512963597</v>
      </c>
      <c r="O16" s="211">
        <f t="array" aca="1" ref="O16" ca="1">INDEX(INDIRECT("'"&amp;$M16&amp;"'!F23:AJ38"),MATCH(O$6,INDIRECT("'"&amp;$M16&amp;"'!F23:F38"),0),MATCH($T16&amp;$U16&amp;"Change",INDIRECT("'"&amp;$M16&amp;"'!F23:AJ23")&amp;INDIRECT("'"&amp;$M16&amp;"'!F24:AJ24")&amp;INDIRECT("'"&amp;$M16&amp;"'!F30:AJ30"),0))</f>
        <v>8.3108922807525021E-2</v>
      </c>
      <c r="P16" s="211">
        <f t="array" aca="1" ref="P16" ca="1">INDEX(INDIRECT("'"&amp;$M16&amp;"'!F23:AJ38"),MATCH(P$6,INDIRECT("'"&amp;$M16&amp;"'!F23:F38"),0),MATCH($T16&amp;$U16&amp;"Change",INDIRECT("'"&amp;$M16&amp;"'!F23:AJ23")&amp;INDIRECT("'"&amp;$M16&amp;"'!F24:AJ24")&amp;INDIRECT("'"&amp;$M16&amp;"'!F30:AJ30"),0))</f>
        <v>-0.18139463106877007</v>
      </c>
      <c r="Q16" s="211" cm="1">
        <f t="array" aca="1" ref="Q16" ca="1">INDEX(INDIRECT("'"&amp;$M16&amp;"'!F23:AJ38"),MATCH(Q$6,INDIRECT("'"&amp;$M16&amp;"'!F23:F38"),0),MATCH($T16&amp;$U16&amp;"Change",INDIRECT("'"&amp;$M16&amp;"'!F23:AJ23")&amp;INDIRECT("'"&amp;$M16&amp;"'!F24:AJ24")&amp;INDIRECT("'"&amp;$M16&amp;"'!F30:AJ30"),0))</f>
        <v>0.28021428539714271</v>
      </c>
      <c r="R16" s="211" cm="1">
        <f t="array" aca="1" ref="R16" ca="1">INDEX(INDIRECT("'"&amp;$M16&amp;"'!F23:AJ38"),MATCH(R$6,INDIRECT("'"&amp;$M16&amp;"'!F23:F38"),0),MATCH($T16&amp;$U16&amp;"Change",INDIRECT("'"&amp;$M16&amp;"'!F23:AJ23")&amp;INDIRECT("'"&amp;$M16&amp;"'!F24:AJ24")&amp;INDIRECT("'"&amp;$M16&amp;"'!F30:AJ30"),0))</f>
        <v>9.683233474523642E-2</v>
      </c>
      <c r="S16" s="214">
        <f t="array" aca="1" ref="S16" ca="1">INDEX(INDIRECT("'"&amp;$M16&amp;"'!$B$6:$F$16"),MATCH("Change from DMO "&amp;PY&amp;" price (%)",INDIRECT("'"&amp;$M16&amp;"'!$B$6:$B$16"),0),MATCH($T16&amp;$U16,INDIRECT("'"&amp;$M16&amp;"'!$B$6:$E$6")&amp;INDIRECT("'"&amp;$M16&amp;"'!$B$7:$E$7"),0))</f>
        <v>9.6751160299892947E-2</v>
      </c>
      <c r="T16" s="64" t="str">
        <f>T15</f>
        <v>Residential</v>
      </c>
      <c r="U16" s="64" t="str">
        <f t="shared" si="1"/>
        <v>with CL</v>
      </c>
      <c r="V16" s="3" t="s">
        <v>4</v>
      </c>
      <c r="W16" s="190" cm="1">
        <f t="array" aca="1" ref="W16" ca="1">INDEX(INDIRECT("'"&amp;$V16&amp;"'!F23:AJ38"),MATCH(W$6,INDIRECT("'"&amp;$V16&amp;"'!F23:F38"),0),MATCH($T16&amp;$U16&amp;$W$5&amp;"Proportion",INDIRECT("'"&amp;$V16&amp;"'!F23:AJ23")&amp;INDIRECT("'"&amp;$V16&amp;"'!F24:AJ24")&amp;INDIRECT("'"&amp;$V16&amp;"'!F25:AJ25")&amp;INDIRECT("'"&amp;$V16&amp;"'!F30:AJ30"),0))</f>
        <v>0.33774520097656247</v>
      </c>
      <c r="X16" s="190" cm="1">
        <f t="array" aca="1" ref="X16" ca="1">INDEX(INDIRECT("'"&amp;$V16&amp;"'!F23:AJ38"),MATCH(X$6,INDIRECT("'"&amp;$V16&amp;"'!F23:F38"),0),MATCH($T16&amp;$U16&amp;$W$5&amp;"Proportion",INDIRECT("'"&amp;$V16&amp;"'!F23:AJ23")&amp;INDIRECT("'"&amp;$V16&amp;"'!F24:AJ24")&amp;INDIRECT("'"&amp;$V16&amp;"'!F25:AJ25")&amp;INDIRECT("'"&amp;$V16&amp;"'!F30:AJ30"),0))</f>
        <v>0.4472540516211348</v>
      </c>
      <c r="Y16" s="190" cm="1">
        <f t="array" aca="1" ref="Y16" ca="1">INDEX(INDIRECT("'"&amp;$V16&amp;"'!F23:AJ38"),MATCH(Y$6,INDIRECT("'"&amp;$V16&amp;"'!F23:F38"),0),MATCH($T16&amp;$U16&amp;$W$5&amp;"Proportion",INDIRECT("'"&amp;$V16&amp;"'!F23:AJ23")&amp;INDIRECT("'"&amp;$V16&amp;"'!F24:AJ24")&amp;INDIRECT("'"&amp;$V16&amp;"'!F25:AJ25")&amp;INDIRECT("'"&amp;$V16&amp;"'!F30:AJ30"),0))</f>
        <v>4.2969693684379945E-2</v>
      </c>
      <c r="Z16" s="190" cm="1">
        <f t="array" aca="1" ref="Z16" ca="1">INDEX(INDIRECT("'"&amp;$V16&amp;"'!F23:AJ38"),MATCH(Z$6,INDIRECT("'"&amp;$V16&amp;"'!F23:F38"),0),MATCH($T16&amp;$U16&amp;$W$5&amp;"Proportion",INDIRECT("'"&amp;$V16&amp;"'!F23:AJ23")&amp;INDIRECT("'"&amp;$V16&amp;"'!F24:AJ24")&amp;INDIRECT("'"&amp;$V16&amp;"'!F25:AJ25")&amp;INDIRECT("'"&amp;$V16&amp;"'!F30:AJ30"),0))</f>
        <v>0.11207866576110125</v>
      </c>
      <c r="AA16" s="190" cm="1">
        <f t="array" aca="1" ref="AA16" ca="1">INDEX(INDIRECT("'"&amp;$V16&amp;"'!F23:AJ38"),MATCH(AA$6,INDIRECT("'"&amp;$V16&amp;"'!F23:F38"),0),MATCH($T16&amp;$U16&amp;$W$5&amp;"Proportion",INDIRECT("'"&amp;$V16&amp;"'!F23:AJ23")&amp;INDIRECT("'"&amp;$V16&amp;"'!F24:AJ24")&amp;INDIRECT("'"&amp;$V16&amp;"'!F25:AJ25")&amp;INDIRECT("'"&amp;$V16&amp;"'!F30:AJ30"),0))</f>
        <v>6.0003039066585849E-2</v>
      </c>
      <c r="AB16" s="216">
        <f ca="1">SUM(W16:AA16)</f>
        <v>1.0000506511097642</v>
      </c>
      <c r="AD16" s="262"/>
      <c r="AE16" s="262"/>
    </row>
    <row r="17" spans="2:47" ht="15" customHeight="1" x14ac:dyDescent="0.25">
      <c r="B17" s="67"/>
      <c r="C17" s="180" t="str">
        <f>+C11</f>
        <v>DMO 6 Price</v>
      </c>
      <c r="D17" s="184">
        <f ca="1">+D14-D18</f>
        <v>2223</v>
      </c>
      <c r="E17" s="185"/>
      <c r="F17" s="184">
        <f ca="1">+F14-F18</f>
        <v>2801</v>
      </c>
      <c r="G17" s="186"/>
      <c r="H17" s="184">
        <f ca="1">+H14-H18</f>
        <v>4422</v>
      </c>
      <c r="I17" s="178"/>
      <c r="J17" s="319"/>
      <c r="K17" s="319"/>
      <c r="L17" s="319"/>
      <c r="M17" s="3" t="s">
        <v>3</v>
      </c>
      <c r="N17" s="209">
        <f t="array" aca="1" ref="N17" ca="1">INDEX(INDIRECT("'"&amp;$M17&amp;"'!F23:AJ38"),MATCH(N$6,INDIRECT("'"&amp;$M17&amp;"'!F23:F38"),0),MATCH($T17&amp;$U17&amp;"Change",INDIRECT("'"&amp;$M17&amp;"'!F23:AJ23")&amp;INDIRECT("'"&amp;$M17&amp;"'!F24:AJ24")&amp;INDIRECT("'"&amp;$M17&amp;"'!F30:AJ30"),0))</f>
        <v>8.374129288242016E-2</v>
      </c>
      <c r="O17" s="211">
        <f t="array" aca="1" ref="O17" ca="1">INDEX(INDIRECT("'"&amp;$M17&amp;"'!F23:AJ38"),MATCH(O$6,INDIRECT("'"&amp;$M17&amp;"'!F23:F38"),0),MATCH($T17&amp;$U17&amp;"Change",INDIRECT("'"&amp;$M17&amp;"'!F23:AJ23")&amp;INDIRECT("'"&amp;$M17&amp;"'!F24:AJ24")&amp;INDIRECT("'"&amp;$M17&amp;"'!F30:AJ30"),0))</f>
        <v>0.10034927515348779</v>
      </c>
      <c r="P17" s="211">
        <f t="array" aca="1" ref="P17" ca="1">INDEX(INDIRECT("'"&amp;$M17&amp;"'!F23:AJ38"),MATCH(P$6,INDIRECT("'"&amp;$M17&amp;"'!F23:F38"),0),MATCH($T17&amp;$U17&amp;"Change",INDIRECT("'"&amp;$M17&amp;"'!F23:AJ23")&amp;INDIRECT("'"&amp;$M17&amp;"'!F24:AJ24")&amp;INDIRECT("'"&amp;$M17&amp;"'!F30:AJ30"),0))</f>
        <v>-0.18076763872216461</v>
      </c>
      <c r="Q17" s="211" cm="1">
        <f t="array" aca="1" ref="Q17" ca="1">INDEX(INDIRECT("'"&amp;$M17&amp;"'!F23:AJ38"),MATCH(Q$6,INDIRECT("'"&amp;$M17&amp;"'!F23:F38"),0),MATCH($T17&amp;$U17&amp;"Change",INDIRECT("'"&amp;$M17&amp;"'!F23:AJ23")&amp;INDIRECT("'"&amp;$M17&amp;"'!F24:AJ24")&amp;INDIRECT("'"&amp;$M17&amp;"'!F30:AJ30"),0))</f>
        <v>0.27305946224386435</v>
      </c>
      <c r="R17" s="211" cm="1">
        <f t="array" aca="1" ref="R17" ca="1">INDEX(INDIRECT("'"&amp;$M17&amp;"'!F23:AJ38"),MATCH(R$6,INDIRECT("'"&amp;$M17&amp;"'!F23:F38"),0),MATCH($T17&amp;$U17&amp;"Change",INDIRECT("'"&amp;$M17&amp;"'!F23:AJ23")&amp;INDIRECT("'"&amp;$M17&amp;"'!F24:AJ24")&amp;INDIRECT("'"&amp;$M17&amp;"'!F30:AJ30"),0))</f>
        <v>9.5256835250589353E-2</v>
      </c>
      <c r="S17" s="214">
        <f t="array" aca="1" ref="S17" ca="1">INDEX(INDIRECT("'"&amp;$M17&amp;"'!$B$6:$F$16"),MATCH("Change from DMO "&amp;PY&amp;" price (%)",INDIRECT("'"&amp;$M17&amp;"'!$B$6:$B$16"),0),MATCH($T17&amp;$U17,INDIRECT("'"&amp;$M17&amp;"'!$B$6:$E$6")&amp;INDIRECT("'"&amp;$M17&amp;"'!$B$7:$E$7"),0))</f>
        <v>9.5530535653360671E-2</v>
      </c>
      <c r="T17" s="64" t="str">
        <f t="shared" si="1"/>
        <v>Residential</v>
      </c>
      <c r="U17" s="64" t="str">
        <f t="shared" si="1"/>
        <v>with CL</v>
      </c>
      <c r="V17" s="3" t="s">
        <v>3</v>
      </c>
      <c r="W17" s="190" cm="1">
        <f t="array" aca="1" ref="W17" ca="1">INDEX(INDIRECT("'"&amp;$V17&amp;"'!F23:AJ38"),MATCH(W$6,INDIRECT("'"&amp;$V17&amp;"'!F23:F38"),0),MATCH($T17&amp;$U17&amp;$W$5&amp;"Proportion",INDIRECT("'"&amp;$V17&amp;"'!F23:AJ23")&amp;INDIRECT("'"&amp;$V17&amp;"'!F24:AJ24")&amp;INDIRECT("'"&amp;$V17&amp;"'!F25:AJ25")&amp;INDIRECT("'"&amp;$V17&amp;"'!F30:AJ30"),0))</f>
        <v>0.43078669920158758</v>
      </c>
      <c r="X17" s="190" cm="1">
        <f t="array" aca="1" ref="X17" ca="1">INDEX(INDIRECT("'"&amp;$V17&amp;"'!F23:AJ38"),MATCH(X$6,INDIRECT("'"&amp;$V17&amp;"'!F23:F38"),0),MATCH($T17&amp;$U17&amp;$W$5&amp;"Proportion",INDIRECT("'"&amp;$V17&amp;"'!F23:AJ23")&amp;INDIRECT("'"&amp;$V17&amp;"'!F24:AJ24")&amp;INDIRECT("'"&amp;$V17&amp;"'!F25:AJ25")&amp;INDIRECT("'"&amp;$V17&amp;"'!F30:AJ30"),0))</f>
        <v>0.36624423121186367</v>
      </c>
      <c r="Y17" s="190" cm="1">
        <f t="array" aca="1" ref="Y17" ca="1">INDEX(INDIRECT("'"&amp;$V17&amp;"'!F23:AJ38"),MATCH(Y$6,INDIRECT("'"&amp;$V17&amp;"'!F23:F38"),0),MATCH($T17&amp;$U17&amp;$W$5&amp;"Proportion",INDIRECT("'"&amp;$V17&amp;"'!F23:AJ23")&amp;INDIRECT("'"&amp;$V17&amp;"'!F24:AJ24")&amp;INDIRECT("'"&amp;$V17&amp;"'!F25:AJ25")&amp;INDIRECT("'"&amp;$V17&amp;"'!F30:AJ30"),0))</f>
        <v>3.5822829360088085E-2</v>
      </c>
      <c r="Z17" s="190" cm="1">
        <f t="array" aca="1" ref="Z17" ca="1">INDEX(INDIRECT("'"&amp;$V17&amp;"'!F23:AJ38"),MATCH(Z$6,INDIRECT("'"&amp;$V17&amp;"'!F23:F38"),0),MATCH($T17&amp;$U17&amp;$W$5&amp;"Proportion",INDIRECT("'"&amp;$V17&amp;"'!F23:AJ23")&amp;INDIRECT("'"&amp;$V17&amp;"'!F24:AJ24")&amp;INDIRECT("'"&amp;$V17&amp;"'!F25:AJ25")&amp;INDIRECT("'"&amp;$V17&amp;"'!F30:AJ30"),0))</f>
        <v>0.10705745948399342</v>
      </c>
      <c r="AA17" s="190" cm="1">
        <f t="array" aca="1" ref="AA17" ca="1">INDEX(INDIRECT("'"&amp;$V17&amp;"'!F23:AJ38"),MATCH(AA$6,INDIRECT("'"&amp;$V17&amp;"'!F23:F38"),0),MATCH($T17&amp;$U17&amp;$W$5&amp;"Proportion",INDIRECT("'"&amp;$V17&amp;"'!F23:AJ23")&amp;INDIRECT("'"&amp;$V17&amp;"'!F24:AJ24")&amp;INDIRECT("'"&amp;$V17&amp;"'!F25:AJ25")&amp;INDIRECT("'"&amp;$V17&amp;"'!F30:AJ30"),0))</f>
        <v>5.9994333144097814E-2</v>
      </c>
      <c r="AB17" s="216">
        <f ca="1">SUM(W17:AA17)</f>
        <v>0.99990555240163059</v>
      </c>
      <c r="AD17" s="261"/>
      <c r="AE17" s="261"/>
    </row>
    <row r="18" spans="2:47" ht="15" customHeight="1" x14ac:dyDescent="0.25">
      <c r="B18" s="67"/>
      <c r="C18" s="268" t="s">
        <v>134</v>
      </c>
      <c r="D18" s="269">
        <f t="array" aca="1" ref="D18" ca="1">INDEX(INDIRECT("'"&amp;$B14&amp;"'!$B$6:$F$16"),MATCH("Change from DMO "&amp;PY&amp;" price ($)",INDIRECT("'"&amp;$B14&amp;"'!$B$6:$B$16"),0),MATCH(D$6&amp;D$7,INDIRECT("'"&amp;$B14&amp;"'!$B$6:$E$6")&amp;INDIRECT("'"&amp;$B14&amp;"'!$B$7:$E$7"),0))</f>
        <v>188</v>
      </c>
      <c r="E18" s="270" t="str" cm="1">
        <f t="array" aca="1" ref="E18" ca="1">"("&amp;ROUND(INDEX(INDIRECT("'"&amp;$B14&amp;"'!$B$6:$F$16"),MATCH("Change from DMO "&amp;PY&amp;" price (%)",INDIRECT("'"&amp;$B14&amp;"'!$B$6:$B$16"),0),MATCH(D$6&amp;D$7,INDIRECT("'"&amp;$B14&amp;"'!$B$6:$E$6")&amp;INDIRECT("'"&amp;$B14&amp;"'!$B$7:$E$7"),0))*100,1)&amp;"%)"</f>
        <v>(8.5%)</v>
      </c>
      <c r="F18" s="269">
        <f t="array" aca="1" ref="F18" ca="1">INDEX(INDIRECT("'"&amp;$B14&amp;"'!$B$6:$F$16"),MATCH("Change from DMO "&amp;PY&amp;" price ($)",INDIRECT("'"&amp;$B14&amp;"'!$B$6:$B$16"),0),MATCH(F$6&amp;F$7,INDIRECT("'"&amp;$B14&amp;"'!$B$6:$E$6")&amp;INDIRECT("'"&amp;$B14&amp;"'!$B$7:$E$7"),0))</f>
        <v>271</v>
      </c>
      <c r="G18" s="270" t="str">
        <f t="array" aca="1" ref="G18" ca="1">"("&amp;ROUND(INDEX(INDIRECT("'"&amp;$B14&amp;"'!$B$6:$F$16"),MATCH("Change from DMO "&amp;PY&amp;" price (%)",INDIRECT("'"&amp;$B14&amp;"'!$B$6:$B$16"),0),MATCH(F$6&amp;F$7,INDIRECT("'"&amp;$B14&amp;"'!$B$6:$E$6")&amp;INDIRECT("'"&amp;$B14&amp;"'!$B$7:$E$7"),0))*100,1)&amp;"%)"</f>
        <v>(9.7%)</v>
      </c>
      <c r="H18" s="269">
        <f t="array" aca="1" ref="H18" ca="1">INDEX(INDIRECT("'"&amp;$B14&amp;"'!$B$6:$F$16"),MATCH("Change from DMO "&amp;PY&amp;" price ($)",INDIRECT("'"&amp;$B14&amp;"'!$B$6:$B$16"),0),MATCH(H$6&amp;H$7,INDIRECT("'"&amp;$B14&amp;"'!$B$6:$E$6")&amp;INDIRECT("'"&amp;$B14&amp;"'!$B$7:$E$7"),0))</f>
        <v>353</v>
      </c>
      <c r="I18" s="271" t="str">
        <f t="array" aca="1" ref="I18" ca="1">"("&amp;ROUND(INDEX(INDIRECT("'"&amp;$B14&amp;"'!$B$6:$F$16"),MATCH("Change from DMO "&amp;PY&amp;" price (%)",INDIRECT("'"&amp;$B14&amp;"'!$B$6:$B$16"),0),MATCH(H$6&amp;H$7,INDIRECT("'"&amp;$B14&amp;"'!$B$6:$E$6")&amp;INDIRECT("'"&amp;$B14&amp;"'!$B$7:$E$7"),0))*100,1)&amp;"%)"</f>
        <v>(8%)</v>
      </c>
      <c r="J18" s="319"/>
      <c r="K18" s="319"/>
      <c r="L18" s="319"/>
      <c r="M18" s="3" t="s">
        <v>0</v>
      </c>
      <c r="N18" s="209">
        <f t="array" aca="1" ref="N18" ca="1">INDEX(INDIRECT("'"&amp;$M18&amp;"'!F23:AJ38"),MATCH(N$6,INDIRECT("'"&amp;$M18&amp;"'!F23:F38"),0),MATCH($T18&amp;$U18&amp;"Change",INDIRECT("'"&amp;$M18&amp;"'!F23:AJ23")&amp;INDIRECT("'"&amp;$M18&amp;"'!F24:AJ24")&amp;INDIRECT("'"&amp;$M18&amp;"'!F30:AJ30"),0))</f>
        <v>-6.8015853135029336E-2</v>
      </c>
      <c r="O18" s="211">
        <f t="array" aca="1" ref="O18" ca="1">INDEX(INDIRECT("'"&amp;$M18&amp;"'!F23:AJ38"),MATCH(O$6,INDIRECT("'"&amp;$M18&amp;"'!F23:F38"),0),MATCH($T18&amp;$U18&amp;"Change",INDIRECT("'"&amp;$M18&amp;"'!F23:AJ23")&amp;INDIRECT("'"&amp;$M18&amp;"'!F24:AJ24")&amp;INDIRECT("'"&amp;$M18&amp;"'!F30:AJ30"),0))</f>
        <v>1.4956075412587255E-2</v>
      </c>
      <c r="P18" s="211">
        <f t="array" aca="1" ref="P18" ca="1">INDEX(INDIRECT("'"&amp;$M18&amp;"'!F23:AJ38"),MATCH(P$6,INDIRECT("'"&amp;$M18&amp;"'!F23:F38"),0),MATCH($T18&amp;$U18&amp;"Change",INDIRECT("'"&amp;$M18&amp;"'!F23:AJ23")&amp;INDIRECT("'"&amp;$M18&amp;"'!F24:AJ24")&amp;INDIRECT("'"&amp;$M18&amp;"'!F30:AJ30"),0))</f>
        <v>-0.27900621053469421</v>
      </c>
      <c r="Q18" s="211" cm="1">
        <f t="array" aca="1" ref="Q18" ca="1">INDEX(INDIRECT("'"&amp;$M18&amp;"'!F23:AJ38"),MATCH(Q$6,INDIRECT("'"&amp;$M18&amp;"'!F23:F38"),0),MATCH($T18&amp;$U18&amp;"Change",INDIRECT("'"&amp;$M18&amp;"'!F23:AJ23")&amp;INDIRECT("'"&amp;$M18&amp;"'!F24:AJ24")&amp;INDIRECT("'"&amp;$M18&amp;"'!F30:AJ30"),0))</f>
        <v>0.35366874928501768</v>
      </c>
      <c r="R18" s="211" cm="1">
        <f t="array" aca="1" ref="R18" ca="1">INDEX(INDIRECT("'"&amp;$M18&amp;"'!F23:AJ38"),MATCH(R$6,INDIRECT("'"&amp;$M18&amp;"'!F23:F38"),0),MATCH($T18&amp;$U18&amp;"Change",INDIRECT("'"&amp;$M18&amp;"'!F23:AJ23")&amp;INDIRECT("'"&amp;$M18&amp;"'!F24:AJ24")&amp;INDIRECT("'"&amp;$M18&amp;"'!F30:AJ30"),0))</f>
        <v>4.4849352035136779E-3</v>
      </c>
      <c r="S18" s="214">
        <f t="array" aca="1" ref="S18" ca="1">INDEX(INDIRECT("'"&amp;$M18&amp;"'!$B$6:$F$16"),MATCH("Change from DMO "&amp;PY&amp;" price (%)",INDIRECT("'"&amp;$M18&amp;"'!$B$6:$B$16"),0),MATCH($T18&amp;$U18,INDIRECT("'"&amp;$M18&amp;"'!$B$6:$E$6")&amp;INDIRECT("'"&amp;$M18&amp;"'!$B$7:$E$7"),0))</f>
        <v>4.5567522783760417E-3</v>
      </c>
      <c r="T18" s="64" t="str">
        <f t="shared" si="1"/>
        <v>Residential</v>
      </c>
      <c r="U18" s="64" t="str">
        <f t="shared" si="1"/>
        <v>with CL</v>
      </c>
      <c r="V18" s="3" t="s">
        <v>0</v>
      </c>
      <c r="W18" s="190" cm="1">
        <f t="array" aca="1" ref="W18" ca="1">INDEX(INDIRECT("'"&amp;$V18&amp;"'!F23:AJ38"),MATCH(W$6,INDIRECT("'"&amp;$V18&amp;"'!F23:F38"),0),MATCH($T18&amp;$U18&amp;$W$5&amp;"Proportion",INDIRECT("'"&amp;$V18&amp;"'!F23:AJ23")&amp;INDIRECT("'"&amp;$V18&amp;"'!F24:AJ24")&amp;INDIRECT("'"&amp;$V18&amp;"'!F25:AJ25")&amp;INDIRECT("'"&amp;$V18&amp;"'!F30:AJ30"),0))</f>
        <v>0.33446591216753335</v>
      </c>
      <c r="X18" s="190" cm="1">
        <f t="array" aca="1" ref="X18" ca="1">INDEX(INDIRECT("'"&amp;$V18&amp;"'!F23:AJ38"),MATCH(X$6,INDIRECT("'"&amp;$V18&amp;"'!F23:F38"),0),MATCH($T18&amp;$U18&amp;$W$5&amp;"Proportion",INDIRECT("'"&amp;$V18&amp;"'!F23:AJ23")&amp;INDIRECT("'"&amp;$V18&amp;"'!F24:AJ24")&amp;INDIRECT("'"&amp;$V18&amp;"'!F25:AJ25")&amp;INDIRECT("'"&amp;$V18&amp;"'!F30:AJ30"),0))</f>
        <v>0.43603520720463801</v>
      </c>
      <c r="Y18" s="190" cm="1">
        <f t="array" aca="1" ref="Y18" ca="1">INDEX(INDIRECT("'"&amp;$V18&amp;"'!F23:AJ38"),MATCH(Y$6,INDIRECT("'"&amp;$V18&amp;"'!F23:F38"),0),MATCH($T18&amp;$U18&amp;$W$5&amp;"Proportion",INDIRECT("'"&amp;$V18&amp;"'!F23:AJ23")&amp;INDIRECT("'"&amp;$V18&amp;"'!F24:AJ24")&amp;INDIRECT("'"&amp;$V18&amp;"'!F25:AJ25")&amp;INDIRECT("'"&amp;$V18&amp;"'!F30:AJ30"),0))</f>
        <v>3.4058527614532055E-2</v>
      </c>
      <c r="Z18" s="190" cm="1">
        <f t="array" aca="1" ref="Z18" ca="1">INDEX(INDIRECT("'"&amp;$V18&amp;"'!F23:AJ38"),MATCH(Z$6,INDIRECT("'"&amp;$V18&amp;"'!F23:F38"),0),MATCH($T18&amp;$U18&amp;$W$5&amp;"Proportion",INDIRECT("'"&amp;$V18&amp;"'!F23:AJ23")&amp;INDIRECT("'"&amp;$V18&amp;"'!F24:AJ24")&amp;INDIRECT("'"&amp;$V18&amp;"'!F25:AJ25")&amp;INDIRECT("'"&amp;$V18&amp;"'!F30:AJ30"),0))</f>
        <v>0.13534161272099479</v>
      </c>
      <c r="AA18" s="190" cm="1">
        <f t="array" aca="1" ref="AA18" ca="1">INDEX(INDIRECT("'"&amp;$V18&amp;"'!F23:AJ38"),MATCH(AA$6,INDIRECT("'"&amp;$V18&amp;"'!F23:F38"),0),MATCH($T18&amp;$U18&amp;$W$5&amp;"Proportion",INDIRECT("'"&amp;$V18&amp;"'!F23:AJ23")&amp;INDIRECT("'"&amp;$V18&amp;"'!F24:AJ24")&amp;INDIRECT("'"&amp;$V18&amp;"'!F25:AJ25")&amp;INDIRECT("'"&amp;$V18&amp;"'!F30:AJ30"),0))</f>
        <v>5.9993697428151076E-2</v>
      </c>
      <c r="AB18" s="216">
        <f ca="1">SUM(W18:AA18)</f>
        <v>0.9998949571358493</v>
      </c>
      <c r="AD18" s="261"/>
      <c r="AE18" s="261"/>
    </row>
    <row r="19" spans="2:47" ht="15" customHeight="1" x14ac:dyDescent="0.25">
      <c r="B19" s="67"/>
      <c r="C19" s="241" t="s">
        <v>187</v>
      </c>
      <c r="D19" s="242">
        <f ca="1">+D14-+D17*(1+'Key inputs'!$J$10)</f>
        <v>134.64800000000014</v>
      </c>
      <c r="E19" s="243" t="str">
        <f ca="1">CONCATENATE("(",ROUND(+D19/D17*100,1),"%)")</f>
        <v>(6.1%)</v>
      </c>
      <c r="F19" s="242">
        <f ca="1">+F14-+F17*(1+'Key inputs'!$J$10)</f>
        <v>203.77599999999984</v>
      </c>
      <c r="G19" s="243" t="str">
        <f ca="1">CONCATENATE("(",ROUND(+F19/F17*100,1),"%)")</f>
        <v>(7.3%)</v>
      </c>
      <c r="H19" s="242">
        <f ca="1">+H14-+H17*(1+'Key inputs'!$J$10)</f>
        <v>246.8720000000003</v>
      </c>
      <c r="I19" s="244" t="str">
        <f ca="1">CONCATENATE("(",ROUND(+H19/H17*100,1),"%)")</f>
        <v>(5.6%)</v>
      </c>
      <c r="J19" s="319"/>
      <c r="K19" s="319"/>
      <c r="L19" s="319"/>
      <c r="M19" s="3" t="s">
        <v>5</v>
      </c>
      <c r="N19" s="209">
        <f t="array" aca="1" ref="N19" ca="1">INDEX(INDIRECT("'"&amp;$M19&amp;"'!F23:AJ38"),MATCH(N$6,INDIRECT("'"&amp;$M19&amp;"'!F23:F38"),0),MATCH($T19&amp;$U19&amp;"Change",INDIRECT("'"&amp;$M19&amp;"'!F23:AJ23")&amp;INDIRECT("'"&amp;$M19&amp;"'!F24:AJ24")&amp;INDIRECT("'"&amp;$M19&amp;"'!F30:AJ30"),0))</f>
        <v>-2.9371070535673116E-2</v>
      </c>
      <c r="O19" s="211">
        <f t="array" aca="1" ref="O19" ca="1">INDEX(INDIRECT("'"&amp;$M19&amp;"'!F23:AJ38"),MATCH(O$6,INDIRECT("'"&amp;$M19&amp;"'!F23:F38"),0),MATCH($T19&amp;$U19&amp;"Change",INDIRECT("'"&amp;$M19&amp;"'!F23:AJ23")&amp;INDIRECT("'"&amp;$M19&amp;"'!F24:AJ24")&amp;INDIRECT("'"&amp;$M19&amp;"'!F30:AJ30"),0))</f>
        <v>6.2416638675318659E-2</v>
      </c>
      <c r="P19" s="211">
        <f t="array" aca="1" ref="P19" ca="1">INDEX(INDIRECT("'"&amp;$M19&amp;"'!F23:AJ38"),MATCH(P$6,INDIRECT("'"&amp;$M19&amp;"'!F23:F38"),0),MATCH($T19&amp;$U19&amp;"Change",INDIRECT("'"&amp;$M19&amp;"'!F23:AJ23")&amp;INDIRECT("'"&amp;$M19&amp;"'!F24:AJ24")&amp;INDIRECT("'"&amp;$M19&amp;"'!F30:AJ30"),0))</f>
        <v>-0.25903782711919621</v>
      </c>
      <c r="Q19" s="211" cm="1">
        <f t="array" aca="1" ref="Q19" ca="1">INDEX(INDIRECT("'"&amp;$M19&amp;"'!F23:AJ38"),MATCH(Q$6,INDIRECT("'"&amp;$M19&amp;"'!F23:F38"),0),MATCH($T19&amp;$U19&amp;"Change",INDIRECT("'"&amp;$M19&amp;"'!F23:AJ23")&amp;INDIRECT("'"&amp;$M19&amp;"'!F24:AJ24")&amp;INDIRECT("'"&amp;$M19&amp;"'!F30:AJ30"),0))</f>
        <v>0.23602192417116344</v>
      </c>
      <c r="R19" s="211" cm="1">
        <f t="array" aca="1" ref="R19" ca="1">INDEX(INDIRECT("'"&amp;$M19&amp;"'!F23:AJ38"),MATCH(R$6,INDIRECT("'"&amp;$M19&amp;"'!F23:F38"),0),MATCH($T19&amp;$U19&amp;"Change",INDIRECT("'"&amp;$M19&amp;"'!F23:AJ23")&amp;INDIRECT("'"&amp;$M19&amp;"'!F24:AJ24")&amp;INDIRECT("'"&amp;$M19&amp;"'!F30:AJ30"),0))</f>
        <v>2.3298879784243113E-2</v>
      </c>
      <c r="S19" s="214">
        <f t="array" aca="1" ref="S19" ca="1">INDEX(INDIRECT("'"&amp;$M19&amp;"'!$B$6:$F$16"),MATCH("Change from DMO "&amp;PY&amp;" price (%)",INDIRECT("'"&amp;$M19&amp;"'!$B$6:$B$16"),0),MATCH($T19&amp;$U19,INDIRECT("'"&amp;$M19&amp;"'!$B$6:$E$6")&amp;INDIRECT("'"&amp;$M19&amp;"'!$B$7:$E$7"),0))</f>
        <v>2.3188405797101463E-2</v>
      </c>
      <c r="T19" s="64" t="str">
        <f t="shared" si="1"/>
        <v>Residential</v>
      </c>
      <c r="U19" s="64" t="str">
        <f t="shared" si="1"/>
        <v>with CL</v>
      </c>
      <c r="V19" s="3" t="s">
        <v>5</v>
      </c>
      <c r="W19" s="190" cm="1">
        <f t="array" aca="1" ref="W19" ca="1">INDEX(INDIRECT("'"&amp;$V19&amp;"'!F23:AJ38"),MATCH(W$6,INDIRECT("'"&amp;$V19&amp;"'!F23:F38"),0),MATCH($T19&amp;$U19&amp;$W$5&amp;"Proportion",INDIRECT("'"&amp;$V19&amp;"'!F23:AJ23")&amp;INDIRECT("'"&amp;$V19&amp;"'!F24:AJ24")&amp;INDIRECT("'"&amp;$V19&amp;"'!F25:AJ25")&amp;INDIRECT("'"&amp;$V19&amp;"'!F30:AJ30"),0))</f>
        <v>0.3798376041070009</v>
      </c>
      <c r="X19" s="190" cm="1">
        <f t="array" aca="1" ref="X19" ca="1">INDEX(INDIRECT("'"&amp;$V19&amp;"'!F23:AJ38"),MATCH(X$6,INDIRECT("'"&amp;$V19&amp;"'!F23:F38"),0),MATCH($T19&amp;$U19&amp;$W$5&amp;"Proportion",INDIRECT("'"&amp;$V19&amp;"'!F23:AJ23")&amp;INDIRECT("'"&amp;$V19&amp;"'!F24:AJ24")&amp;INDIRECT("'"&amp;$V19&amp;"'!F25:AJ25")&amp;INDIRECT("'"&amp;$V19&amp;"'!F30:AJ30"),0))</f>
        <v>0.40331470611181874</v>
      </c>
      <c r="Y19" s="190" cm="1">
        <f t="array" aca="1" ref="Y19" ca="1">INDEX(INDIRECT("'"&amp;$V19&amp;"'!F23:AJ38"),MATCH(Y$6,INDIRECT("'"&amp;$V19&amp;"'!F23:F38"),0),MATCH($T19&amp;$U19&amp;$W$5&amp;"Proportion",INDIRECT("'"&amp;$V19&amp;"'!F23:AJ23")&amp;INDIRECT("'"&amp;$V19&amp;"'!F24:AJ24")&amp;INDIRECT("'"&amp;$V19&amp;"'!F25:AJ25")&amp;INDIRECT("'"&amp;$V19&amp;"'!F30:AJ30"),0))</f>
        <v>3.8374703809084573E-2</v>
      </c>
      <c r="Z19" s="190" cm="1">
        <f t="array" aca="1" ref="Z19" ca="1">INDEX(INDIRECT("'"&amp;$V19&amp;"'!F23:AJ38"),MATCH(Z$6,INDIRECT("'"&amp;$V19&amp;"'!F23:F38"),0),MATCH($T19&amp;$U19&amp;$W$5&amp;"Proportion",INDIRECT("'"&amp;$V19&amp;"'!F23:AJ23")&amp;INDIRECT("'"&amp;$V19&amp;"'!F24:AJ24")&amp;INDIRECT("'"&amp;$V19&amp;"'!F25:AJ25")&amp;INDIRECT("'"&amp;$V19&amp;"'!F30:AJ30"),0))</f>
        <v>0.11843980059405694</v>
      </c>
      <c r="AA19" s="190" cm="1">
        <f t="array" aca="1" ref="AA19" ca="1">INDEX(INDIRECT("'"&amp;$V19&amp;"'!F23:AJ38"),MATCH(AA$6,INDIRECT("'"&amp;$V19&amp;"'!F23:F38"),0),MATCH($T19&amp;$U19&amp;$W$5&amp;"Proportion",INDIRECT("'"&amp;$V19&amp;"'!F23:AJ23")&amp;INDIRECT("'"&amp;$V19&amp;"'!F24:AJ24")&amp;INDIRECT("'"&amp;$V19&amp;"'!F25:AJ25")&amp;INDIRECT("'"&amp;$V19&amp;"'!F30:AJ30"),0))</f>
        <v>5.9997881784380508E-2</v>
      </c>
      <c r="AB19" s="216">
        <f ca="1">SUM(W19:AA19)</f>
        <v>0.99996469640634156</v>
      </c>
      <c r="AD19" s="261"/>
      <c r="AE19" s="261"/>
    </row>
    <row r="20" spans="2:47" s="40" customFormat="1" ht="15" customHeight="1" x14ac:dyDescent="0.25">
      <c r="B20" s="46" t="s">
        <v>3</v>
      </c>
      <c r="C20" s="289" t="s">
        <v>83</v>
      </c>
      <c r="D20" s="442">
        <f t="array" aca="1" ref="D20" ca="1">INDEX(INDIRECT("'"&amp;$B20&amp;"'!$B$6:$F$16"),MATCH("DMO "&amp;FY&amp;" price ($ pa, inc GST)",INDIRECT("'"&amp;$B20&amp;"'!$B$6:$B$16"),0),MATCH(D$6&amp;D$7,INDIRECT("'"&amp;$B20&amp;"'!$B$6:$E$6")&amp;INDIRECT("'"&amp;$B20&amp;"'!$B$7:$E$7"),0))</f>
        <v>2741</v>
      </c>
      <c r="E20" s="442"/>
      <c r="F20" s="442">
        <f t="array" aca="1" ref="F20" ca="1">INDEX(INDIRECT("'"&amp;$B20&amp;"'!$B$6:$F$16"),MATCH("DMO "&amp;FY&amp;" price ($ pa, inc GST)",INDIRECT("'"&amp;$B20&amp;"'!$B$6:$B$16"),0),MATCH(F$6&amp;F$7,INDIRECT("'"&amp;$B20&amp;"'!$B$6:$E$6")&amp;INDIRECT("'"&amp;$B20&amp;"'!$B$7:$E$7"),0))</f>
        <v>3211</v>
      </c>
      <c r="G20" s="442"/>
      <c r="H20" s="455">
        <f t="array" aca="1" ref="H20" ca="1">INDEX(INDIRECT("'"&amp;$B20&amp;"'!$B$6:$F$16"),MATCH("DMO "&amp;FY&amp;" price ($ pa, inc GST)",INDIRECT("'"&amp;$B20&amp;"'!$B$6:$B$16"),0),MATCH(H$6&amp;H$7,INDIRECT("'"&amp;$B20&amp;"'!$B$6:$E$6")&amp;INDIRECT("'"&amp;$B20&amp;"'!$B$7:$E$7"),0))</f>
        <v>6222</v>
      </c>
      <c r="I20" s="456"/>
      <c r="J20" s="319"/>
      <c r="K20" s="319"/>
      <c r="L20" s="319"/>
      <c r="M20" s="5" t="str">
        <f>T20&amp;" "&amp;U20</f>
        <v>Small business without CL</v>
      </c>
      <c r="N20" s="209"/>
      <c r="O20" s="211"/>
      <c r="P20" s="211"/>
      <c r="Q20" s="211"/>
      <c r="R20" s="211"/>
      <c r="S20" s="212"/>
      <c r="T20" s="126" t="s">
        <v>13</v>
      </c>
      <c r="U20" s="126" t="s">
        <v>127</v>
      </c>
      <c r="V20" s="5" t="str">
        <f>M20</f>
        <v>Small business without CL</v>
      </c>
      <c r="W20" s="193"/>
      <c r="X20" s="193"/>
      <c r="Y20" s="192"/>
      <c r="Z20" s="192"/>
      <c r="AA20" s="192"/>
      <c r="AB20" s="217"/>
    </row>
    <row r="21" spans="2:47" ht="15" customHeight="1" x14ac:dyDescent="0.25">
      <c r="B21" s="65"/>
      <c r="C21" s="443" t="s">
        <v>145</v>
      </c>
      <c r="D21" s="441" t="str">
        <f t="array" aca="1" ref="D21" ca="1">INDEX(INDIRECT("'"&amp;$B20&amp;"'!$B$6:$F$16"),MATCH("Annual usage (kWh)",INDIRECT("'"&amp;$B20&amp;"'!$B$6:$B$16"),0),MATCH(D$6&amp;D$7,INDIRECT("'"&amp;$B20&amp;"'!$B$6:$E$6")&amp;INDIRECT("'"&amp;$B20&amp;"'!$B$7:$E$7"),0))&amp;" kWh"</f>
        <v>4600 kWh</v>
      </c>
      <c r="E21" s="441"/>
      <c r="F21" s="450" t="str">
        <f t="array" aca="1" ref="F21" ca="1">"Flat rate "&amp;INDEX(INDIRECT("'"&amp;$B20&amp;"'!$B$6:$F$15"),MATCH("Flat rate usage (kWh)",INDIRECT("'"&amp;$B20&amp;"'!$B$6:$B$15"),0),MATCH(F$6&amp;F$7,INDIRECT("'"&amp;$B20&amp;"'!$B$6:$E$6")&amp;INDIRECT("'"&amp;$B20&amp;"'!$B$7:$E$7"),0))&amp;" kWh"</f>
        <v>Flat rate 4600 kWh</v>
      </c>
      <c r="G21" s="451"/>
      <c r="H21" s="453" t="str">
        <f t="array" aca="1" ref="H21" ca="1">INDEX(INDIRECT("'"&amp;$B20&amp;"'!$B$6:$F$16"),MATCH("Annual usage (kWh)",INDIRECT("'"&amp;$B20&amp;"'!$B$6:$B$16"),0),MATCH(H$6&amp;H$7,INDIRECT("'"&amp;$B20&amp;"'!$B$6:$E$6")&amp;INDIRECT("'"&amp;$B20&amp;"'!$B$7:$E$7"),0))&amp;" kWh"</f>
        <v>10000 kWh</v>
      </c>
      <c r="I21" s="454"/>
      <c r="J21" s="319"/>
      <c r="K21" s="319"/>
      <c r="L21" s="319"/>
      <c r="M21" s="3" t="s">
        <v>2</v>
      </c>
      <c r="N21" s="209">
        <f t="array" aca="1" ref="N21" ca="1">INDEX(INDIRECT("'"&amp;$M21&amp;"'!F23:AJ38"),MATCH(N$6,INDIRECT("'"&amp;$M21&amp;"'!F23:F38"),0),MATCH($T21&amp;$U21&amp;"Change",INDIRECT("'"&amp;$M21&amp;"'!F23:AJ23")&amp;INDIRECT("'"&amp;$M21&amp;"'!F24:AJ24")&amp;INDIRECT("'"&amp;$M21&amp;"'!F30:AJ30"),0))</f>
        <v>9.517532216910074E-2</v>
      </c>
      <c r="O21" s="211">
        <f t="array" aca="1" ref="O21" ca="1">INDEX(INDIRECT("'"&amp;$M21&amp;"'!F23:AJ38"),MATCH(O$6,INDIRECT("'"&amp;$M21&amp;"'!F23:F38"),0),MATCH($T21&amp;$U21&amp;"Change",INDIRECT("'"&amp;$M21&amp;"'!F23:AJ23")&amp;INDIRECT("'"&amp;$M21&amp;"'!F24:AJ24")&amp;INDIRECT("'"&amp;$M21&amp;"'!F30:AJ30"),0))</f>
        <v>5.7267963189735038E-2</v>
      </c>
      <c r="P21" s="211">
        <f t="array" aca="1" ref="P21" ca="1">INDEX(INDIRECT("'"&amp;$M21&amp;"'!F23:AJ38"),MATCH(P$6,INDIRECT("'"&amp;$M21&amp;"'!F23:F38"),0),MATCH($T21&amp;$U21&amp;"Change",INDIRECT("'"&amp;$M21&amp;"'!F23:AJ23")&amp;INDIRECT("'"&amp;$M21&amp;"'!F24:AJ24")&amp;INDIRECT("'"&amp;$M21&amp;"'!F30:AJ30"),0))</f>
        <v>-0.18899729746790342</v>
      </c>
      <c r="Q21" s="211" cm="1">
        <f t="array" aca="1" ref="Q21" ca="1">INDEX(INDIRECT("'"&amp;$M21&amp;"'!F23:AJ38"),MATCH(Q$6,INDIRECT("'"&amp;$M21&amp;"'!F23:F38"),0),MATCH($T21&amp;$U21&amp;"Change",INDIRECT("'"&amp;$M21&amp;"'!F23:AJ23")&amp;INDIRECT("'"&amp;$M21&amp;"'!F24:AJ24")&amp;INDIRECT("'"&amp;$M21&amp;"'!F30:AJ30"),0))</f>
        <v>0.2931662952760522</v>
      </c>
      <c r="R21" s="211" cm="1">
        <f t="array" aca="1" ref="R21" ca="1">INDEX(INDIRECT("'"&amp;$M21&amp;"'!F23:AJ38"),MATCH(R$6,INDIRECT("'"&amp;$M21&amp;"'!F23:F38"),0),MATCH($T21&amp;$U21&amp;"Change",INDIRECT("'"&amp;$M21&amp;"'!F23:AJ23")&amp;INDIRECT("'"&amp;$M21&amp;"'!F24:AJ24")&amp;INDIRECT("'"&amp;$M21&amp;"'!F30:AJ30"),0))</f>
        <v>7.9278022057733863E-2</v>
      </c>
      <c r="S21" s="214">
        <f t="array" aca="1" ref="S21" ca="1">INDEX(INDIRECT("'"&amp;$M21&amp;"'!$B$6:$F$16"),MATCH("Change from DMO "&amp;PY&amp;" price (%)",INDIRECT("'"&amp;$M21&amp;"'!$B$6:$B$16"),0),MATCH($T21&amp;$U21,INDIRECT("'"&amp;$M21&amp;"'!$B$6:$E$6")&amp;INDIRECT("'"&amp;$M21&amp;"'!$B$7:$E$7"),0))</f>
        <v>7.9141370338247974E-2</v>
      </c>
      <c r="T21" s="64" t="str">
        <f t="shared" ref="T21:U25" si="2">T20</f>
        <v>Small business</v>
      </c>
      <c r="U21" s="64" t="str">
        <f t="shared" si="2"/>
        <v>without CL</v>
      </c>
      <c r="V21" s="3" t="s">
        <v>2</v>
      </c>
      <c r="W21" s="190" cm="1">
        <f t="array" aca="1" ref="W21" ca="1">INDEX(INDIRECT("'"&amp;$V21&amp;"'!F23:AJ38"),MATCH(W$6,INDIRECT("'"&amp;$V21&amp;"'!F23:F38"),0),MATCH($T21&amp;$U21&amp;$W$5&amp;"Proportion",INDIRECT("'"&amp;$V21&amp;"'!F23:AJ23")&amp;INDIRECT("'"&amp;$V21&amp;"'!F24:AJ24")&amp;INDIRECT("'"&amp;$V21&amp;"'!F25:AJ25")&amp;INDIRECT("'"&amp;$V21&amp;"'!F30:AJ30"),0))</f>
        <v>0.38644526581644068</v>
      </c>
      <c r="X21" s="190" cm="1">
        <f t="array" aca="1" ref="X21" ca="1">INDEX(INDIRECT("'"&amp;$V21&amp;"'!F23:AJ38"),MATCH(X$6,INDIRECT("'"&amp;$V21&amp;"'!F23:F38"),0),MATCH($T21&amp;$U21&amp;$W$5&amp;"Proportion",INDIRECT("'"&amp;$V21&amp;"'!F23:AJ23")&amp;INDIRECT("'"&amp;$V21&amp;"'!F24:AJ24")&amp;INDIRECT("'"&amp;$V21&amp;"'!F25:AJ25")&amp;INDIRECT("'"&amp;$V21&amp;"'!F30:AJ30"),0))</f>
        <v>0.38365663714995979</v>
      </c>
      <c r="Y21" s="190" cm="1">
        <f t="array" aca="1" ref="Y21" ca="1">INDEX(INDIRECT("'"&amp;$V21&amp;"'!F23:AJ38"),MATCH(Y$6,INDIRECT("'"&amp;$V21&amp;"'!F23:F38"),0),MATCH($T21&amp;$U21&amp;$W$5&amp;"Proportion",INDIRECT("'"&amp;$V21&amp;"'!F23:AJ23")&amp;INDIRECT("'"&amp;$V21&amp;"'!F24:AJ24")&amp;INDIRECT("'"&amp;$V21&amp;"'!F25:AJ25")&amp;INDIRECT("'"&amp;$V21&amp;"'!F30:AJ30"),0))</f>
        <v>3.5203741984133848E-2</v>
      </c>
      <c r="Z21" s="190" cm="1">
        <f t="array" aca="1" ref="Z21" ca="1">INDEX(INDIRECT("'"&amp;$V21&amp;"'!F23:AJ38"),MATCH(Z$6,INDIRECT("'"&amp;$V21&amp;"'!F23:F38"),0),MATCH($T21&amp;$U21&amp;$W$5&amp;"Proportion",INDIRECT("'"&amp;$V21&amp;"'!F23:AJ23")&amp;INDIRECT("'"&amp;$V21&amp;"'!F24:AJ24")&amp;INDIRECT("'"&amp;$V21&amp;"'!F25:AJ25")&amp;INDIRECT("'"&amp;$V21&amp;"'!F30:AJ30"),0))</f>
        <v>8.4780331739781709E-2</v>
      </c>
      <c r="AA21" s="190" cm="1">
        <f t="array" aca="1" ref="AA21" ca="1">INDEX(INDIRECT("'"&amp;$V21&amp;"'!F23:AJ38"),MATCH(AA$6,INDIRECT("'"&amp;$V21&amp;"'!F23:F38"),0),MATCH($T21&amp;$U21&amp;$W$5&amp;"Proportion",INDIRECT("'"&amp;$V21&amp;"'!F23:AJ23")&amp;INDIRECT("'"&amp;$V21&amp;"'!F24:AJ24")&amp;INDIRECT("'"&amp;$V21&amp;"'!F25:AJ25")&amp;INDIRECT("'"&amp;$V21&amp;"'!F30:AJ30"),0))</f>
        <v>0.11001062633251092</v>
      </c>
      <c r="AB21" s="218">
        <f ca="1">SUM(W21:AA21)</f>
        <v>1.0000966030228271</v>
      </c>
    </row>
    <row r="22" spans="2:47" ht="15" customHeight="1" x14ac:dyDescent="0.25">
      <c r="B22" s="65"/>
      <c r="C22" s="445"/>
      <c r="D22" s="295"/>
      <c r="E22" s="297"/>
      <c r="F22" s="450" t="str">
        <f t="array" aca="1" ref="F22" ca="1">"+ CL "&amp;INDEX(INDIRECT("'"&amp;$B20&amp;"'!$B$6:$F$15"),MATCH("Controlled load usage (kWh)",INDIRECT("'"&amp;$B20&amp;"'!$B$6:$B$15"),0),MATCH(F$6&amp;F$7,INDIRECT("'"&amp;$B20&amp;"'!$B$6:$E$6")&amp;INDIRECT("'"&amp;$B20&amp;"'!$B$7:$E$7"),0))&amp;" kWh"</f>
        <v>+ CL 2000 kWh</v>
      </c>
      <c r="G22" s="451"/>
      <c r="H22" s="295"/>
      <c r="I22" s="296"/>
      <c r="J22" s="319"/>
      <c r="K22" s="319"/>
      <c r="L22" s="319"/>
      <c r="M22" s="3" t="s">
        <v>4</v>
      </c>
      <c r="N22" s="209">
        <f t="array" aca="1" ref="N22" ca="1">INDEX(INDIRECT("'"&amp;$M22&amp;"'!F23:AJ38"),MATCH(N$6,INDIRECT("'"&amp;$M22&amp;"'!F23:F38"),0),MATCH($T22&amp;$U22&amp;"Change",INDIRECT("'"&amp;$M22&amp;"'!F23:AJ23")&amp;INDIRECT("'"&amp;$M22&amp;"'!F24:AJ24")&amp;INDIRECT("'"&amp;$M22&amp;"'!F30:AJ30"),0))</f>
        <v>9.8765567345192817E-2</v>
      </c>
      <c r="O22" s="211">
        <f t="array" aca="1" ref="O22" ca="1">INDEX(INDIRECT("'"&amp;$M22&amp;"'!F23:AJ38"),MATCH(O$6,INDIRECT("'"&amp;$M22&amp;"'!F23:F38"),0),MATCH($T22&amp;$U22&amp;"Change",INDIRECT("'"&amp;$M22&amp;"'!F23:AJ23")&amp;INDIRECT("'"&amp;$M22&amp;"'!F24:AJ24")&amp;INDIRECT("'"&amp;$M22&amp;"'!F30:AJ30"),0))</f>
        <v>5.0936655798198283E-2</v>
      </c>
      <c r="P22" s="211">
        <f t="array" aca="1" ref="P22" ca="1">INDEX(INDIRECT("'"&amp;$M22&amp;"'!F23:AJ38"),MATCH(P$6,INDIRECT("'"&amp;$M22&amp;"'!F23:F38"),0),MATCH($T22&amp;$U22&amp;"Change",INDIRECT("'"&amp;$M22&amp;"'!F23:AJ23")&amp;INDIRECT("'"&amp;$M22&amp;"'!F24:AJ24")&amp;INDIRECT("'"&amp;$M22&amp;"'!F30:AJ30"),0))</f>
        <v>-0.18139463106877018</v>
      </c>
      <c r="Q22" s="211" cm="1">
        <f t="array" aca="1" ref="Q22" ca="1">INDEX(INDIRECT("'"&amp;$M22&amp;"'!F23:AJ38"),MATCH(Q$6,INDIRECT("'"&amp;$M22&amp;"'!F23:F38"),0),MATCH($T22&amp;$U22&amp;"Change",INDIRECT("'"&amp;$M22&amp;"'!F23:AJ23")&amp;INDIRECT("'"&amp;$M22&amp;"'!F24:AJ24")&amp;INDIRECT("'"&amp;$M22&amp;"'!F30:AJ30"),0))</f>
        <v>0.33131707201723637</v>
      </c>
      <c r="R22" s="211" cm="1">
        <f t="array" aca="1" ref="R22" ca="1">INDEX(INDIRECT("'"&amp;$M22&amp;"'!F23:AJ38"),MATCH(R$6,INDIRECT("'"&amp;$M22&amp;"'!F23:F38"),0),MATCH($T22&amp;$U22&amp;"Change",INDIRECT("'"&amp;$M22&amp;"'!F23:AJ23")&amp;INDIRECT("'"&amp;$M22&amp;"'!F24:AJ24")&amp;INDIRECT("'"&amp;$M22&amp;"'!F30:AJ30"),0))</f>
        <v>7.994201134086952E-2</v>
      </c>
      <c r="S22" s="214">
        <f t="array" aca="1" ref="S22" ca="1">INDEX(INDIRECT("'"&amp;$M22&amp;"'!$B$6:$F$16"),MATCH("Change from DMO "&amp;PY&amp;" price (%)",INDIRECT("'"&amp;$M22&amp;"'!$B$6:$B$16"),0),MATCH($T22&amp;$U22,INDIRECT("'"&amp;$M22&amp;"'!$B$6:$E$6")&amp;INDIRECT("'"&amp;$M22&amp;"'!$B$7:$E$7"),0))</f>
        <v>7.9828132066938062E-2</v>
      </c>
      <c r="T22" s="64" t="str">
        <f>T21</f>
        <v>Small business</v>
      </c>
      <c r="U22" s="64" t="str">
        <f>U21</f>
        <v>without CL</v>
      </c>
      <c r="V22" s="3" t="s">
        <v>4</v>
      </c>
      <c r="W22" s="190" cm="1">
        <f t="array" aca="1" ref="W22" ca="1">INDEX(INDIRECT("'"&amp;$V22&amp;"'!F23:AJ38"),MATCH(W$6,INDIRECT("'"&amp;$V22&amp;"'!F23:F38"),0),MATCH($T22&amp;$U22&amp;$W$5&amp;"Proportion",INDIRECT("'"&amp;$V22&amp;"'!F23:AJ23")&amp;INDIRECT("'"&amp;$V22&amp;"'!F24:AJ24")&amp;INDIRECT("'"&amp;$V22&amp;"'!F25:AJ25")&amp;INDIRECT("'"&amp;$V22&amp;"'!F30:AJ30"),0))</f>
        <v>0.33456622094240834</v>
      </c>
      <c r="X22" s="190" cm="1">
        <f t="array" aca="1" ref="X22" ca="1">INDEX(INDIRECT("'"&amp;$V22&amp;"'!F23:AJ38"),MATCH(X$6,INDIRECT("'"&amp;$V22&amp;"'!F23:F38"),0),MATCH($T22&amp;$U22&amp;$W$5&amp;"Proportion",INDIRECT("'"&amp;$V22&amp;"'!F23:AJ23")&amp;INDIRECT("'"&amp;$V22&amp;"'!F24:AJ24")&amp;INDIRECT("'"&amp;$V22&amp;"'!F25:AJ25")&amp;INDIRECT("'"&amp;$V22&amp;"'!F30:AJ30"),0))</f>
        <v>0.42342102427265882</v>
      </c>
      <c r="Y22" s="190" cm="1">
        <f t="array" aca="1" ref="Y22" ca="1">INDEX(INDIRECT("'"&amp;$V22&amp;"'!F23:AJ38"),MATCH(Y$6,INDIRECT("'"&amp;$V22&amp;"'!F23:F38"),0),MATCH($T22&amp;$U22&amp;$W$5&amp;"Proportion",INDIRECT("'"&amp;$V22&amp;"'!F23:AJ23")&amp;INDIRECT("'"&amp;$V22&amp;"'!F24:AJ24")&amp;INDIRECT("'"&amp;$V22&amp;"'!F25:AJ25")&amp;INDIRECT("'"&amp;$V22&amp;"'!F30:AJ30"),0))</f>
        <v>3.7357548888754824E-2</v>
      </c>
      <c r="Z22" s="190" cm="1">
        <f t="array" aca="1" ref="Z22" ca="1">INDEX(INDIRECT("'"&amp;$V22&amp;"'!F23:AJ38"),MATCH(Z$6,INDIRECT("'"&amp;$V22&amp;"'!F23:F38"),0),MATCH($T22&amp;$U22&amp;$W$5&amp;"Proportion",INDIRECT("'"&amp;$V22&amp;"'!F23:AJ23")&amp;INDIRECT("'"&amp;$V22&amp;"'!F24:AJ24")&amp;INDIRECT("'"&amp;$V22&amp;"'!F25:AJ25")&amp;INDIRECT("'"&amp;$V22&amp;"'!F30:AJ30"),0))</f>
        <v>9.4699389051949204E-2</v>
      </c>
      <c r="AA22" s="190" cm="1">
        <f t="array" aca="1" ref="AA22" ca="1">INDEX(INDIRECT("'"&amp;$V22&amp;"'!F23:AJ38"),MATCH(AA$6,INDIRECT("'"&amp;$V22&amp;"'!F23:F38"),0),MATCH($T22&amp;$U22&amp;$W$5&amp;"Proportion",INDIRECT("'"&amp;$V22&amp;"'!F23:AJ23")&amp;INDIRECT("'"&amp;$V22&amp;"'!F24:AJ24")&amp;INDIRECT("'"&amp;$V22&amp;"'!F25:AJ25")&amp;INDIRECT("'"&amp;$V22&amp;"'!F30:AJ30"),0))</f>
        <v>0.1100054608394774</v>
      </c>
      <c r="AB22" s="218">
        <f ca="1">SUM(W22:AA22)</f>
        <v>1.0000496439952486</v>
      </c>
    </row>
    <row r="23" spans="2:47" ht="15" customHeight="1" x14ac:dyDescent="0.25">
      <c r="B23" s="65"/>
      <c r="C23" s="177" t="str">
        <f>+C17</f>
        <v>DMO 6 Price</v>
      </c>
      <c r="D23" s="182">
        <f ca="1">+D20-D24</f>
        <v>2513</v>
      </c>
      <c r="E23" s="288"/>
      <c r="F23" s="182">
        <f ca="1">+F20-F24</f>
        <v>2931</v>
      </c>
      <c r="G23" s="183"/>
      <c r="H23" s="182">
        <f ca="1">+H20-H24</f>
        <v>5733</v>
      </c>
      <c r="I23" s="296"/>
      <c r="J23" s="319"/>
      <c r="K23" s="319"/>
      <c r="L23" s="319"/>
      <c r="M23" s="3" t="s">
        <v>3</v>
      </c>
      <c r="N23" s="209">
        <f t="array" aca="1" ref="N23" ca="1">INDEX(INDIRECT("'"&amp;$M23&amp;"'!F23:AJ38"),MATCH(N$6,INDIRECT("'"&amp;$M23&amp;"'!F23:F38"),0),MATCH($T23&amp;$U23&amp;"Change",INDIRECT("'"&amp;$M23&amp;"'!F23:AJ23")&amp;INDIRECT("'"&amp;$M23&amp;"'!F24:AJ24")&amp;INDIRECT("'"&amp;$M23&amp;"'!F30:AJ30"),0))</f>
        <v>7.8883989941060051E-2</v>
      </c>
      <c r="O23" s="211">
        <f t="array" aca="1" ref="O23" ca="1">INDEX(INDIRECT("'"&amp;$M23&amp;"'!F23:AJ38"),MATCH(O$6,INDIRECT("'"&amp;$M23&amp;"'!F23:F38"),0),MATCH($T23&amp;$U23&amp;"Change",INDIRECT("'"&amp;$M23&amp;"'!F23:AJ23")&amp;INDIRECT("'"&amp;$M23&amp;"'!F24:AJ24")&amp;INDIRECT("'"&amp;$M23&amp;"'!F30:AJ30"),0))</f>
        <v>7.6344344032196254E-2</v>
      </c>
      <c r="P23" s="211">
        <f t="array" aca="1" ref="P23" ca="1">INDEX(INDIRECT("'"&amp;$M23&amp;"'!F23:AJ38"),MATCH(P$6,INDIRECT("'"&amp;$M23&amp;"'!F23:F38"),0),MATCH($T23&amp;$U23&amp;"Change",INDIRECT("'"&amp;$M23&amp;"'!F23:AJ23")&amp;INDIRECT("'"&amp;$M23&amp;"'!F24:AJ24")&amp;INDIRECT("'"&amp;$M23&amp;"'!F30:AJ30"),0))</f>
        <v>-0.18076763872216473</v>
      </c>
      <c r="Q23" s="211" cm="1">
        <f t="array" aca="1" ref="Q23" ca="1">INDEX(INDIRECT("'"&amp;$M23&amp;"'!F23:AJ38"),MATCH(Q$6,INDIRECT("'"&amp;$M23&amp;"'!F23:F38"),0),MATCH($T23&amp;$U23&amp;"Change",INDIRECT("'"&amp;$M23&amp;"'!F23:AJ23")&amp;INDIRECT("'"&amp;$M23&amp;"'!F24:AJ24")&amp;INDIRECT("'"&amp;$M23&amp;"'!F30:AJ30"),0))</f>
        <v>0.35193587148069538</v>
      </c>
      <c r="R23" s="211" cm="1">
        <f t="array" aca="1" ref="R23" ca="1">INDEX(INDIRECT("'"&amp;$M23&amp;"'!F23:AJ38"),MATCH(R$6,INDIRECT("'"&amp;$M23&amp;"'!F23:F38"),0),MATCH($T23&amp;$U23&amp;"Change",INDIRECT("'"&amp;$M23&amp;"'!F23:AJ23")&amp;INDIRECT("'"&amp;$M23&amp;"'!F24:AJ24")&amp;INDIRECT("'"&amp;$M23&amp;"'!F30:AJ30"),0))</f>
        <v>8.5289092461806923E-2</v>
      </c>
      <c r="S23" s="214">
        <f t="array" aca="1" ref="S23" ca="1">INDEX(INDIRECT("'"&amp;$M23&amp;"'!$B$6:$F$16"),MATCH("Change from DMO "&amp;PY&amp;" price (%)",INDIRECT("'"&amp;$M23&amp;"'!$B$6:$B$16"),0),MATCH($T23&amp;$U23,INDIRECT("'"&amp;$M23&amp;"'!$B$6:$E$6")&amp;INDIRECT("'"&amp;$M23&amp;"'!$B$7:$E$7"),0))</f>
        <v>8.529565672422823E-2</v>
      </c>
      <c r="T23" s="64" t="str">
        <f t="shared" si="2"/>
        <v>Small business</v>
      </c>
      <c r="U23" s="64" t="str">
        <f t="shared" si="2"/>
        <v>without CL</v>
      </c>
      <c r="V23" s="3" t="s">
        <v>3</v>
      </c>
      <c r="W23" s="190" cm="1">
        <f t="array" aca="1" ref="W23" ca="1">INDEX(INDIRECT("'"&amp;$V23&amp;"'!F23:AJ38"),MATCH(W$6,INDIRECT("'"&amp;$V23&amp;"'!F23:F38"),0),MATCH($T23&amp;$U23&amp;$W$5&amp;"Proportion",INDIRECT("'"&amp;$V23&amp;"'!F23:AJ23")&amp;INDIRECT("'"&amp;$V23&amp;"'!F24:AJ24")&amp;INDIRECT("'"&amp;$V23&amp;"'!F25:AJ25")&amp;INDIRECT("'"&amp;$V23&amp;"'!F30:AJ30"),0))</f>
        <v>0.4755937729358492</v>
      </c>
      <c r="X23" s="190" cm="1">
        <f t="array" aca="1" ref="X23" ca="1">INDEX(INDIRECT("'"&amp;$V23&amp;"'!F23:AJ38"),MATCH(X$6,INDIRECT("'"&amp;$V23&amp;"'!F23:F38"),0),MATCH($T23&amp;$U23&amp;$W$5&amp;"Proportion",INDIRECT("'"&amp;$V23&amp;"'!F23:AJ23")&amp;INDIRECT("'"&amp;$V23&amp;"'!F24:AJ24")&amp;INDIRECT("'"&amp;$V23&amp;"'!F25:AJ25")&amp;INDIRECT("'"&amp;$V23&amp;"'!F30:AJ30"),0))</f>
        <v>0.31278707562717328</v>
      </c>
      <c r="Y23" s="190" cm="1">
        <f t="array" aca="1" ref="Y23" ca="1">INDEX(INDIRECT("'"&amp;$V23&amp;"'!F23:AJ38"),MATCH(Y$6,INDIRECT("'"&amp;$V23&amp;"'!F23:F38"),0),MATCH($T23&amp;$U23&amp;$W$5&amp;"Proportion",INDIRECT("'"&amp;$V23&amp;"'!F23:AJ23")&amp;INDIRECT("'"&amp;$V23&amp;"'!F24:AJ24")&amp;INDIRECT("'"&amp;$V23&amp;"'!F25:AJ25")&amp;INDIRECT("'"&amp;$V23&amp;"'!F30:AJ30"),0))</f>
        <v>2.8010847402482591E-2</v>
      </c>
      <c r="Z23" s="190" cm="1">
        <f t="array" aca="1" ref="Z23" ca="1">INDEX(INDIRECT("'"&amp;$V23&amp;"'!F23:AJ38"),MATCH(Z$6,INDIRECT("'"&amp;$V23&amp;"'!F23:F38"),0),MATCH($T23&amp;$U23&amp;$W$5&amp;"Proportion",INDIRECT("'"&amp;$V23&amp;"'!F23:AJ23")&amp;INDIRECT("'"&amp;$V23&amp;"'!F24:AJ24")&amp;INDIRECT("'"&amp;$V23&amp;"'!F25:AJ25")&amp;INDIRECT("'"&amp;$V23&amp;"'!F30:AJ30"),0))</f>
        <v>7.361714742454438E-2</v>
      </c>
      <c r="AA23" s="190" cm="1">
        <f t="array" aca="1" ref="AA23" ca="1">INDEX(INDIRECT("'"&amp;$V23&amp;"'!F23:AJ38"),MATCH(AA$6,INDIRECT("'"&amp;$V23&amp;"'!F23:F38"),0),MATCH($T23&amp;$U23&amp;$W$5&amp;"Proportion",INDIRECT("'"&amp;$V23&amp;"'!F23:AJ23")&amp;INDIRECT("'"&amp;$V23&amp;"'!F24:AJ24")&amp;INDIRECT("'"&amp;$V23&amp;"'!F25:AJ25")&amp;INDIRECT("'"&amp;$V23&amp;"'!F30:AJ30"),0))</f>
        <v>0.11000109300326445</v>
      </c>
      <c r="AB23" s="218">
        <f ca="1">SUM(W23:AA23)</f>
        <v>1.0000099363933139</v>
      </c>
    </row>
    <row r="24" spans="2:47" ht="15" customHeight="1" x14ac:dyDescent="0.25">
      <c r="B24" s="65"/>
      <c r="C24" s="264" t="s">
        <v>134</v>
      </c>
      <c r="D24" s="265">
        <f t="array" aca="1" ref="D24" ca="1">INDEX(INDIRECT("'"&amp;$B20&amp;"'!$B$6:$F$16"),MATCH("Change from DMO "&amp;PY&amp;" price ($)",INDIRECT("'"&amp;$B20&amp;"'!$B$6:$B$16"),0),MATCH(D$6&amp;D$7,INDIRECT("'"&amp;$B20&amp;"'!$B$6:$E$6")&amp;INDIRECT("'"&amp;$B20&amp;"'!$B$7:$E$7"),0))</f>
        <v>228</v>
      </c>
      <c r="E24" s="266" t="str">
        <f t="array" aca="1" ref="E24" ca="1">"("&amp;ROUND(INDEX(INDIRECT("'"&amp;$B20&amp;"'!$B$6:$F$16"),MATCH("Change from DMO "&amp;PY&amp;" price (%)",INDIRECT("'"&amp;$B20&amp;"'!$B$6:$B$16"),0),MATCH(D$6&amp;D$7,INDIRECT("'"&amp;$B20&amp;"'!$B$6:$E$6")&amp;INDIRECT("'"&amp;$B20&amp;"'!$B$7:$E$7"),0))*100,1)&amp;"%)"</f>
        <v>(9.1%)</v>
      </c>
      <c r="F24" s="265">
        <f t="array" aca="1" ref="F24" ca="1">INDEX(INDIRECT("'"&amp;$B20&amp;"'!$B$6:$F$16"),MATCH("Change from DMO "&amp;PY&amp;" price ($)",INDIRECT("'"&amp;$B20&amp;"'!$B$6:$B$16"),0),MATCH(F$6&amp;F$7,INDIRECT("'"&amp;$B20&amp;"'!$B$6:$E$6")&amp;INDIRECT("'"&amp;$B20&amp;"'!$B$7:$E$7"),0))</f>
        <v>280</v>
      </c>
      <c r="G24" s="266" t="str" cm="1">
        <f t="array" aca="1" ref="G24" ca="1">"("&amp;ROUND(INDEX(INDIRECT("'"&amp;$B20&amp;"'!$B$6:$F$16"),MATCH("Change from DMO "&amp;PY&amp;" price (%)",INDIRECT("'"&amp;$B20&amp;"'!$B$6:$B$16"),0),MATCH(F$6&amp;F$7,INDIRECT("'"&amp;$B20&amp;"'!$B$6:$E$6")&amp;INDIRECT("'"&amp;$B20&amp;"'!$B$7:$E$7"),0))*100,1)&amp;"%)"</f>
        <v>(9.6%)</v>
      </c>
      <c r="H24" s="265">
        <f t="array" aca="1" ref="H24" ca="1">INDEX(INDIRECT("'"&amp;$B20&amp;"'!$B$6:$F$16"),MATCH("Change from DMO "&amp;PY&amp;" price ($)",INDIRECT("'"&amp;$B20&amp;"'!$B$6:$B$16"),0),MATCH(H$6&amp;H$7,INDIRECT("'"&amp;$B20&amp;"'!$B$6:$E$6")&amp;INDIRECT("'"&amp;$B20&amp;"'!$B$7:$E$7"),0))</f>
        <v>489</v>
      </c>
      <c r="I24" s="267" t="str">
        <f t="array" aca="1" ref="I24" ca="1">"("&amp;ROUND(INDEX(INDIRECT("'"&amp;$B20&amp;"'!$B$6:$F$16"),MATCH("Change from DMO "&amp;PY&amp;" price (%)",INDIRECT("'"&amp;$B20&amp;"'!$B$6:$B$16"),0),MATCH(H$6&amp;H$7,INDIRECT("'"&amp;$B20&amp;"'!$B$6:$E$6")&amp;INDIRECT("'"&amp;$B20&amp;"'!$B$7:$E$7"),0))*100,1)&amp;"%)"</f>
        <v>(8.5%)</v>
      </c>
      <c r="J24" s="319"/>
      <c r="K24" s="319"/>
      <c r="L24" s="319"/>
      <c r="M24" s="3" t="s">
        <v>0</v>
      </c>
      <c r="N24" s="209">
        <f t="array" aca="1" ref="N24" ca="1">INDEX(INDIRECT("'"&amp;$M24&amp;"'!F23:AJ38"),MATCH(N$6,INDIRECT("'"&amp;$M24&amp;"'!F23:F38"),0),MATCH($T24&amp;$U24&amp;"Change",INDIRECT("'"&amp;$M24&amp;"'!F23:AJ23")&amp;INDIRECT("'"&amp;$M24&amp;"'!F24:AJ24")&amp;INDIRECT("'"&amp;$M24&amp;"'!F30:AJ30"),0))</f>
        <v>2.0997570479610594E-2</v>
      </c>
      <c r="O24" s="211">
        <f t="array" aca="1" ref="O24" ca="1">INDEX(INDIRECT("'"&amp;$M24&amp;"'!F23:AJ38"),MATCH(O$6,INDIRECT("'"&amp;$M24&amp;"'!F23:F38"),0),MATCH($T24&amp;$U24&amp;"Change",INDIRECT("'"&amp;$M24&amp;"'!F23:AJ23")&amp;INDIRECT("'"&amp;$M24&amp;"'!F24:AJ24")&amp;INDIRECT("'"&amp;$M24&amp;"'!F30:AJ30"),0))</f>
        <v>-2.383934787977493E-3</v>
      </c>
      <c r="P24" s="211">
        <f t="array" aca="1" ref="P24" ca="1">INDEX(INDIRECT("'"&amp;$M24&amp;"'!F23:AJ38"),MATCH(P$6,INDIRECT("'"&amp;$M24&amp;"'!F23:F38"),0),MATCH($T24&amp;$U24&amp;"Change",INDIRECT("'"&amp;$M24&amp;"'!F23:AJ23")&amp;INDIRECT("'"&amp;$M24&amp;"'!F24:AJ24")&amp;INDIRECT("'"&amp;$M24&amp;"'!F30:AJ30"),0))</f>
        <v>-0.27900621053469421</v>
      </c>
      <c r="Q24" s="211" cm="1">
        <f t="array" aca="1" ref="Q24" ca="1">INDEX(INDIRECT("'"&amp;$M24&amp;"'!F23:AJ38"),MATCH(Q$6,INDIRECT("'"&amp;$M24&amp;"'!F23:F38"),0),MATCH($T24&amp;$U24&amp;"Change",INDIRECT("'"&amp;$M24&amp;"'!F23:AJ23")&amp;INDIRECT("'"&amp;$M24&amp;"'!F24:AJ24")&amp;INDIRECT("'"&amp;$M24&amp;"'!F30:AJ30"),0))</f>
        <v>0.17490386217645304</v>
      </c>
      <c r="R24" s="211" cm="1">
        <f t="array" aca="1" ref="R24" ca="1">INDEX(INDIRECT("'"&amp;$M24&amp;"'!F23:AJ38"),MATCH(R$6,INDIRECT("'"&amp;$M24&amp;"'!F23:F38"),0),MATCH($T24&amp;$U24&amp;"Change",INDIRECT("'"&amp;$M24&amp;"'!F23:AJ23")&amp;INDIRECT("'"&amp;$M24&amp;"'!F24:AJ24")&amp;INDIRECT("'"&amp;$M24&amp;"'!F30:AJ30"),0))</f>
        <v>7.8007802036837914E-3</v>
      </c>
      <c r="S24" s="214">
        <f t="array" aca="1" ref="S24" ca="1">INDEX(INDIRECT("'"&amp;$M24&amp;"'!$B$6:$F$16"),MATCH("Change from DMO "&amp;PY&amp;" price (%)",INDIRECT("'"&amp;$M24&amp;"'!$B$6:$B$16"),0),MATCH($T24&amp;$U24,INDIRECT("'"&amp;$M24&amp;"'!$B$6:$E$6")&amp;INDIRECT("'"&amp;$M24&amp;"'!$B$7:$E$7"),0))</f>
        <v>7.7446608777282933E-3</v>
      </c>
      <c r="T24" s="64" t="str">
        <f t="shared" si="2"/>
        <v>Small business</v>
      </c>
      <c r="U24" s="64" t="str">
        <f t="shared" si="2"/>
        <v>without CL</v>
      </c>
      <c r="V24" s="3" t="s">
        <v>0</v>
      </c>
      <c r="W24" s="190" cm="1">
        <f t="array" aca="1" ref="W24" ca="1">INDEX(INDIRECT("'"&amp;$V24&amp;"'!F23:AJ38"),MATCH(W$6,INDIRECT("'"&amp;$V24&amp;"'!F23:F38"),0),MATCH($T24&amp;$U24&amp;$W$5&amp;"Proportion",INDIRECT("'"&amp;$V24&amp;"'!F23:AJ23")&amp;INDIRECT("'"&amp;$V24&amp;"'!F24:AJ24")&amp;INDIRECT("'"&amp;$V24&amp;"'!F25:AJ25")&amp;INDIRECT("'"&amp;$V24&amp;"'!F30:AJ30"),0))</f>
        <v>0.35080836912116176</v>
      </c>
      <c r="X24" s="190" cm="1">
        <f t="array" aca="1" ref="X24" ca="1">INDEX(INDIRECT("'"&amp;$V24&amp;"'!F23:AJ38"),MATCH(X$6,INDIRECT("'"&amp;$V24&amp;"'!F23:F38"),0),MATCH($T24&amp;$U24&amp;$W$5&amp;"Proportion",INDIRECT("'"&amp;$V24&amp;"'!F23:AJ23")&amp;INDIRECT("'"&amp;$V24&amp;"'!F24:AJ24")&amp;INDIRECT("'"&amp;$V24&amp;"'!F25:AJ25")&amp;INDIRECT("'"&amp;$V24&amp;"'!F30:AJ30"),0))</f>
        <v>0.42465159836375421</v>
      </c>
      <c r="Y24" s="190" cm="1">
        <f t="array" aca="1" ref="Y24" ca="1">INDEX(INDIRECT("'"&amp;$V24&amp;"'!F23:AJ38"),MATCH(Y$6,INDIRECT("'"&amp;$V24&amp;"'!F23:F38"),0),MATCH($T24&amp;$U24&amp;$W$5&amp;"Proportion",INDIRECT("'"&amp;$V24&amp;"'!F23:AJ23")&amp;INDIRECT("'"&amp;$V24&amp;"'!F24:AJ24")&amp;INDIRECT("'"&amp;$V24&amp;"'!F25:AJ25")&amp;INDIRECT("'"&amp;$V24&amp;"'!F30:AJ30"),0))</f>
        <v>3.053057772204857E-2</v>
      </c>
      <c r="Z24" s="190" cm="1">
        <f t="array" aca="1" ref="Z24" ca="1">INDEX(INDIRECT("'"&amp;$V24&amp;"'!F23:AJ38"),MATCH(Z$6,INDIRECT("'"&amp;$V24&amp;"'!F23:F38"),0),MATCH($T24&amp;$U24&amp;$W$5&amp;"Proportion",INDIRECT("'"&amp;$V24&amp;"'!F23:AJ23")&amp;INDIRECT("'"&amp;$V24&amp;"'!F24:AJ24")&amp;INDIRECT("'"&amp;$V24&amp;"'!F25:AJ25")&amp;INDIRECT("'"&amp;$V24&amp;"'!F30:AJ30"),0))</f>
        <v>8.3991323777684271E-2</v>
      </c>
      <c r="AA24" s="190" cm="1">
        <f t="array" aca="1" ref="AA24" ca="1">INDEX(INDIRECT("'"&amp;$V24&amp;"'!F23:AJ38"),MATCH(AA$6,INDIRECT("'"&amp;$V24&amp;"'!F23:F38"),0),MATCH($T24&amp;$U24&amp;$W$5&amp;"Proportion",INDIRECT("'"&amp;$V24&amp;"'!F23:AJ23")&amp;INDIRECT("'"&amp;$V24&amp;"'!F24:AJ24")&amp;INDIRECT("'"&amp;$V24&amp;"'!F25:AJ25")&amp;INDIRECT("'"&amp;$V24&amp;"'!F30:AJ30"),0))</f>
        <v>0.10999775908799034</v>
      </c>
      <c r="AB24" s="218">
        <f ca="1">SUM(W24:AA24)</f>
        <v>0.99997962807263918</v>
      </c>
    </row>
    <row r="25" spans="2:47" ht="15" customHeight="1" x14ac:dyDescent="0.25">
      <c r="B25" s="65"/>
      <c r="C25" s="237" t="s">
        <v>187</v>
      </c>
      <c r="D25" s="238">
        <f ca="1">+D20-+D23*(1+'Key inputs'!$J$10)</f>
        <v>167.6880000000001</v>
      </c>
      <c r="E25" s="239" t="str">
        <f ca="1">CONCATENATE("(",ROUND(+D25/D23*100,1),"%)")</f>
        <v>(6.7%)</v>
      </c>
      <c r="F25" s="238">
        <f ca="1">+F20-+F23*(1+'Key inputs'!$J$10)</f>
        <v>209.65599999999995</v>
      </c>
      <c r="G25" s="239" t="str">
        <f ca="1">CONCATENATE("(",ROUND(+F25/F23*100,1),"%)")</f>
        <v>(7.2%)</v>
      </c>
      <c r="H25" s="238">
        <f ca="1">+H20-+H23*(1+'Key inputs'!$J$10)</f>
        <v>351.40799999999945</v>
      </c>
      <c r="I25" s="240" t="str">
        <f ca="1">CONCATENATE("(",ROUND(+H25/H23*100,1),"%)")</f>
        <v>(6.1%)</v>
      </c>
      <c r="J25" s="319"/>
      <c r="K25" s="319"/>
      <c r="L25" s="319"/>
      <c r="M25" s="95" t="s">
        <v>5</v>
      </c>
      <c r="N25" s="210">
        <f t="array" aca="1" ref="N25" ca="1">INDEX(INDIRECT("'"&amp;$M25&amp;"'!F23:AJ38"),MATCH(N$6,INDIRECT("'"&amp;$M25&amp;"'!F23:F38"),0),MATCH($T25&amp;$U25&amp;"Change",INDIRECT("'"&amp;$M25&amp;"'!F23:AJ23")&amp;INDIRECT("'"&amp;$M25&amp;"'!F24:AJ24")&amp;INDIRECT("'"&amp;$M25&amp;"'!F30:AJ30"),0))</f>
        <v>3.4229898062144493E-2</v>
      </c>
      <c r="O25" s="213">
        <f t="array" aca="1" ref="O25" ca="1">INDEX(INDIRECT("'"&amp;$M25&amp;"'!F23:AJ38"),MATCH(O$6,INDIRECT("'"&amp;$M25&amp;"'!F23:F38"),0),MATCH($T25&amp;$U25&amp;"Change",INDIRECT("'"&amp;$M25&amp;"'!F23:AJ23")&amp;INDIRECT("'"&amp;$M25&amp;"'!F24:AJ24")&amp;INDIRECT("'"&amp;$M25&amp;"'!F30:AJ30"),0))</f>
        <v>6.4858261047338717E-2</v>
      </c>
      <c r="P25" s="213">
        <f t="array" aca="1" ref="P25" ca="1">INDEX(INDIRECT("'"&amp;$M25&amp;"'!F23:AJ38"),MATCH(P$6,INDIRECT("'"&amp;$M25&amp;"'!F23:F38"),0),MATCH($T25&amp;$U25&amp;"Change",INDIRECT("'"&amp;$M25&amp;"'!F23:AJ23")&amp;INDIRECT("'"&amp;$M25&amp;"'!F24:AJ24")&amp;INDIRECT("'"&amp;$M25&amp;"'!F30:AJ30"),0))</f>
        <v>-0.25903782711919621</v>
      </c>
      <c r="Q25" s="213" cm="1">
        <f t="array" aca="1" ref="Q25" ca="1">INDEX(INDIRECT("'"&amp;$M25&amp;"'!F23:AJ38"),MATCH(Q$6,INDIRECT("'"&amp;$M25&amp;"'!F23:F38"),0),MATCH($T25&amp;$U25&amp;"Change",INDIRECT("'"&amp;$M25&amp;"'!F23:AJ23")&amp;INDIRECT("'"&amp;$M25&amp;"'!F24:AJ24")&amp;INDIRECT("'"&amp;$M25&amp;"'!F30:AJ30"),0))</f>
        <v>8.3134461811715438E-2</v>
      </c>
      <c r="R25" s="213" cm="1">
        <f t="array" aca="1" ref="R25" ca="1">INDEX(INDIRECT("'"&amp;$M25&amp;"'!F23:AJ38"),MATCH(R$6,INDIRECT("'"&amp;$M25&amp;"'!F23:F38"),0),MATCH($T25&amp;$U25&amp;"Change",INDIRECT("'"&amp;$M25&amp;"'!F23:AJ23")&amp;INDIRECT("'"&amp;$M25&amp;"'!F24:AJ24")&amp;INDIRECT("'"&amp;$M25&amp;"'!F30:AJ30"),0))</f>
        <v>3.5316348851960735E-2</v>
      </c>
      <c r="S25" s="215">
        <f t="array" aca="1" ref="S25" ca="1">INDEX(INDIRECT("'"&amp;$M25&amp;"'!$B$6:$F$16"),MATCH("Change from DMO "&amp;PY&amp;" price (%)",INDIRECT("'"&amp;$M25&amp;"'!$B$6:$B$16"),0),MATCH($T25&amp;$U25,INDIRECT("'"&amp;$M25&amp;"'!$B$6:$E$6")&amp;INDIRECT("'"&amp;$M25&amp;"'!$B$7:$E$7"),0))</f>
        <v>3.5313901345291443E-2</v>
      </c>
      <c r="T25" s="64" t="str">
        <f t="shared" si="2"/>
        <v>Small business</v>
      </c>
      <c r="U25" s="64" t="str">
        <f t="shared" si="2"/>
        <v>without CL</v>
      </c>
      <c r="V25" s="95" t="s">
        <v>5</v>
      </c>
      <c r="W25" s="194" cm="1">
        <f t="array" aca="1" ref="W25" ca="1">INDEX(INDIRECT("'"&amp;$V25&amp;"'!F23:AJ38"),MATCH(W$6,INDIRECT("'"&amp;$V25&amp;"'!F23:F38"),0),MATCH($T25&amp;$U25&amp;$W$5&amp;"Proportion",INDIRECT("'"&amp;$V25&amp;"'!F23:AJ23")&amp;INDIRECT("'"&amp;$V25&amp;"'!F24:AJ24")&amp;INDIRECT("'"&amp;$V25&amp;"'!F25:AJ25")&amp;INDIRECT("'"&amp;$V25&amp;"'!F30:AJ30"),0))</f>
        <v>0.41183475969044109</v>
      </c>
      <c r="X25" s="194" cm="1">
        <f t="array" aca="1" ref="X25" ca="1">INDEX(INDIRECT("'"&amp;$V25&amp;"'!F23:AJ38"),MATCH(X$6,INDIRECT("'"&amp;$V25&amp;"'!F23:F38"),0),MATCH($T25&amp;$U25&amp;$W$5&amp;"Proportion",INDIRECT("'"&amp;$V25&amp;"'!F23:AJ23")&amp;INDIRECT("'"&amp;$V25&amp;"'!F24:AJ24")&amp;INDIRECT("'"&amp;$V25&amp;"'!F25:AJ25")&amp;INDIRECT("'"&amp;$V25&amp;"'!F30:AJ30"),0))</f>
        <v>0.38335499807078283</v>
      </c>
      <c r="Y25" s="194" cm="1">
        <f t="array" aca="1" ref="Y25" ca="1">INDEX(INDIRECT("'"&amp;$V25&amp;"'!F23:AJ38"),MATCH(Y$6,INDIRECT("'"&amp;$V25&amp;"'!F23:F38"),0),MATCH($T25&amp;$U25&amp;$W$5&amp;"Proportion",INDIRECT("'"&amp;$V25&amp;"'!F23:AJ23")&amp;INDIRECT("'"&amp;$V25&amp;"'!F24:AJ24")&amp;INDIRECT("'"&amp;$V25&amp;"'!F25:AJ25")&amp;INDIRECT("'"&amp;$V25&amp;"'!F30:AJ30"),0))</f>
        <v>3.2596451770695672E-2</v>
      </c>
      <c r="Z25" s="194" cm="1">
        <f t="array" aca="1" ref="Z25" ca="1">INDEX(INDIRECT("'"&amp;$V25&amp;"'!F23:AJ38"),MATCH(Z$6,INDIRECT("'"&amp;$V25&amp;"'!F23:F38"),0),MATCH($T25&amp;$U25&amp;$W$5&amp;"Proportion",INDIRECT("'"&amp;$V25&amp;"'!F23:AJ23")&amp;INDIRECT("'"&amp;$V25&amp;"'!F24:AJ24")&amp;INDIRECT("'"&amp;$V25&amp;"'!F25:AJ25")&amp;INDIRECT("'"&amp;$V25&amp;"'!F30:AJ30"),0))</f>
        <v>6.2214060025720663E-2</v>
      </c>
      <c r="AA25" s="194" cm="1">
        <f t="array" aca="1" ref="AA25" ca="1">INDEX(INDIRECT("'"&amp;$V25&amp;"'!F23:AJ38"),MATCH(AA$6,INDIRECT("'"&amp;$V25&amp;"'!F23:F38"),0),MATCH($T25&amp;$U25&amp;$W$5&amp;"Proportion",INDIRECT("'"&amp;$V25&amp;"'!F23:AJ23")&amp;INDIRECT("'"&amp;$V25&amp;"'!F24:AJ24")&amp;INDIRECT("'"&amp;$V25&amp;"'!F25:AJ25")&amp;INDIRECT("'"&amp;$V25&amp;"'!F30:AJ30"),0))</f>
        <v>0.11000003331611277</v>
      </c>
      <c r="AB25" s="219">
        <f ca="1">SUM(W25:AA25)</f>
        <v>1.0000003028737532</v>
      </c>
    </row>
    <row r="26" spans="2:47" s="40" customFormat="1" ht="15" customHeight="1" x14ac:dyDescent="0.25">
      <c r="B26" s="290" t="s">
        <v>0</v>
      </c>
      <c r="C26" s="291" t="s">
        <v>83</v>
      </c>
      <c r="D26" s="434" cm="1">
        <f t="array" aca="1" ref="D26" ca="1">INDEX(INDIRECT("'"&amp;$B26&amp;"'!$B$6:$F$16"),MATCH("DMO "&amp;FY&amp;" price ($ pa, inc GST)",INDIRECT("'"&amp;$B26&amp;"'!$B$6:$B$16"),0),MATCH(D$6&amp;D$7,INDIRECT("'"&amp;$B26&amp;"'!$B$6:$E$6")&amp;INDIRECT("'"&amp;$B26&amp;"'!$B$7:$E$7"),0))</f>
        <v>2143</v>
      </c>
      <c r="E26" s="434"/>
      <c r="F26" s="434" cm="1">
        <f t="array" aca="1" ref="F26" ca="1">INDEX(INDIRECT("'"&amp;$B26&amp;"'!$B$6:$F$16"),MATCH("DMO "&amp;FY&amp;" price ($ pa, inc GST)",INDIRECT("'"&amp;$B26&amp;"'!$B$6:$B$16"),0),MATCH(F$6&amp;F$7,INDIRECT("'"&amp;$B26&amp;"'!$B$6:$E$6")&amp;INDIRECT("'"&amp;$B26&amp;"'!$B$7:$E$7"),0))</f>
        <v>2425</v>
      </c>
      <c r="G26" s="434"/>
      <c r="H26" s="435" cm="1">
        <f t="array" aca="1" ref="H26" ca="1">INDEX(INDIRECT("'"&amp;$B26&amp;"'!$B$6:$F$16"),MATCH("DMO "&amp;FY&amp;" price ($ pa, inc GST)",INDIRECT("'"&amp;$B26&amp;"'!$B$6:$B$16"),0),MATCH(H$6&amp;H$7,INDIRECT("'"&amp;$B26&amp;"'!$B$6:$E$6")&amp;INDIRECT("'"&amp;$B26&amp;"'!$B$7:$E$7"),0))</f>
        <v>4294</v>
      </c>
      <c r="I26" s="436"/>
      <c r="J26" s="319"/>
      <c r="K26" s="319"/>
      <c r="L26" s="319"/>
      <c r="M26" s="92"/>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row>
    <row r="27" spans="2:47" ht="15" customHeight="1" x14ac:dyDescent="0.25">
      <c r="B27" s="67" t="s">
        <v>0</v>
      </c>
      <c r="C27" s="444" t="s">
        <v>145</v>
      </c>
      <c r="D27" s="432" t="str" cm="1">
        <f t="array" aca="1" ref="D27" ca="1">INDEX(INDIRECT("'"&amp;$B26&amp;"'!$B$6:$F$16"),MATCH("Annual usage (kWh)",INDIRECT("'"&amp;$B26&amp;"'!$B$6:$B$16"),0),MATCH(D$6&amp;D$7,INDIRECT("'"&amp;$B26&amp;"'!$B$6:$E$6")&amp;INDIRECT("'"&amp;$B26&amp;"'!$B$7:$E$7"),0))&amp;" kWh"</f>
        <v>4600 kWh</v>
      </c>
      <c r="E27" s="446"/>
      <c r="F27" s="448" t="str" cm="1">
        <f t="array" aca="1" ref="F27" ca="1">"Flat rate "&amp;INDEX(INDIRECT("'"&amp;$B26&amp;"'!$B$6:$F$15"),MATCH("Flat rate usage (kWh)",INDIRECT("'"&amp;$B26&amp;"'!$B$6:$B$15"),0),MATCH(F$6&amp;F$7,INDIRECT("'"&amp;$B26&amp;"'!$B$6:$E$6")&amp;INDIRECT("'"&amp;$B26&amp;"'!$B$7:$E$7"),0))&amp;" kWh"</f>
        <v>Flat rate 4400 kWh</v>
      </c>
      <c r="G27" s="449"/>
      <c r="H27" s="432" t="str" cm="1">
        <f t="array" aca="1" ref="H27" ca="1">INDEX(INDIRECT("'"&amp;$B26&amp;"'!$B$6:$F$16"),MATCH("Annual usage (kWh)",INDIRECT("'"&amp;$B26&amp;"'!$B$6:$B$16"),0),MATCH(H$6&amp;H$7,INDIRECT("'"&amp;$B26&amp;"'!$B$6:$E$6")&amp;INDIRECT("'"&amp;$B26&amp;"'!$B$7:$E$7"),0))&amp;" kWh"</f>
        <v>10000 kWh</v>
      </c>
      <c r="I27" s="433"/>
      <c r="J27" s="319"/>
      <c r="K27" s="319"/>
      <c r="L27" s="319"/>
      <c r="M27" s="319"/>
      <c r="N27" s="424"/>
      <c r="O27" s="424"/>
      <c r="P27" s="424"/>
      <c r="Q27" s="424"/>
      <c r="R27" s="424"/>
      <c r="S27" s="424"/>
      <c r="T27" s="319"/>
      <c r="U27" s="319"/>
      <c r="V27" s="319"/>
      <c r="W27" s="424"/>
      <c r="X27" s="424"/>
      <c r="Y27" s="424"/>
      <c r="Z27" s="424"/>
      <c r="AA27" s="424"/>
      <c r="AB27" s="319"/>
      <c r="AC27" s="319"/>
      <c r="AD27" s="319"/>
      <c r="AE27" s="319"/>
      <c r="AF27" s="319"/>
      <c r="AG27" s="319"/>
      <c r="AH27" s="319"/>
      <c r="AI27" s="319"/>
      <c r="AJ27" s="319"/>
      <c r="AK27" s="319"/>
      <c r="AL27" s="319"/>
      <c r="AM27" s="319"/>
      <c r="AN27" s="319"/>
      <c r="AO27" s="319"/>
      <c r="AP27" s="319"/>
      <c r="AQ27" s="319"/>
      <c r="AS27" s="40"/>
      <c r="AT27" s="40"/>
    </row>
    <row r="28" spans="2:47" ht="15" customHeight="1" x14ac:dyDescent="0.25">
      <c r="B28" s="67"/>
      <c r="C28" s="445"/>
      <c r="D28" s="298"/>
      <c r="E28" s="299"/>
      <c r="F28" s="448" t="str">
        <f t="array" aca="1" ref="F28" ca="1">"+ CL "&amp;INDEX(INDIRECT("'"&amp;$B26&amp;"'!$B$6:$F$15"),MATCH("Controlled load usage (kWh)",INDIRECT("'"&amp;$B26&amp;"'!$B$6:$B$15"),0),MATCH(F$6&amp;F$7,INDIRECT("'"&amp;$B26&amp;"'!$B$6:$E$6")&amp;INDIRECT("'"&amp;$B26&amp;"'!$B$7:$E$7"),0))&amp;" kWh"</f>
        <v>+ CL 1900 kWh</v>
      </c>
      <c r="G28" s="449"/>
      <c r="H28" s="298"/>
      <c r="I28" s="300"/>
      <c r="J28" s="319"/>
      <c r="K28" s="319"/>
      <c r="L28" s="319"/>
      <c r="M28" s="319"/>
      <c r="N28" s="424"/>
      <c r="O28" s="424"/>
      <c r="P28" s="424"/>
      <c r="Q28" s="424"/>
      <c r="R28" s="424"/>
      <c r="S28" s="424"/>
      <c r="T28" s="319"/>
      <c r="U28" s="319"/>
      <c r="V28" s="319"/>
      <c r="W28" s="424"/>
      <c r="X28" s="424"/>
      <c r="Y28" s="424"/>
      <c r="Z28" s="424"/>
      <c r="AA28" s="424"/>
      <c r="AB28" s="319"/>
      <c r="AC28" s="319"/>
      <c r="AD28" s="319"/>
      <c r="AE28" s="319"/>
      <c r="AF28" s="319"/>
      <c r="AG28" s="319"/>
      <c r="AH28" s="319"/>
      <c r="AI28" s="319"/>
      <c r="AJ28" s="319"/>
      <c r="AK28" s="319"/>
      <c r="AL28" s="319"/>
      <c r="AM28" s="319"/>
      <c r="AN28" s="319"/>
      <c r="AO28" s="319"/>
      <c r="AP28" s="319"/>
      <c r="AQ28" s="319"/>
      <c r="AS28" s="40"/>
      <c r="AT28" s="40"/>
    </row>
    <row r="29" spans="2:47" ht="15" customHeight="1" x14ac:dyDescent="0.25">
      <c r="B29" s="67"/>
      <c r="C29" s="180" t="str">
        <f>+C23</f>
        <v>DMO 6 Price</v>
      </c>
      <c r="D29" s="184">
        <f ca="1">+D26-D30</f>
        <v>2066</v>
      </c>
      <c r="E29" s="185"/>
      <c r="F29" s="184">
        <f ca="1">+F26-F30</f>
        <v>2414</v>
      </c>
      <c r="G29" s="186"/>
      <c r="H29" s="184">
        <f ca="1">+H26-H30</f>
        <v>4261</v>
      </c>
      <c r="I29" s="300"/>
      <c r="J29" s="319"/>
      <c r="K29" s="319"/>
      <c r="L29" s="319"/>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S29" s="40"/>
      <c r="AT29" s="40"/>
    </row>
    <row r="30" spans="2:47" ht="15" customHeight="1" x14ac:dyDescent="0.25">
      <c r="B30" s="67"/>
      <c r="C30" s="268" t="s">
        <v>134</v>
      </c>
      <c r="D30" s="269">
        <f t="array" aca="1" ref="D30" ca="1">INDEX(INDIRECT("'"&amp;$B26&amp;"'!$B$6:$F$16"),MATCH("Change from DMO "&amp;PY&amp;" price ($)",INDIRECT("'"&amp;$B26&amp;"'!$B$6:$B$16"),0),MATCH(D$6&amp;D$7,INDIRECT("'"&amp;$B26&amp;"'!$B$6:$E$6")&amp;INDIRECT("'"&amp;$B26&amp;"'!$B$7:$E$7"),0))</f>
        <v>77</v>
      </c>
      <c r="E30" s="270" t="str">
        <f t="array" aca="1" ref="E30" ca="1">"("&amp;ROUND(INDEX(INDIRECT("'"&amp;$B26&amp;"'!$B$6:$F$16"),MATCH("Change from DMO "&amp;PY&amp;" price (%)",INDIRECT("'"&amp;$B26&amp;"'!$B$6:$B$16"),0),MATCH(D$6&amp;D$7,INDIRECT("'"&amp;$B26&amp;"'!$B$6:$E$6")&amp;INDIRECT("'"&amp;$B26&amp;"'!$B$7:$E$7"),0))*100,1)&amp;"%)"</f>
        <v>(3.7%)</v>
      </c>
      <c r="F30" s="269">
        <f t="array" aca="1" ref="F30" ca="1">INDEX(INDIRECT("'"&amp;$B26&amp;"'!$B$6:$F$16"),MATCH("Change from DMO "&amp;PY&amp;" price ($)",INDIRECT("'"&amp;$B26&amp;"'!$B$6:$B$16"),0),MATCH(F$6&amp;F$7,INDIRECT("'"&amp;$B26&amp;"'!$B$6:$E$6")&amp;INDIRECT("'"&amp;$B26&amp;"'!$B$7:$E$7"),0))</f>
        <v>11</v>
      </c>
      <c r="G30" s="308" t="str" cm="1">
        <f t="array" aca="1" ref="G30" ca="1">"("&amp;ROUND(INDEX(INDIRECT("'"&amp;$B26&amp;"'!$B$6:$F$16"),MATCH("Change from DMO "&amp;PY&amp;" price (%)",INDIRECT("'"&amp;$B26&amp;"'!$B$6:$B$16"),0),MATCH(F$6&amp;F$7,INDIRECT("'"&amp;$B26&amp;"'!$B$6:$E$6")&amp;INDIRECT("'"&amp;$B26&amp;"'!$B$7:$E$7"),0))*100,1)&amp;"%)"</f>
        <v>(0.5%)</v>
      </c>
      <c r="H30" s="269">
        <f t="array" aca="1" ref="H30" ca="1">INDEX(INDIRECT("'"&amp;$B26&amp;"'!$B$6:$F$16"),MATCH("Change from DMO "&amp;PY&amp;" price ($)",INDIRECT("'"&amp;$B26&amp;"'!$B$6:$B$16"),0),MATCH(H$6&amp;H$7,INDIRECT("'"&amp;$B26&amp;"'!$B$6:$E$6")&amp;INDIRECT("'"&amp;$B26&amp;"'!$B$7:$E$7"),0))</f>
        <v>33</v>
      </c>
      <c r="I30" s="271" t="str">
        <f t="array" aca="1" ref="I30" ca="1">"("&amp;ROUND(INDEX(INDIRECT("'"&amp;$B26&amp;"'!$B$6:$F$16"),MATCH("Change from DMO "&amp;PY&amp;" price (%)",INDIRECT("'"&amp;$B26&amp;"'!$B$6:$B$16"),0),MATCH(H$6&amp;H$7,INDIRECT("'"&amp;$B26&amp;"'!$B$6:$E$6")&amp;INDIRECT("'"&amp;$B26&amp;"'!$B$7:$E$7"),0))*100,1)&amp;"%)"</f>
        <v>(0.8%)</v>
      </c>
      <c r="J30" s="319"/>
      <c r="K30" s="319"/>
      <c r="L30" s="319"/>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S30" s="40"/>
      <c r="AT30" s="40"/>
    </row>
    <row r="31" spans="2:47" ht="15" customHeight="1" x14ac:dyDescent="0.25">
      <c r="B31" s="67"/>
      <c r="C31" s="241" t="s">
        <v>187</v>
      </c>
      <c r="D31" s="242">
        <f ca="1">+D26-+D29*(1+'Key inputs'!$J$10)</f>
        <v>27.416000000000167</v>
      </c>
      <c r="E31" s="243" t="str">
        <f ca="1">CONCATENATE("(",ROUND(+D31/D29*100,1),"%)")</f>
        <v>(1.3%)</v>
      </c>
      <c r="F31" s="242">
        <f ca="1">+F26-+F29*(1+'Key inputs'!$J$10)</f>
        <v>-46.936000000000149</v>
      </c>
      <c r="G31" s="243" t="str">
        <f ca="1">CONCATENATE("(",ROUND(+F31/F29*100,1),"%)")</f>
        <v>(-1.9%)</v>
      </c>
      <c r="H31" s="242">
        <f ca="1">+H26-+H29*(1+'Key inputs'!$J$10)</f>
        <v>-69.264000000000124</v>
      </c>
      <c r="I31" s="244" t="str">
        <f ca="1">CONCATENATE("(",ROUND(+H31/H29*100,1),"%)")</f>
        <v>(-1.6%)</v>
      </c>
      <c r="J31" s="319"/>
      <c r="K31" s="319"/>
      <c r="L31" s="319"/>
      <c r="M31" s="364"/>
      <c r="N31" s="429"/>
      <c r="O31" s="429"/>
      <c r="P31" s="429"/>
      <c r="Q31" s="429"/>
      <c r="R31" s="429"/>
      <c r="S31" s="429"/>
      <c r="T31" s="364"/>
      <c r="U31" s="364"/>
      <c r="V31" s="364"/>
      <c r="W31" s="429"/>
      <c r="X31" s="429"/>
      <c r="Y31" s="429"/>
      <c r="Z31" s="429"/>
      <c r="AA31" s="429"/>
      <c r="AB31" s="364"/>
      <c r="AC31" s="364"/>
      <c r="AD31" s="364"/>
      <c r="AE31" s="364"/>
      <c r="AF31" s="364"/>
      <c r="AG31" s="364"/>
      <c r="AH31" s="364"/>
      <c r="AI31" s="364"/>
      <c r="AS31" s="40"/>
      <c r="AT31" s="40"/>
    </row>
    <row r="32" spans="2:47" s="40" customFormat="1" ht="15" customHeight="1" x14ac:dyDescent="0.25">
      <c r="B32" s="46" t="s">
        <v>5</v>
      </c>
      <c r="C32" s="289" t="s">
        <v>83</v>
      </c>
      <c r="D32" s="442">
        <f t="array" aca="1" ref="D32" ca="1">INDEX(INDIRECT("'"&amp;$B32&amp;"'!$B$6:$F$16"),MATCH("DMO "&amp;FY&amp;" price ($ pa, inc GST)",INDIRECT("'"&amp;$B32&amp;"'!$B$6:$B$16"),0),MATCH(D$6&amp;D$7,INDIRECT("'"&amp;$B32&amp;"'!$B$6:$E$6")&amp;INDIRECT("'"&amp;$B32&amp;"'!$B$7:$E$7"),0))</f>
        <v>2301</v>
      </c>
      <c r="E32" s="442"/>
      <c r="F32" s="442">
        <f t="array" aca="1" ref="F32" ca="1">INDEX(INDIRECT("'"&amp;$B32&amp;"'!$B$6:$F$16"),MATCH("DMO "&amp;FY&amp;" price ($ pa, inc GST)",INDIRECT("'"&amp;$B32&amp;"'!$B$6:$B$16"),0),MATCH(F$6&amp;F$7,INDIRECT("'"&amp;$B32&amp;"'!$B$6:$E$6")&amp;INDIRECT("'"&amp;$B32&amp;"'!$B$7:$E$7"),0))</f>
        <v>2824</v>
      </c>
      <c r="G32" s="442"/>
      <c r="H32" s="442">
        <f t="array" aca="1" ref="H32" ca="1">INDEX(INDIRECT("'"&amp;$B32&amp;"'!$B$6:$F$16"),MATCH("DMO "&amp;FY&amp;" price ($ pa, inc GST)",INDIRECT("'"&amp;$B32&amp;"'!$B$6:$B$16"),0),MATCH(H$6&amp;H$7,INDIRECT("'"&amp;$B32&amp;"'!$B$6:$E$6")&amp;INDIRECT("'"&amp;$B32&amp;"'!$B$7:$E$7"),0))</f>
        <v>5541</v>
      </c>
      <c r="I32" s="455"/>
      <c r="J32" s="319"/>
      <c r="K32" s="319"/>
      <c r="L32" s="319"/>
      <c r="M32" s="364"/>
      <c r="N32" s="429"/>
      <c r="O32" s="429"/>
      <c r="P32" s="429"/>
      <c r="Q32" s="429"/>
      <c r="R32" s="429"/>
      <c r="S32" s="429"/>
      <c r="T32" s="364"/>
      <c r="U32" s="364"/>
      <c r="V32" s="364"/>
      <c r="W32" s="429"/>
      <c r="X32" s="429"/>
      <c r="Y32" s="429"/>
      <c r="Z32" s="429"/>
      <c r="AA32" s="429"/>
      <c r="AB32" s="364"/>
      <c r="AC32" s="364"/>
      <c r="AD32" s="364"/>
      <c r="AE32" s="364"/>
      <c r="AF32" s="364"/>
      <c r="AG32" s="364"/>
      <c r="AH32" s="364"/>
      <c r="AI32" s="364"/>
      <c r="AU32" s="3"/>
    </row>
    <row r="33" spans="2:46" ht="15" customHeight="1" x14ac:dyDescent="0.25">
      <c r="B33" s="65"/>
      <c r="C33" s="443" t="s">
        <v>145</v>
      </c>
      <c r="D33" s="453" t="str">
        <f t="array" aca="1" ref="D33" ca="1">INDEX(INDIRECT("'"&amp;$B32&amp;"'!$B$6:$F$16"),MATCH("Annual usage (kWh)",INDIRECT("'"&amp;$B32&amp;"'!$B$6:$B$16"),0),MATCH(D$6&amp;D$7,INDIRECT("'"&amp;$B32&amp;"'!$B$6:$E$6")&amp;INDIRECT("'"&amp;$B32&amp;"'!$B$7:$E$7"),0))&amp;" kWh"</f>
        <v>4000 kWh</v>
      </c>
      <c r="E33" s="457"/>
      <c r="F33" s="450" t="str">
        <f t="array" aca="1" ref="F33" ca="1">"Flat rate "&amp;INDEX(INDIRECT("'"&amp;$B32&amp;"'!$B$6:$F$15"),MATCH("Flat rate usage (kWh)",INDIRECT("'"&amp;$B32&amp;"'!$B$6:$B$15"),0),MATCH(F$6&amp;F$7,INDIRECT("'"&amp;$B32&amp;"'!$B$6:$E$6")&amp;INDIRECT("'"&amp;$B32&amp;"'!$B$7:$E$7"),0))&amp;" kWh"</f>
        <v>Flat rate 4200 kWh</v>
      </c>
      <c r="G33" s="451"/>
      <c r="H33" s="453" t="str">
        <f t="array" aca="1" ref="H33" ca="1">INDEX(INDIRECT("'"&amp;$B32&amp;"'!$B$6:$F$16"),MATCH("Annual usage (kWh)",INDIRECT("'"&amp;$B32&amp;"'!$B$6:$B$16"),0),MATCH(H$6&amp;H$7,INDIRECT("'"&amp;$B32&amp;"'!$B$6:$E$6")&amp;INDIRECT("'"&amp;$B32&amp;"'!$B$7:$E$7"),0))&amp;" kWh"</f>
        <v>10000 kWh</v>
      </c>
      <c r="I33" s="454"/>
      <c r="J33" s="319"/>
      <c r="K33" s="319"/>
      <c r="L33" s="319"/>
      <c r="M33" s="364"/>
      <c r="N33" s="429"/>
      <c r="O33" s="429"/>
      <c r="P33" s="429"/>
      <c r="Q33" s="429"/>
      <c r="R33" s="429"/>
      <c r="S33" s="364"/>
      <c r="T33" s="364"/>
      <c r="U33" s="364"/>
      <c r="V33" s="364"/>
      <c r="W33" s="429"/>
      <c r="X33" s="429"/>
      <c r="Y33" s="429"/>
      <c r="Z33" s="429"/>
      <c r="AA33" s="429"/>
      <c r="AB33" s="364"/>
      <c r="AC33" s="364"/>
      <c r="AD33" s="364"/>
      <c r="AE33" s="364"/>
      <c r="AF33" s="364"/>
      <c r="AG33" s="364"/>
      <c r="AH33" s="364"/>
      <c r="AI33" s="364"/>
      <c r="AS33" s="40"/>
      <c r="AT33" s="40"/>
    </row>
    <row r="34" spans="2:46" ht="15" customHeight="1" x14ac:dyDescent="0.25">
      <c r="B34" s="65"/>
      <c r="C34" s="445"/>
      <c r="D34" s="295"/>
      <c r="E34" s="297"/>
      <c r="F34" s="450" t="str">
        <f t="array" aca="1" ref="F34" ca="1">"+ CL "&amp;INDEX(INDIRECT("'"&amp;$B32&amp;"'!$B$6:$F$15"),MATCH("Controlled load usage (kWh)",INDIRECT("'"&amp;$B32&amp;"'!$B$6:$B$15"),0),MATCH(F$6&amp;F$7,INDIRECT("'"&amp;$B32&amp;"'!$B$6:$E$6")&amp;INDIRECT("'"&amp;$B32&amp;"'!$B$7:$E$7"),0))&amp;" kWh"</f>
        <v>+ CL 1800 kWh</v>
      </c>
      <c r="G34" s="451"/>
      <c r="H34" s="295"/>
      <c r="I34" s="296"/>
      <c r="J34" s="319"/>
      <c r="K34" s="319"/>
      <c r="L34" s="319"/>
      <c r="M34" s="364"/>
      <c r="N34" s="429"/>
      <c r="O34" s="429"/>
      <c r="P34" s="429"/>
      <c r="Q34" s="429"/>
      <c r="R34" s="429"/>
      <c r="S34" s="364"/>
      <c r="T34" s="364"/>
      <c r="U34" s="364"/>
      <c r="V34" s="364"/>
      <c r="W34" s="429"/>
      <c r="X34" s="429"/>
      <c r="Y34" s="429"/>
      <c r="Z34" s="429"/>
      <c r="AA34" s="429"/>
      <c r="AB34" s="364"/>
      <c r="AC34" s="364"/>
      <c r="AD34" s="364"/>
      <c r="AE34" s="364"/>
      <c r="AF34" s="364"/>
      <c r="AG34" s="364"/>
      <c r="AH34" s="364"/>
      <c r="AI34" s="364"/>
      <c r="AS34" s="40"/>
      <c r="AT34" s="40"/>
    </row>
    <row r="35" spans="2:46" ht="15" customHeight="1" x14ac:dyDescent="0.25">
      <c r="B35" s="65"/>
      <c r="C35" s="177" t="str">
        <f>+C29</f>
        <v>DMO 6 Price</v>
      </c>
      <c r="D35" s="303">
        <f ca="1">+D32-D36</f>
        <v>2230</v>
      </c>
      <c r="E35" s="304"/>
      <c r="F35" s="303">
        <f ca="1">+F32-F36</f>
        <v>2760</v>
      </c>
      <c r="G35" s="305"/>
      <c r="H35" s="303">
        <f ca="1">+H32-H36</f>
        <v>5352</v>
      </c>
      <c r="I35" s="296"/>
      <c r="J35" s="319"/>
      <c r="K35" s="319"/>
      <c r="L35" s="319"/>
      <c r="M35" s="364"/>
      <c r="N35" s="429"/>
      <c r="O35" s="429"/>
      <c r="P35" s="429"/>
      <c r="Q35" s="429"/>
      <c r="R35" s="429"/>
      <c r="S35" s="364"/>
      <c r="T35" s="364"/>
      <c r="U35" s="364"/>
      <c r="V35" s="364"/>
      <c r="W35" s="429"/>
      <c r="X35" s="429"/>
      <c r="Y35" s="429"/>
      <c r="Z35" s="429"/>
      <c r="AA35" s="429"/>
      <c r="AB35" s="364"/>
      <c r="AC35" s="364"/>
      <c r="AD35" s="364"/>
      <c r="AE35" s="364"/>
      <c r="AF35" s="364"/>
      <c r="AG35" s="364"/>
      <c r="AH35" s="364"/>
      <c r="AI35" s="364"/>
      <c r="AS35" s="40"/>
      <c r="AT35" s="40"/>
    </row>
    <row r="36" spans="2:46" ht="15" customHeight="1" x14ac:dyDescent="0.25">
      <c r="B36" s="65"/>
      <c r="C36" s="264" t="s">
        <v>134</v>
      </c>
      <c r="D36" s="265">
        <f t="array" aca="1" ref="D36" ca="1">INDEX(INDIRECT("'"&amp;$B32&amp;"'!$B$6:$F$16"),MATCH("Change from DMO "&amp;PY&amp;" price ($)",INDIRECT("'"&amp;$B32&amp;"'!$B$6:$B$16"),0),MATCH(D$6&amp;D$7,INDIRECT("'"&amp;$B32&amp;"'!$B$6:$E$6")&amp;INDIRECT("'"&amp;$B32&amp;"'!$B$7:$E$7"),0))</f>
        <v>71</v>
      </c>
      <c r="E36" s="266" t="str">
        <f t="array" aca="1" ref="E36" ca="1">"("&amp;ROUND(INDEX(INDIRECT("'"&amp;$B32&amp;"'!$B$6:$F$16"),MATCH("Change from DMO "&amp;PY&amp;" price (%)",INDIRECT("'"&amp;$B32&amp;"'!$B$6:$B$16"),0),MATCH(D$6&amp;D$7,INDIRECT("'"&amp;$B32&amp;"'!$B$6:$E$6")&amp;INDIRECT("'"&amp;$B32&amp;"'!$B$7:$E$7"),0))*100,1)&amp;"%)"</f>
        <v>(3.2%)</v>
      </c>
      <c r="F36" s="265">
        <f t="array" aca="1" ref="F36" ca="1">INDEX(INDIRECT("'"&amp;$B32&amp;"'!$B$6:$F$16"),MATCH("Change from DMO "&amp;PY&amp;" price ($)",INDIRECT("'"&amp;$B32&amp;"'!$B$6:$B$16"),0),MATCH(F$6&amp;F$7,INDIRECT("'"&amp;$B32&amp;"'!$B$6:$E$6")&amp;INDIRECT("'"&amp;$B32&amp;"'!$B$7:$E$7"),0))</f>
        <v>64</v>
      </c>
      <c r="G36" s="294" t="str">
        <f t="array" aca="1" ref="G36" ca="1">"("&amp;ROUND(INDEX(INDIRECT("'"&amp;$B32&amp;"'!$B$6:$F$16"),MATCH("Change from DMO "&amp;PY&amp;" price (%)",INDIRECT("'"&amp;$B32&amp;"'!$B$6:$B$16"),0),MATCH(F$6&amp;F$7,INDIRECT("'"&amp;$B32&amp;"'!$B$6:$E$6")&amp;INDIRECT("'"&amp;$B32&amp;"'!$B$7:$E$7"),0))*100,1)&amp;"%)"</f>
        <v>(2.3%)</v>
      </c>
      <c r="H36" s="265">
        <f t="array" aca="1" ref="H36" ca="1">INDEX(INDIRECT("'"&amp;$B32&amp;"'!$B$6:$F$16"),MATCH("Change from DMO "&amp;PY&amp;" price ($)",INDIRECT("'"&amp;$B32&amp;"'!$B$6:$B$16"),0),MATCH(H$6&amp;H$7,INDIRECT("'"&amp;$B32&amp;"'!$B$6:$E$6")&amp;INDIRECT("'"&amp;$B32&amp;"'!$B$7:$E$7"),0))</f>
        <v>189</v>
      </c>
      <c r="I36" s="272" t="str">
        <f t="array" aca="1" ref="I36" ca="1">"("&amp;ROUND(INDEX(INDIRECT("'"&amp;$B32&amp;"'!$B$6:$F$16"),MATCH("Change from DMO "&amp;PY&amp;" price (%)",INDIRECT("'"&amp;$B32&amp;"'!$B$6:$B$16"),0),MATCH(H$6&amp;H$7,INDIRECT("'"&amp;$B32&amp;"'!$B$6:$E$6")&amp;INDIRECT("'"&amp;$B32&amp;"'!$B$7:$E$7"),0))*100,1)&amp;"%)"</f>
        <v>(3.5%)</v>
      </c>
      <c r="J36" s="319"/>
      <c r="K36" s="319"/>
      <c r="L36" s="319"/>
      <c r="M36" s="364"/>
      <c r="N36" s="429"/>
      <c r="O36" s="429"/>
      <c r="P36" s="429"/>
      <c r="Q36" s="429"/>
      <c r="R36" s="429"/>
      <c r="S36" s="364"/>
      <c r="T36" s="364"/>
      <c r="U36" s="364"/>
      <c r="V36" s="364"/>
      <c r="W36" s="429"/>
      <c r="X36" s="429"/>
      <c r="Y36" s="429"/>
      <c r="Z36" s="429"/>
      <c r="AA36" s="429"/>
      <c r="AB36" s="364"/>
      <c r="AC36" s="364"/>
      <c r="AD36" s="364"/>
      <c r="AE36" s="364"/>
      <c r="AF36" s="364"/>
      <c r="AG36" s="364"/>
      <c r="AH36" s="364"/>
      <c r="AI36" s="364"/>
      <c r="AS36" s="40"/>
      <c r="AT36" s="40"/>
    </row>
    <row r="37" spans="2:46" ht="15" customHeight="1" thickBot="1" x14ac:dyDescent="0.3">
      <c r="B37" s="181"/>
      <c r="C37" s="273" t="s">
        <v>187</v>
      </c>
      <c r="D37" s="301">
        <f ca="1">+D32-+D35*(1+'Key inputs'!$J10)</f>
        <v>17.480000000000018</v>
      </c>
      <c r="E37" s="293" t="str">
        <f ca="1">CONCATENATE("(",ROUND(+D37/D35*100,1),"%)")</f>
        <v>(0.8%)</v>
      </c>
      <c r="F37" s="301">
        <f ca="1">+F32-+F35*(1+'Key inputs'!$J10)</f>
        <v>-2.2400000000002365</v>
      </c>
      <c r="G37" s="293" t="str">
        <f ca="1">CONCATENATE("(",ROUND(+F37/F35*100,1),"%)")</f>
        <v>(-0.1%)</v>
      </c>
      <c r="H37" s="301">
        <f ca="1">+H32-+H35*(1+'Key inputs'!$J10)</f>
        <v>60.55199999999968</v>
      </c>
      <c r="I37" s="255" t="str">
        <f ca="1">CONCATENATE("(",ROUND(+H37/H35*100,1),"%)")</f>
        <v>(1.1%)</v>
      </c>
      <c r="J37" s="319"/>
      <c r="K37" s="319"/>
      <c r="L37" s="319"/>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S37" s="40"/>
      <c r="AT37" s="40"/>
    </row>
    <row r="38" spans="2:46" ht="15" customHeight="1" x14ac:dyDescent="0.25">
      <c r="B38" s="319"/>
      <c r="C38" s="319"/>
      <c r="D38" s="319"/>
      <c r="E38" s="319"/>
      <c r="F38" s="319"/>
      <c r="G38" s="319"/>
      <c r="H38" s="319"/>
      <c r="I38" s="319"/>
      <c r="J38" s="319"/>
      <c r="K38" s="319"/>
      <c r="L38" s="319"/>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row>
    <row r="39" spans="2:46" s="55" customFormat="1" ht="15" customHeight="1" x14ac:dyDescent="0.25">
      <c r="B39" s="363"/>
      <c r="J39" s="319"/>
      <c r="K39" s="319"/>
      <c r="L39" s="319"/>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row>
    <row r="40" spans="2:46" s="391" customFormat="1" ht="15.75" x14ac:dyDescent="0.25">
      <c r="B40" s="387"/>
      <c r="C40" s="388"/>
      <c r="D40" s="389"/>
      <c r="E40" s="389"/>
      <c r="F40" s="389"/>
      <c r="G40" s="389"/>
      <c r="H40" s="389"/>
      <c r="I40" s="389"/>
      <c r="J40" s="390"/>
      <c r="K40" s="390"/>
      <c r="L40" s="390"/>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row>
    <row r="41" spans="2:46" s="391" customFormat="1" ht="15.75" x14ac:dyDescent="0.25">
      <c r="B41" s="387"/>
      <c r="C41" s="388"/>
      <c r="D41" s="392"/>
      <c r="E41" s="392"/>
      <c r="F41" s="392"/>
      <c r="G41" s="392"/>
      <c r="H41" s="392"/>
      <c r="I41" s="392"/>
      <c r="J41" s="390"/>
      <c r="K41" s="390"/>
      <c r="L41" s="390"/>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row>
    <row r="42" spans="2:46" s="391" customFormat="1" ht="15.75" x14ac:dyDescent="0.25">
      <c r="B42" s="393"/>
      <c r="C42" s="393"/>
      <c r="D42" s="384"/>
      <c r="E42" s="384"/>
      <c r="F42" s="384"/>
      <c r="G42" s="384"/>
      <c r="H42" s="384"/>
      <c r="I42" s="384"/>
      <c r="J42" s="394"/>
      <c r="K42" s="394"/>
      <c r="L42" s="39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row>
    <row r="43" spans="2:46" s="391" customFormat="1" ht="14.45" customHeight="1" x14ac:dyDescent="0.25">
      <c r="B43" s="395"/>
      <c r="C43" s="396"/>
      <c r="D43" s="385"/>
      <c r="E43" s="385"/>
      <c r="F43" s="397"/>
      <c r="G43" s="397"/>
      <c r="H43" s="385"/>
      <c r="I43" s="385"/>
      <c r="J43" s="398"/>
      <c r="K43" s="398"/>
      <c r="L43" s="398"/>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row>
    <row r="44" spans="2:46" s="391" customFormat="1" ht="16.5" customHeight="1" x14ac:dyDescent="0.25">
      <c r="B44" s="395"/>
      <c r="C44" s="396"/>
      <c r="D44" s="383"/>
      <c r="E44" s="383"/>
      <c r="F44" s="397"/>
      <c r="G44" s="397"/>
      <c r="H44" s="383"/>
      <c r="I44" s="383"/>
      <c r="J44" s="394"/>
      <c r="K44" s="394"/>
      <c r="L44" s="39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row>
    <row r="45" spans="2:46" s="391" customFormat="1" x14ac:dyDescent="0.25">
      <c r="B45" s="395"/>
      <c r="C45" s="399"/>
      <c r="D45" s="400"/>
      <c r="E45" s="401"/>
      <c r="F45" s="400"/>
      <c r="G45" s="402"/>
      <c r="H45" s="400"/>
      <c r="I45" s="383"/>
      <c r="J45" s="394"/>
      <c r="K45" s="394"/>
      <c r="L45" s="39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row>
    <row r="46" spans="2:46" s="391" customFormat="1" x14ac:dyDescent="0.25">
      <c r="B46" s="395"/>
      <c r="C46" s="403"/>
      <c r="D46" s="404"/>
      <c r="E46" s="271"/>
      <c r="F46" s="404"/>
      <c r="G46" s="271"/>
      <c r="H46" s="404"/>
      <c r="I46" s="271"/>
      <c r="J46" s="394"/>
      <c r="K46" s="394"/>
      <c r="L46" s="39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row>
    <row r="47" spans="2:46" s="391" customFormat="1" x14ac:dyDescent="0.25">
      <c r="B47" s="395"/>
      <c r="C47" s="405"/>
      <c r="D47" s="406"/>
      <c r="E47" s="244"/>
      <c r="F47" s="406"/>
      <c r="G47" s="244"/>
      <c r="H47" s="406"/>
      <c r="I47" s="244"/>
      <c r="J47" s="394"/>
      <c r="K47" s="394"/>
      <c r="L47" s="39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row>
    <row r="48" spans="2:46" s="391" customFormat="1" ht="15.75" x14ac:dyDescent="0.25">
      <c r="B48" s="393"/>
      <c r="C48" s="393"/>
      <c r="D48" s="384"/>
      <c r="E48" s="384"/>
      <c r="F48" s="384"/>
      <c r="G48" s="384"/>
      <c r="H48" s="384"/>
      <c r="I48" s="384"/>
      <c r="J48" s="394"/>
      <c r="K48" s="394"/>
      <c r="L48" s="39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row>
    <row r="49" spans="2:47" s="391" customFormat="1" x14ac:dyDescent="0.25">
      <c r="B49" s="407"/>
      <c r="C49" s="396"/>
      <c r="D49" s="385"/>
      <c r="E49" s="385"/>
      <c r="F49" s="397"/>
      <c r="G49" s="397"/>
      <c r="H49" s="385"/>
      <c r="I49" s="385"/>
      <c r="J49" s="398"/>
      <c r="K49" s="398"/>
      <c r="L49" s="398"/>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row>
    <row r="50" spans="2:47" s="391" customFormat="1" x14ac:dyDescent="0.25">
      <c r="B50" s="407"/>
      <c r="C50" s="396"/>
      <c r="D50" s="383"/>
      <c r="E50" s="383"/>
      <c r="F50" s="397"/>
      <c r="G50" s="397"/>
      <c r="H50" s="383"/>
      <c r="I50" s="383"/>
      <c r="J50" s="394"/>
      <c r="K50" s="394"/>
      <c r="L50" s="39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row>
    <row r="51" spans="2:47" s="364" customFormat="1" x14ac:dyDescent="0.25">
      <c r="B51" s="407"/>
      <c r="C51" s="399"/>
      <c r="D51" s="400"/>
      <c r="E51" s="400"/>
      <c r="F51" s="400"/>
      <c r="G51" s="402"/>
      <c r="H51" s="400"/>
      <c r="I51" s="383"/>
      <c r="J51" s="394"/>
      <c r="K51" s="394"/>
      <c r="L51" s="394"/>
    </row>
    <row r="52" spans="2:47" s="364" customFormat="1" x14ac:dyDescent="0.25">
      <c r="B52" s="407"/>
      <c r="C52" s="403"/>
      <c r="D52" s="404"/>
      <c r="E52" s="271"/>
      <c r="F52" s="404"/>
      <c r="G52" s="271"/>
      <c r="H52" s="404"/>
      <c r="I52" s="271"/>
      <c r="J52" s="394"/>
      <c r="K52" s="394"/>
      <c r="L52" s="394"/>
    </row>
    <row r="53" spans="2:47" s="364" customFormat="1" x14ac:dyDescent="0.25">
      <c r="B53" s="407"/>
      <c r="C53" s="405"/>
      <c r="D53" s="406"/>
      <c r="E53" s="244"/>
      <c r="F53" s="406"/>
      <c r="G53" s="244"/>
      <c r="H53" s="406"/>
      <c r="I53" s="244"/>
      <c r="J53" s="394"/>
      <c r="K53" s="394"/>
      <c r="L53" s="394"/>
    </row>
    <row r="54" spans="2:47" s="364" customFormat="1" ht="15.75" x14ac:dyDescent="0.25">
      <c r="B54" s="393"/>
      <c r="C54" s="393"/>
      <c r="D54" s="384"/>
      <c r="E54" s="384"/>
      <c r="F54" s="384"/>
      <c r="G54" s="384"/>
      <c r="H54" s="384"/>
      <c r="I54" s="384"/>
      <c r="J54" s="394"/>
      <c r="K54" s="394"/>
      <c r="L54" s="394"/>
    </row>
    <row r="55" spans="2:47" s="364" customFormat="1" x14ac:dyDescent="0.25">
      <c r="B55" s="395"/>
      <c r="C55" s="396"/>
      <c r="D55" s="385"/>
      <c r="E55" s="385"/>
      <c r="F55" s="397"/>
      <c r="G55" s="397"/>
      <c r="H55" s="385"/>
      <c r="I55" s="385"/>
      <c r="J55" s="398"/>
      <c r="K55" s="398"/>
      <c r="L55" s="398"/>
    </row>
    <row r="56" spans="2:47" s="364" customFormat="1" x14ac:dyDescent="0.25">
      <c r="B56" s="395"/>
      <c r="C56" s="396"/>
      <c r="D56" s="383"/>
      <c r="E56" s="383"/>
      <c r="F56" s="397"/>
      <c r="G56" s="397"/>
      <c r="H56" s="383"/>
      <c r="I56" s="383"/>
      <c r="J56" s="394"/>
      <c r="K56" s="394"/>
      <c r="L56" s="394"/>
    </row>
    <row r="57" spans="2:47" s="364" customFormat="1" x14ac:dyDescent="0.25">
      <c r="B57" s="395"/>
      <c r="C57" s="399"/>
      <c r="D57" s="400"/>
      <c r="E57" s="401"/>
      <c r="F57" s="400"/>
      <c r="G57" s="402"/>
      <c r="H57" s="400"/>
      <c r="I57" s="383"/>
      <c r="J57" s="394"/>
      <c r="K57" s="394"/>
      <c r="L57" s="394"/>
    </row>
    <row r="58" spans="2:47" s="364" customFormat="1" x14ac:dyDescent="0.25">
      <c r="B58" s="395"/>
      <c r="C58" s="403"/>
      <c r="D58" s="404"/>
      <c r="E58" s="271"/>
      <c r="F58" s="404"/>
      <c r="G58" s="271"/>
      <c r="H58" s="404"/>
      <c r="I58" s="271"/>
      <c r="J58" s="394"/>
      <c r="K58" s="394"/>
      <c r="L58" s="394"/>
    </row>
    <row r="59" spans="2:47" s="364" customFormat="1" x14ac:dyDescent="0.25">
      <c r="B59" s="395"/>
      <c r="C59" s="405"/>
      <c r="D59" s="406"/>
      <c r="E59" s="244"/>
      <c r="F59" s="406"/>
      <c r="G59" s="244"/>
      <c r="H59" s="406"/>
      <c r="I59" s="244"/>
      <c r="J59" s="394"/>
      <c r="K59" s="394"/>
      <c r="L59" s="394"/>
    </row>
    <row r="60" spans="2:47" s="364" customFormat="1" ht="15.75" x14ac:dyDescent="0.25">
      <c r="B60" s="393"/>
      <c r="C60" s="393"/>
      <c r="D60" s="384"/>
      <c r="E60" s="384"/>
      <c r="F60" s="384"/>
      <c r="G60" s="384"/>
      <c r="H60" s="384"/>
      <c r="I60" s="384"/>
      <c r="J60" s="394"/>
      <c r="K60" s="394"/>
      <c r="L60" s="394"/>
    </row>
    <row r="61" spans="2:47" s="364" customFormat="1" x14ac:dyDescent="0.25">
      <c r="B61" s="407"/>
      <c r="C61" s="396"/>
      <c r="D61" s="385"/>
      <c r="E61" s="385"/>
      <c r="F61" s="397"/>
      <c r="G61" s="397"/>
      <c r="H61" s="385"/>
      <c r="I61" s="385"/>
      <c r="J61" s="398"/>
      <c r="K61" s="398"/>
      <c r="L61" s="398"/>
    </row>
    <row r="62" spans="2:47" s="364" customFormat="1" x14ac:dyDescent="0.25">
      <c r="B62" s="407"/>
      <c r="C62" s="396"/>
      <c r="D62" s="383"/>
      <c r="E62" s="383"/>
      <c r="F62" s="397"/>
      <c r="G62" s="397"/>
      <c r="H62" s="383"/>
      <c r="I62" s="383"/>
      <c r="J62" s="394"/>
      <c r="K62" s="394"/>
      <c r="L62" s="394"/>
      <c r="AJ62" s="391"/>
      <c r="AK62" s="391"/>
      <c r="AL62" s="391"/>
      <c r="AM62" s="391"/>
      <c r="AN62" s="391"/>
      <c r="AO62" s="391"/>
      <c r="AP62" s="391"/>
      <c r="AQ62" s="391"/>
      <c r="AR62" s="391"/>
      <c r="AS62" s="391"/>
      <c r="AT62" s="391"/>
      <c r="AU62" s="391"/>
    </row>
    <row r="63" spans="2:47" s="364" customFormat="1" ht="15" customHeight="1" x14ac:dyDescent="0.25">
      <c r="B63" s="407"/>
      <c r="C63" s="399"/>
      <c r="D63" s="400"/>
      <c r="E63" s="400"/>
      <c r="F63" s="400"/>
      <c r="G63" s="402"/>
      <c r="H63" s="400"/>
      <c r="I63" s="383"/>
      <c r="J63" s="394"/>
      <c r="K63" s="394"/>
      <c r="L63" s="394"/>
      <c r="AJ63" s="391"/>
      <c r="AK63" s="391"/>
      <c r="AL63" s="391"/>
      <c r="AM63" s="391"/>
      <c r="AN63" s="391"/>
      <c r="AO63" s="391"/>
      <c r="AP63" s="391"/>
      <c r="AQ63" s="391"/>
      <c r="AR63" s="391"/>
      <c r="AS63" s="391"/>
      <c r="AT63" s="391"/>
      <c r="AU63" s="391"/>
    </row>
    <row r="64" spans="2:47" s="364" customFormat="1" ht="15" customHeight="1" x14ac:dyDescent="0.25">
      <c r="B64" s="407"/>
      <c r="C64" s="403"/>
      <c r="D64" s="404"/>
      <c r="E64" s="271"/>
      <c r="F64" s="404"/>
      <c r="G64" s="408"/>
      <c r="H64" s="404"/>
      <c r="I64" s="271"/>
      <c r="J64" s="394"/>
      <c r="K64" s="394"/>
      <c r="L64" s="394"/>
      <c r="AJ64" s="391"/>
      <c r="AK64" s="391"/>
      <c r="AL64" s="391"/>
      <c r="AM64" s="391"/>
      <c r="AN64" s="391"/>
      <c r="AO64" s="391"/>
      <c r="AP64" s="391"/>
      <c r="AQ64" s="391"/>
      <c r="AR64" s="391"/>
      <c r="AS64" s="391"/>
      <c r="AT64" s="391"/>
      <c r="AU64" s="391"/>
    </row>
    <row r="65" spans="2:47" s="364" customFormat="1" ht="15" customHeight="1" x14ac:dyDescent="0.25">
      <c r="B65" s="407"/>
      <c r="C65" s="405"/>
      <c r="D65" s="406"/>
      <c r="E65" s="244"/>
      <c r="F65" s="406"/>
      <c r="G65" s="244"/>
      <c r="H65" s="406"/>
      <c r="I65" s="244"/>
      <c r="J65" s="394"/>
      <c r="K65" s="394"/>
      <c r="L65" s="394"/>
      <c r="AJ65" s="391"/>
      <c r="AK65" s="391"/>
      <c r="AL65" s="391"/>
      <c r="AM65" s="391"/>
      <c r="AN65" s="391"/>
      <c r="AO65" s="391"/>
      <c r="AP65" s="391"/>
      <c r="AQ65" s="391"/>
      <c r="AR65" s="391"/>
      <c r="AS65" s="391"/>
      <c r="AT65" s="391"/>
      <c r="AU65" s="391"/>
    </row>
    <row r="66" spans="2:47" s="364" customFormat="1" ht="15" customHeight="1" x14ac:dyDescent="0.25">
      <c r="B66" s="393"/>
      <c r="C66" s="393"/>
      <c r="D66" s="384"/>
      <c r="E66" s="384"/>
      <c r="F66" s="384"/>
      <c r="G66" s="384"/>
      <c r="H66" s="384"/>
      <c r="I66" s="384"/>
      <c r="J66" s="394"/>
      <c r="K66" s="394"/>
      <c r="L66" s="394"/>
      <c r="AJ66" s="391"/>
      <c r="AK66" s="391"/>
      <c r="AL66" s="391"/>
      <c r="AM66" s="391"/>
      <c r="AN66" s="391"/>
      <c r="AO66" s="391"/>
      <c r="AP66" s="391"/>
      <c r="AQ66" s="391"/>
      <c r="AR66" s="391"/>
      <c r="AS66" s="391"/>
      <c r="AT66" s="391"/>
      <c r="AU66" s="391"/>
    </row>
    <row r="67" spans="2:47" s="364" customFormat="1" ht="15" customHeight="1" x14ac:dyDescent="0.25">
      <c r="B67" s="395"/>
      <c r="C67" s="396"/>
      <c r="D67" s="385"/>
      <c r="E67" s="385"/>
      <c r="F67" s="397"/>
      <c r="G67" s="397"/>
      <c r="H67" s="385"/>
      <c r="I67" s="385"/>
      <c r="J67" s="398"/>
      <c r="K67" s="398"/>
      <c r="L67" s="398"/>
      <c r="AJ67" s="391"/>
      <c r="AK67" s="391"/>
      <c r="AL67" s="391"/>
      <c r="AM67" s="391"/>
      <c r="AN67" s="391"/>
      <c r="AO67" s="391"/>
      <c r="AP67" s="391"/>
      <c r="AQ67" s="391"/>
      <c r="AR67" s="391"/>
      <c r="AS67" s="391"/>
      <c r="AT67" s="391"/>
      <c r="AU67" s="391"/>
    </row>
    <row r="68" spans="2:47" s="364" customFormat="1" x14ac:dyDescent="0.25">
      <c r="B68" s="395"/>
      <c r="C68" s="396"/>
      <c r="D68" s="383"/>
      <c r="E68" s="383"/>
      <c r="F68" s="397"/>
      <c r="G68" s="397"/>
      <c r="H68" s="383"/>
      <c r="I68" s="383"/>
      <c r="J68" s="394"/>
      <c r="K68" s="394"/>
      <c r="L68" s="394"/>
      <c r="AJ68" s="391"/>
      <c r="AK68" s="391"/>
      <c r="AL68" s="391"/>
      <c r="AM68" s="391"/>
      <c r="AN68" s="391"/>
      <c r="AO68" s="391"/>
      <c r="AP68" s="391"/>
      <c r="AQ68" s="391"/>
      <c r="AR68" s="391"/>
      <c r="AS68" s="391"/>
      <c r="AT68" s="391"/>
      <c r="AU68" s="391"/>
    </row>
    <row r="69" spans="2:47" s="364" customFormat="1" ht="15" customHeight="1" x14ac:dyDescent="0.25">
      <c r="B69" s="395"/>
      <c r="C69" s="399"/>
      <c r="D69" s="400"/>
      <c r="E69" s="400"/>
      <c r="F69" s="400"/>
      <c r="G69" s="402"/>
      <c r="H69" s="400"/>
      <c r="I69" s="383"/>
      <c r="J69" s="394"/>
      <c r="K69" s="394"/>
      <c r="L69" s="394"/>
      <c r="AJ69" s="391"/>
      <c r="AK69" s="391"/>
      <c r="AL69" s="391"/>
      <c r="AM69" s="391"/>
      <c r="AN69" s="391"/>
      <c r="AO69" s="391"/>
      <c r="AP69" s="391"/>
      <c r="AQ69" s="391"/>
      <c r="AR69" s="391"/>
      <c r="AS69" s="391"/>
      <c r="AT69" s="391"/>
      <c r="AU69" s="391"/>
    </row>
    <row r="70" spans="2:47" s="364" customFormat="1" ht="15" customHeight="1" x14ac:dyDescent="0.25">
      <c r="B70" s="395"/>
      <c r="C70" s="403"/>
      <c r="D70" s="404"/>
      <c r="E70" s="271"/>
      <c r="F70" s="404"/>
      <c r="G70" s="386"/>
      <c r="H70" s="404"/>
      <c r="I70" s="386"/>
      <c r="J70" s="394"/>
      <c r="K70" s="394"/>
      <c r="L70" s="394"/>
    </row>
    <row r="71" spans="2:47" s="364" customFormat="1" ht="15" customHeight="1" x14ac:dyDescent="0.25">
      <c r="B71" s="395"/>
      <c r="C71" s="405"/>
      <c r="D71" s="406"/>
      <c r="E71" s="244"/>
      <c r="F71" s="406"/>
      <c r="G71" s="244"/>
      <c r="H71" s="406"/>
      <c r="I71" s="244"/>
      <c r="J71" s="394"/>
      <c r="K71" s="394"/>
      <c r="L71" s="394"/>
    </row>
    <row r="72" spans="2:47" s="364" customFormat="1" x14ac:dyDescent="0.25">
      <c r="J72" s="409"/>
      <c r="K72" s="409"/>
      <c r="L72" s="409"/>
    </row>
  </sheetData>
  <sheetProtection algorithmName="SHA-256" hashValue="6BV1nnS8E2UoADn8gMN8x7UzH/hOjk5fvBGP1ytbqp4=" saltValue="fdVGpDHlcUhcIvGhWNoi4Q==" spinCount="100000" sheet="1" formatCells="0" formatColumns="0" formatRows="0" insertColumns="0" insertRows="0" insertHyperlinks="0" deleteColumns="0" deleteRows="0" sort="0" autoFilter="0" pivotTables="0"/>
  <mergeCells count="62">
    <mergeCell ref="AB6:AB7"/>
    <mergeCell ref="Z6:Z7"/>
    <mergeCell ref="C33:C34"/>
    <mergeCell ref="H33:I33"/>
    <mergeCell ref="D33:E33"/>
    <mergeCell ref="D21:E21"/>
    <mergeCell ref="D32:E32"/>
    <mergeCell ref="D27:E27"/>
    <mergeCell ref="H27:I27"/>
    <mergeCell ref="F27:G27"/>
    <mergeCell ref="F22:G22"/>
    <mergeCell ref="F33:G33"/>
    <mergeCell ref="F34:G34"/>
    <mergeCell ref="H32:I32"/>
    <mergeCell ref="F20:G20"/>
    <mergeCell ref="S6:S7"/>
    <mergeCell ref="H26:I26"/>
    <mergeCell ref="F28:G28"/>
    <mergeCell ref="H8:I8"/>
    <mergeCell ref="H9:I9"/>
    <mergeCell ref="H20:I20"/>
    <mergeCell ref="C21:C22"/>
    <mergeCell ref="C27:C28"/>
    <mergeCell ref="F21:G21"/>
    <mergeCell ref="R6:R7"/>
    <mergeCell ref="AA6:AA7"/>
    <mergeCell ref="V6:V7"/>
    <mergeCell ref="W6:W7"/>
    <mergeCell ref="X6:X7"/>
    <mergeCell ref="Y6:Y7"/>
    <mergeCell ref="Q6:Q7"/>
    <mergeCell ref="O6:O7"/>
    <mergeCell ref="N6:N7"/>
    <mergeCell ref="M6:M7"/>
    <mergeCell ref="P6:P7"/>
    <mergeCell ref="H21:I21"/>
    <mergeCell ref="F26:G26"/>
    <mergeCell ref="F32:G32"/>
    <mergeCell ref="D26:E26"/>
    <mergeCell ref="F6:G6"/>
    <mergeCell ref="F7:G7"/>
    <mergeCell ref="D7:E7"/>
    <mergeCell ref="D20:E20"/>
    <mergeCell ref="F10:G10"/>
    <mergeCell ref="F15:G15"/>
    <mergeCell ref="F9:G9"/>
    <mergeCell ref="A1:B1"/>
    <mergeCell ref="H15:I15"/>
    <mergeCell ref="D14:E14"/>
    <mergeCell ref="F14:G14"/>
    <mergeCell ref="H14:I14"/>
    <mergeCell ref="H6:I6"/>
    <mergeCell ref="H7:I7"/>
    <mergeCell ref="D9:E9"/>
    <mergeCell ref="D8:E8"/>
    <mergeCell ref="F8:G8"/>
    <mergeCell ref="C9:C10"/>
    <mergeCell ref="C15:C16"/>
    <mergeCell ref="D15:E15"/>
    <mergeCell ref="B6:B7"/>
    <mergeCell ref="F16:G16"/>
    <mergeCell ref="D6:E6"/>
  </mergeCells>
  <phoneticPr fontId="53" type="noConversion"/>
  <conditionalFormatting sqref="J42:L71">
    <cfRule type="cellIs" dxfId="364" priority="1" operator="greaterThan">
      <formula>0</formula>
    </cfRule>
    <cfRule type="cellIs" dxfId="363" priority="3" operator="lessThan">
      <formula>0</formula>
    </cfRule>
  </conditionalFormatting>
  <conditionalFormatting sqref="M8:S25">
    <cfRule type="expression" dxfId="362" priority="87">
      <formula>MOD(ROW(),2)=0</formula>
    </cfRule>
  </conditionalFormatting>
  <conditionalFormatting sqref="V8:AB25">
    <cfRule type="expression" dxfId="361" priority="88">
      <formula>MOD(ROW(),2)=0</formula>
    </cfRule>
  </conditionalFormatting>
  <hyperlinks>
    <hyperlink ref="A1" location="Index!A1" display="&lt;&lt;Back to Index" xr:uid="{00000000-0004-0000-0500-000000000000}"/>
  </hyperlinks>
  <pageMargins left="0.7" right="0.7" top="0.75" bottom="0.75" header="0.3" footer="0.3"/>
  <pageSetup paperSize="9" orientation="portrait" r:id="rId1"/>
  <headerFooter>
    <oddHeader>&amp;C&amp;"Calibri"&amp;10&amp;KFF0000 OFFICIAL SENSITIVE&amp;1#_x000D_</oddHeader>
  </headerFooter>
  <ignoredErrors>
    <ignoredError sqref="E12:H12 H32:I33 I27 H20:I21 D33:E33 E27 D32:E32 D21:E21 E26 D20:E20 D18 D24:E24 D30:E30 D36:E36 F9 F30 F24 F18:H18 F20:G20 G26 F32:G32 F15:G15 F33:G33 G27 F21:G21 F19:H19 E19 F31 E37 H37 F25:H25 F13 G13:H13 G36:H36 H24 H30 H31 I2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D2541-7C4F-4C62-AB35-BAFD87145E4D}">
  <sheetPr>
    <tabColor theme="9" tint="-0.249977111117893"/>
  </sheetPr>
  <dimension ref="A1:AS76"/>
  <sheetViews>
    <sheetView zoomScaleNormal="100" workbookViewId="0">
      <selection sqref="A1:B1"/>
    </sheetView>
  </sheetViews>
  <sheetFormatPr defaultColWidth="8.7109375" defaultRowHeight="15" x14ac:dyDescent="0.25"/>
  <cols>
    <col min="1" max="1" width="1.7109375" customWidth="1"/>
    <col min="2" max="2" width="11.42578125" style="63" customWidth="1"/>
    <col min="3" max="3" width="18.5703125" style="63" customWidth="1"/>
    <col min="4" max="5" width="9" style="326" customWidth="1"/>
    <col min="6" max="6" width="10.7109375" style="326" customWidth="1"/>
    <col min="7" max="7" width="7.42578125" style="326" bestFit="1" customWidth="1"/>
    <col min="8" max="8" width="11" style="326" customWidth="1"/>
    <col min="9" max="9" width="8.28515625" style="326" customWidth="1"/>
    <col min="10" max="10" width="6.28515625" style="326" customWidth="1"/>
    <col min="11" max="15" width="6.5703125" style="326" customWidth="1"/>
    <col min="16" max="16" width="1.7109375" customWidth="1"/>
    <col min="17" max="17" width="11.42578125" style="63" customWidth="1"/>
    <col min="18" max="18" width="19" style="63" customWidth="1"/>
    <col min="19" max="23" width="9" style="326" customWidth="1"/>
    <col min="24" max="24" width="7.42578125" style="326" bestFit="1" customWidth="1"/>
    <col min="25" max="25" width="6.7109375" style="326" customWidth="1"/>
    <col min="26" max="30" width="6.5703125" style="326" customWidth="1"/>
    <col min="31" max="31" width="1.7109375" customWidth="1"/>
    <col min="32" max="32" width="11.42578125" style="63" customWidth="1"/>
    <col min="33" max="33" width="17.140625" style="63" bestFit="1" customWidth="1"/>
    <col min="34" max="34" width="8.28515625" style="326" bestFit="1" customWidth="1"/>
    <col min="35" max="35" width="7.42578125" style="326" bestFit="1" customWidth="1"/>
    <col min="36" max="36" width="8.42578125" style="326" customWidth="1"/>
    <col min="37" max="37" width="7.42578125" style="326" customWidth="1"/>
    <col min="38" max="38" width="8.28515625" style="326" bestFit="1" customWidth="1"/>
    <col min="39" max="39" width="7.42578125" style="326" bestFit="1" customWidth="1"/>
    <col min="40" max="40" width="6.7109375" style="326" customWidth="1"/>
    <col min="41" max="41" width="6.5703125" style="326" customWidth="1"/>
    <col min="42" max="45" width="9.140625" style="63" customWidth="1"/>
    <col min="46" max="16384" width="8.7109375" style="63"/>
  </cols>
  <sheetData>
    <row r="1" spans="1:45" x14ac:dyDescent="0.25">
      <c r="A1" s="430" t="s">
        <v>18</v>
      </c>
      <c r="B1" s="431"/>
      <c r="C1" s="126"/>
      <c r="D1" s="3"/>
      <c r="E1" s="3"/>
      <c r="F1" s="3"/>
      <c r="G1" s="3"/>
      <c r="H1" s="3"/>
      <c r="I1" s="3"/>
      <c r="J1" s="3"/>
      <c r="K1" s="3"/>
      <c r="L1" s="3"/>
      <c r="M1" s="3"/>
      <c r="N1" s="3"/>
      <c r="O1" s="3"/>
      <c r="Q1" s="126"/>
      <c r="R1" s="126"/>
      <c r="S1" s="3"/>
      <c r="T1" s="3"/>
      <c r="U1" s="3"/>
      <c r="V1" s="3"/>
      <c r="W1" s="3"/>
      <c r="X1" s="3"/>
      <c r="Y1" s="3"/>
      <c r="Z1" s="3"/>
      <c r="AA1" s="3"/>
      <c r="AB1" s="3"/>
      <c r="AC1" s="3"/>
      <c r="AD1" s="3"/>
      <c r="AF1" s="126"/>
      <c r="AG1" s="126"/>
      <c r="AH1" s="3"/>
      <c r="AI1" s="3"/>
      <c r="AJ1" s="3"/>
      <c r="AK1" s="3"/>
      <c r="AL1" s="3"/>
      <c r="AM1" s="3"/>
      <c r="AN1" s="3"/>
      <c r="AO1" s="3"/>
    </row>
    <row r="2" spans="1:45" ht="18.75" x14ac:dyDescent="0.25">
      <c r="A2" s="15" t="str">
        <f>"DMO "&amp;FY&amp;" "&amp;'Key inputs'!D8&amp;" Determination Prices and Cost Changes"</f>
        <v>DMO 2025-26 Final Determination Prices and Cost Changes</v>
      </c>
      <c r="B2" s="15"/>
      <c r="C2" s="15"/>
      <c r="D2" s="325"/>
      <c r="E2" s="325"/>
      <c r="F2" s="325"/>
      <c r="G2" s="325"/>
      <c r="H2" s="325"/>
      <c r="I2" s="325"/>
      <c r="J2" s="325"/>
      <c r="K2" s="325"/>
      <c r="L2" s="325"/>
      <c r="M2" s="325"/>
      <c r="N2" s="325"/>
      <c r="O2" s="325"/>
      <c r="P2" s="325"/>
      <c r="Q2" s="15"/>
      <c r="R2" s="15"/>
      <c r="S2" s="325"/>
      <c r="T2" s="325"/>
      <c r="U2" s="325"/>
      <c r="V2" s="325"/>
      <c r="W2" s="325"/>
      <c r="X2" s="325"/>
      <c r="Y2" s="325"/>
      <c r="Z2" s="325"/>
      <c r="AA2" s="325"/>
      <c r="AB2" s="325"/>
      <c r="AC2" s="325"/>
      <c r="AD2" s="325"/>
      <c r="AE2" s="325"/>
      <c r="AF2" s="15"/>
      <c r="AG2" s="15"/>
      <c r="AH2" s="325"/>
      <c r="AI2" s="325"/>
      <c r="AJ2" s="325"/>
      <c r="AK2" s="325"/>
      <c r="AL2" s="325"/>
      <c r="AM2" s="325"/>
      <c r="AN2" s="325"/>
      <c r="AO2" s="325"/>
      <c r="AP2" s="325"/>
      <c r="AQ2" s="325"/>
      <c r="AR2" s="325"/>
      <c r="AS2" s="325"/>
    </row>
    <row r="3" spans="1:45" x14ac:dyDescent="0.25">
      <c r="A3" s="361" t="s">
        <v>123</v>
      </c>
      <c r="B3" s="361"/>
      <c r="P3" s="63"/>
      <c r="Q3" s="27"/>
      <c r="AE3" s="63"/>
      <c r="AF3" s="27" t="s">
        <v>234</v>
      </c>
      <c r="AH3" s="326" t="s">
        <v>188</v>
      </c>
    </row>
    <row r="4" spans="1:45" ht="15.75" thickBot="1" x14ac:dyDescent="0.3">
      <c r="A4" s="361"/>
      <c r="B4" s="362" t="s">
        <v>141</v>
      </c>
      <c r="L4" s="423"/>
      <c r="M4" s="423"/>
      <c r="P4" s="63"/>
      <c r="Q4" s="362" t="s">
        <v>232</v>
      </c>
      <c r="AE4" s="63"/>
      <c r="AF4" s="362" t="s">
        <v>233</v>
      </c>
      <c r="AH4" s="326" t="s">
        <v>188</v>
      </c>
    </row>
    <row r="5" spans="1:45" ht="26.1" customHeight="1" x14ac:dyDescent="0.25">
      <c r="A5" s="327"/>
      <c r="B5" s="328" t="s">
        <v>213</v>
      </c>
      <c r="C5" s="414" t="s">
        <v>214</v>
      </c>
      <c r="D5" s="458" t="s">
        <v>241</v>
      </c>
      <c r="E5" s="459"/>
      <c r="F5" s="458" t="s">
        <v>274</v>
      </c>
      <c r="G5" s="459"/>
      <c r="H5" s="458" t="s">
        <v>278</v>
      </c>
      <c r="I5" s="459"/>
      <c r="J5" s="458" t="s">
        <v>275</v>
      </c>
      <c r="K5" s="459"/>
      <c r="L5" s="458" t="s">
        <v>279</v>
      </c>
      <c r="M5" s="459"/>
      <c r="N5" s="460" t="s">
        <v>280</v>
      </c>
      <c r="O5" s="461"/>
      <c r="P5" s="327"/>
      <c r="Q5" s="328" t="s">
        <v>213</v>
      </c>
      <c r="R5" s="414" t="s">
        <v>214</v>
      </c>
      <c r="S5" s="458" t="str">
        <f>+D5</f>
        <v>Final determination DMO 6 2024-25</v>
      </c>
      <c r="T5" s="459"/>
      <c r="U5" s="458" t="str">
        <f>+F5</f>
        <v>Draft Determination DMO 7 2025-26</v>
      </c>
      <c r="V5" s="459"/>
      <c r="W5" s="458" t="str">
        <f>+H5</f>
        <v>Final Determination DMO 7 2025-26</v>
      </c>
      <c r="X5" s="459"/>
      <c r="Y5" s="458" t="str">
        <f>+J5</f>
        <v>Difference from DMO 6 to Draft DMO 7</v>
      </c>
      <c r="Z5" s="459"/>
      <c r="AA5" s="458" t="s">
        <v>279</v>
      </c>
      <c r="AB5" s="459"/>
      <c r="AC5" s="460" t="s">
        <v>280</v>
      </c>
      <c r="AD5" s="461"/>
      <c r="AE5" s="327"/>
      <c r="AF5" s="328" t="s">
        <v>213</v>
      </c>
      <c r="AG5" s="414" t="s">
        <v>214</v>
      </c>
      <c r="AH5" s="458" t="str">
        <f>+S5</f>
        <v>Final determination DMO 6 2024-25</v>
      </c>
      <c r="AI5" s="459"/>
      <c r="AJ5" s="458" t="str">
        <f>+F5</f>
        <v>Draft Determination DMO 7 2025-26</v>
      </c>
      <c r="AK5" s="459"/>
      <c r="AL5" s="458" t="str">
        <f>+W5</f>
        <v>Final Determination DMO 7 2025-26</v>
      </c>
      <c r="AM5" s="459"/>
      <c r="AN5" s="458" t="str">
        <f>+Y5</f>
        <v>Difference from DMO 6 to Draft DMO 7</v>
      </c>
      <c r="AO5" s="459"/>
      <c r="AP5" s="458" t="s">
        <v>279</v>
      </c>
      <c r="AQ5" s="459"/>
      <c r="AR5" s="460" t="s">
        <v>280</v>
      </c>
      <c r="AS5" s="461"/>
    </row>
    <row r="6" spans="1:45" ht="15" customHeight="1" thickBot="1" x14ac:dyDescent="0.3">
      <c r="A6" s="329"/>
      <c r="B6" s="330"/>
      <c r="C6" s="331"/>
      <c r="D6" s="332" t="s">
        <v>215</v>
      </c>
      <c r="E6" s="333" t="s">
        <v>216</v>
      </c>
      <c r="F6" s="334" t="s">
        <v>215</v>
      </c>
      <c r="G6" s="333" t="s">
        <v>216</v>
      </c>
      <c r="H6" s="334" t="s">
        <v>215</v>
      </c>
      <c r="I6" s="333" t="s">
        <v>216</v>
      </c>
      <c r="J6" s="334" t="s">
        <v>217</v>
      </c>
      <c r="K6" s="333" t="s">
        <v>218</v>
      </c>
      <c r="L6" s="334" t="s">
        <v>217</v>
      </c>
      <c r="M6" s="333" t="s">
        <v>218</v>
      </c>
      <c r="N6" s="334" t="s">
        <v>217</v>
      </c>
      <c r="O6" s="335" t="s">
        <v>218</v>
      </c>
      <c r="P6" s="329"/>
      <c r="Q6" s="330"/>
      <c r="R6" s="331"/>
      <c r="S6" s="332" t="s">
        <v>215</v>
      </c>
      <c r="T6" s="333" t="s">
        <v>216</v>
      </c>
      <c r="U6" s="334" t="s">
        <v>215</v>
      </c>
      <c r="V6" s="333" t="s">
        <v>216</v>
      </c>
      <c r="W6" s="334" t="s">
        <v>215</v>
      </c>
      <c r="X6" s="333" t="s">
        <v>216</v>
      </c>
      <c r="Y6" s="334" t="s">
        <v>217</v>
      </c>
      <c r="Z6" s="333" t="s">
        <v>218</v>
      </c>
      <c r="AA6" s="334" t="s">
        <v>217</v>
      </c>
      <c r="AB6" s="333" t="s">
        <v>218</v>
      </c>
      <c r="AC6" s="334" t="s">
        <v>217</v>
      </c>
      <c r="AD6" s="335" t="s">
        <v>218</v>
      </c>
      <c r="AE6" s="329"/>
      <c r="AF6" s="330"/>
      <c r="AG6" s="331"/>
      <c r="AH6" s="332" t="s">
        <v>215</v>
      </c>
      <c r="AI6" s="333" t="s">
        <v>216</v>
      </c>
      <c r="AJ6" s="334" t="s">
        <v>215</v>
      </c>
      <c r="AK6" s="333" t="s">
        <v>216</v>
      </c>
      <c r="AL6" s="334" t="s">
        <v>215</v>
      </c>
      <c r="AM6" s="333" t="s">
        <v>216</v>
      </c>
      <c r="AN6" s="334" t="s">
        <v>217</v>
      </c>
      <c r="AO6" s="333" t="s">
        <v>218</v>
      </c>
      <c r="AP6" s="334" t="s">
        <v>217</v>
      </c>
      <c r="AQ6" s="333" t="s">
        <v>218</v>
      </c>
      <c r="AR6" s="334" t="s">
        <v>217</v>
      </c>
      <c r="AS6" s="335" t="s">
        <v>218</v>
      </c>
    </row>
    <row r="7" spans="1:45" ht="15.75" customHeight="1" x14ac:dyDescent="0.25">
      <c r="A7" s="336"/>
      <c r="B7" s="337" t="s">
        <v>2</v>
      </c>
      <c r="C7" s="338" t="s">
        <v>62</v>
      </c>
      <c r="D7" s="410">
        <f ca="1">+Ausgrid!I33</f>
        <v>656.75497844808194</v>
      </c>
      <c r="E7" s="339"/>
      <c r="F7" s="340">
        <v>719.63858687933055</v>
      </c>
      <c r="G7" s="339"/>
      <c r="H7" s="340">
        <f ca="1">+Ausgrid!N33</f>
        <v>711.92496176013196</v>
      </c>
      <c r="I7" s="416"/>
      <c r="J7" s="417">
        <f t="shared" ref="J7:J35" ca="1" si="0">+F7-D7</f>
        <v>62.883608431248604</v>
      </c>
      <c r="K7" s="418">
        <f t="shared" ref="K7:K36" ca="1" si="1">+J7/D7</f>
        <v>9.5748963456421976E-2</v>
      </c>
      <c r="L7" s="341">
        <f t="shared" ref="L7:L11" ca="1" si="2">+H7-F7</f>
        <v>-7.7136251191985821</v>
      </c>
      <c r="M7" s="419">
        <f ca="1">+L7/F7</f>
        <v>-1.0718748632766142E-2</v>
      </c>
      <c r="N7" s="365">
        <f ca="1">+H7-D7</f>
        <v>55.169983312050022</v>
      </c>
      <c r="O7" s="342">
        <f ca="1">+N7/D7</f>
        <v>8.4003905752518537E-2</v>
      </c>
      <c r="P7" s="336"/>
      <c r="Q7" s="337" t="s">
        <v>2</v>
      </c>
      <c r="R7" s="338" t="s">
        <v>62</v>
      </c>
      <c r="S7" s="410">
        <f ca="1">+Ausgrid!R33</f>
        <v>854.75665134240103</v>
      </c>
      <c r="T7" s="339"/>
      <c r="U7" s="340">
        <v>928.49051753136689</v>
      </c>
      <c r="V7" s="339"/>
      <c r="W7" s="340">
        <f ca="1">+Ausgrid!W33</f>
        <v>925.12969712875804</v>
      </c>
      <c r="X7" s="416"/>
      <c r="Y7" s="417">
        <f t="shared" ref="Y7:Y11" ca="1" si="3">+U7-S7</f>
        <v>73.733866188965862</v>
      </c>
      <c r="Z7" s="418">
        <f t="shared" ref="Z7:Z36" ca="1" si="4">+Y7/S7</f>
        <v>8.6262992014354417E-2</v>
      </c>
      <c r="AA7" s="341">
        <f t="shared" ref="AA7:AA11" ca="1" si="5">+W7-U7</f>
        <v>-3.3608204026088515</v>
      </c>
      <c r="AB7" s="419">
        <f t="shared" ref="AB7:AB36" ca="1" si="6">+AA7/U7</f>
        <v>-3.6196604479542399E-3</v>
      </c>
      <c r="AC7" s="365">
        <f ca="1">+W7-S7</f>
        <v>70.373045786357011</v>
      </c>
      <c r="AD7" s="342">
        <f ca="1">+AC7/S7</f>
        <v>8.2331088826083629E-2</v>
      </c>
      <c r="AE7" s="336"/>
      <c r="AF7" s="337" t="s">
        <v>2</v>
      </c>
      <c r="AG7" s="338" t="s">
        <v>62</v>
      </c>
      <c r="AH7" s="410">
        <f ca="1">+Ausgrid!AA33</f>
        <v>1756.1919530464475</v>
      </c>
      <c r="AI7" s="339"/>
      <c r="AJ7" s="340">
        <v>1929.3535457758578</v>
      </c>
      <c r="AK7" s="339"/>
      <c r="AL7" s="340">
        <f ca="1">+Ausgrid!AF33</f>
        <v>1923.3380879684253</v>
      </c>
      <c r="AM7" s="416"/>
      <c r="AN7" s="417">
        <f t="shared" ref="AN7:AN11" ca="1" si="7">+AJ7-AH7</f>
        <v>173.16159272941036</v>
      </c>
      <c r="AO7" s="418">
        <f t="shared" ref="AO7:AO36" ca="1" si="8">+AN7/AH7</f>
        <v>9.8600607085705408E-2</v>
      </c>
      <c r="AP7" s="341">
        <f t="shared" ref="AP7:AP11" ca="1" si="9">+AL7-AJ7</f>
        <v>-6.01545780743254</v>
      </c>
      <c r="AQ7" s="419">
        <f t="shared" ref="AQ7:AQ36" ca="1" si="10">+AP7/AJ7</f>
        <v>-3.1178618457995072E-3</v>
      </c>
      <c r="AR7" s="365">
        <f ca="1">+AL7-AH7</f>
        <v>167.14613492197782</v>
      </c>
      <c r="AS7" s="342">
        <f ca="1">+AR7/AH7</f>
        <v>9.5175322169100712E-2</v>
      </c>
    </row>
    <row r="8" spans="1:45" x14ac:dyDescent="0.25">
      <c r="A8" s="336"/>
      <c r="B8" s="337"/>
      <c r="C8" s="338" t="s">
        <v>63</v>
      </c>
      <c r="D8" s="410">
        <f ca="1">+Ausgrid!I34</f>
        <v>712.34100252857127</v>
      </c>
      <c r="E8" s="339"/>
      <c r="F8" s="340">
        <v>742.23474285714281</v>
      </c>
      <c r="G8" s="339"/>
      <c r="H8" s="340">
        <f ca="1">+Ausgrid!N34</f>
        <v>753.97249122143467</v>
      </c>
      <c r="I8" s="339"/>
      <c r="J8" s="341">
        <f t="shared" ca="1" si="0"/>
        <v>29.893740328571539</v>
      </c>
      <c r="K8" s="419">
        <f t="shared" ca="1" si="1"/>
        <v>4.1965491558760205E-2</v>
      </c>
      <c r="L8" s="341">
        <f t="shared" ca="1" si="2"/>
        <v>11.737748364291861</v>
      </c>
      <c r="M8" s="419">
        <f t="shared" ref="M8:M36" ca="1" si="11">+L8/F8</f>
        <v>1.5814064859196456E-2</v>
      </c>
      <c r="N8" s="365">
        <f t="shared" ref="N8:N11" ca="1" si="12">+H8-D8</f>
        <v>41.6314886928634</v>
      </c>
      <c r="O8" s="342">
        <f t="shared" ref="O8:O11" ca="1" si="13">+N8/D8</f>
        <v>5.844320142331496E-2</v>
      </c>
      <c r="P8" s="336"/>
      <c r="Q8" s="337"/>
      <c r="R8" s="338" t="s">
        <v>63</v>
      </c>
      <c r="S8" s="410">
        <f ca="1">+Ausgrid!R34</f>
        <v>1108.6752496285712</v>
      </c>
      <c r="T8" s="339"/>
      <c r="U8" s="340">
        <v>1181.8288428571429</v>
      </c>
      <c r="V8" s="339"/>
      <c r="W8" s="340">
        <f ca="1">+Ausgrid!W34</f>
        <v>1197.1706064508228</v>
      </c>
      <c r="X8" s="339"/>
      <c r="Y8" s="341">
        <f t="shared" ca="1" si="3"/>
        <v>73.153593228571708</v>
      </c>
      <c r="Z8" s="419">
        <f t="shared" ca="1" si="4"/>
        <v>6.5982886560405893E-2</v>
      </c>
      <c r="AA8" s="341">
        <f t="shared" ca="1" si="5"/>
        <v>15.341763593679843</v>
      </c>
      <c r="AB8" s="419">
        <f t="shared" ca="1" si="6"/>
        <v>1.2981375168159037E-2</v>
      </c>
      <c r="AC8" s="365">
        <f t="shared" ref="AC8:AC11" ca="1" si="14">+W8-S8</f>
        <v>88.495356822251551</v>
      </c>
      <c r="AD8" s="342">
        <f t="shared" ref="AD8:AD11" ca="1" si="15">+AC8/S8</f>
        <v>7.9820810333683642E-2</v>
      </c>
      <c r="AE8" s="336"/>
      <c r="AF8" s="337"/>
      <c r="AG8" s="338" t="s">
        <v>63</v>
      </c>
      <c r="AH8" s="410">
        <f ca="1">+Ausgrid!AA34</f>
        <v>1806.0313464285709</v>
      </c>
      <c r="AI8" s="339"/>
      <c r="AJ8" s="340">
        <v>1882.5321428571431</v>
      </c>
      <c r="AK8" s="339"/>
      <c r="AL8" s="340">
        <f ca="1">+Ausgrid!AF34</f>
        <v>1909.4590830953498</v>
      </c>
      <c r="AM8" s="339"/>
      <c r="AN8" s="341">
        <f t="shared" ca="1" si="7"/>
        <v>76.50079642857213</v>
      </c>
      <c r="AO8" s="419">
        <f t="shared" ca="1" si="8"/>
        <v>4.2358509767758207E-2</v>
      </c>
      <c r="AP8" s="341">
        <f t="shared" ca="1" si="9"/>
        <v>26.926940238206726</v>
      </c>
      <c r="AQ8" s="419">
        <f t="shared" ca="1" si="10"/>
        <v>1.4303575288408815E-2</v>
      </c>
      <c r="AR8" s="365">
        <f t="shared" ref="AR8:AR11" ca="1" si="16">+AL8-AH8</f>
        <v>103.42773666677886</v>
      </c>
      <c r="AS8" s="342">
        <f t="shared" ref="AS8:AS11" ca="1" si="17">+AR8/AH8</f>
        <v>5.7267963189734955E-2</v>
      </c>
    </row>
    <row r="9" spans="1:45" ht="15.75" customHeight="1" x14ac:dyDescent="0.25">
      <c r="A9" s="336"/>
      <c r="B9" s="337"/>
      <c r="C9" s="338" t="s">
        <v>64</v>
      </c>
      <c r="D9" s="410">
        <f ca="1">+Ausgrid!I35</f>
        <v>84.255600000000001</v>
      </c>
      <c r="E9" s="339"/>
      <c r="F9" s="340">
        <v>69.927000000000007</v>
      </c>
      <c r="G9" s="339"/>
      <c r="H9" s="340">
        <f ca="1">+Ausgrid!N35</f>
        <v>68.331519303463324</v>
      </c>
      <c r="I9" s="339"/>
      <c r="J9" s="341">
        <f t="shared" ca="1" si="0"/>
        <v>-14.328599999999994</v>
      </c>
      <c r="K9" s="419">
        <f t="shared" ca="1" si="1"/>
        <v>-0.17006109979633394</v>
      </c>
      <c r="L9" s="341">
        <f t="shared" ca="1" si="2"/>
        <v>-1.5954806965366828</v>
      </c>
      <c r="M9" s="419">
        <f t="shared" ca="1" si="11"/>
        <v>-2.2816375599363375E-2</v>
      </c>
      <c r="N9" s="365">
        <f t="shared" ca="1" si="12"/>
        <v>-15.924080696536677</v>
      </c>
      <c r="O9" s="342">
        <f t="shared" ca="1" si="13"/>
        <v>-0.18899729746790334</v>
      </c>
      <c r="P9" s="336"/>
      <c r="Q9" s="337"/>
      <c r="R9" s="338" t="s">
        <v>64</v>
      </c>
      <c r="S9" s="410">
        <f ca="1">+Ausgrid!R35</f>
        <v>147.14919999999998</v>
      </c>
      <c r="T9" s="339"/>
      <c r="U9" s="340">
        <v>122.12199999999999</v>
      </c>
      <c r="V9" s="339"/>
      <c r="W9" s="340">
        <f ca="1">+Ausgrid!W35</f>
        <v>119.14213622142321</v>
      </c>
      <c r="X9" s="339"/>
      <c r="Y9" s="341">
        <f t="shared" ca="1" si="3"/>
        <v>-25.027199999999993</v>
      </c>
      <c r="Z9" s="419">
        <f t="shared" ca="1" si="4"/>
        <v>-0.17008043536764045</v>
      </c>
      <c r="AA9" s="341">
        <f t="shared" ca="1" si="5"/>
        <v>-2.979863778576771</v>
      </c>
      <c r="AB9" s="419">
        <f t="shared" ca="1" si="6"/>
        <v>-2.4400712226926937E-2</v>
      </c>
      <c r="AC9" s="365">
        <f t="shared" ca="1" si="14"/>
        <v>-28.007063778576764</v>
      </c>
      <c r="AD9" s="342">
        <f t="shared" ca="1" si="15"/>
        <v>-0.19033106383573115</v>
      </c>
      <c r="AE9" s="336"/>
      <c r="AF9" s="337"/>
      <c r="AG9" s="338" t="s">
        <v>64</v>
      </c>
      <c r="AH9" s="410">
        <f ca="1">+Ausgrid!AA35</f>
        <v>216.04000000000002</v>
      </c>
      <c r="AI9" s="339"/>
      <c r="AJ9" s="340">
        <v>179.3</v>
      </c>
      <c r="AK9" s="339"/>
      <c r="AL9" s="340">
        <f ca="1">+Ausgrid!AF35</f>
        <v>175.20902385503416</v>
      </c>
      <c r="AM9" s="339"/>
      <c r="AN9" s="341">
        <f t="shared" ca="1" si="7"/>
        <v>-36.740000000000009</v>
      </c>
      <c r="AO9" s="419">
        <f t="shared" ca="1" si="8"/>
        <v>-0.17006109979633405</v>
      </c>
      <c r="AP9" s="341">
        <f t="shared" ca="1" si="9"/>
        <v>-4.0909761449658504</v>
      </c>
      <c r="AQ9" s="419">
        <f t="shared" ca="1" si="10"/>
        <v>-2.2816375599363357E-2</v>
      </c>
      <c r="AR9" s="365">
        <f t="shared" ca="1" si="16"/>
        <v>-40.830976144965859</v>
      </c>
      <c r="AS9" s="342">
        <f t="shared" ca="1" si="17"/>
        <v>-0.18899729746790342</v>
      </c>
    </row>
    <row r="10" spans="1:45" x14ac:dyDescent="0.25">
      <c r="A10" s="336"/>
      <c r="B10" s="337"/>
      <c r="C10" s="338" t="s">
        <v>168</v>
      </c>
      <c r="D10" s="410">
        <f ca="1">+Ausgrid!I36</f>
        <v>248.16968193600002</v>
      </c>
      <c r="E10" s="339"/>
      <c r="F10" s="340">
        <v>318.75826084085321</v>
      </c>
      <c r="G10" s="339"/>
      <c r="H10" s="340">
        <f ca="1">+Ausgrid!N36</f>
        <v>312.51267628903128</v>
      </c>
      <c r="I10" s="339"/>
      <c r="J10" s="341">
        <f t="shared" ca="1" si="0"/>
        <v>70.588578904853193</v>
      </c>
      <c r="K10" s="419">
        <f t="shared" ca="1" si="1"/>
        <v>0.28443675453900585</v>
      </c>
      <c r="L10" s="341">
        <f t="shared" ca="1" si="2"/>
        <v>-6.2455845518219348</v>
      </c>
      <c r="M10" s="419">
        <f t="shared" ca="1" si="11"/>
        <v>-1.9593482958988079E-2</v>
      </c>
      <c r="N10" s="365">
        <f t="shared" ca="1" si="12"/>
        <v>64.342994353031258</v>
      </c>
      <c r="O10" s="342">
        <f t="shared" ca="1" si="13"/>
        <v>0.2592701648770479</v>
      </c>
      <c r="P10" s="336"/>
      <c r="Q10" s="337"/>
      <c r="R10" s="338" t="s">
        <v>168</v>
      </c>
      <c r="S10" s="410">
        <f ca="1">+Ausgrid!R36</f>
        <v>248.16968193600002</v>
      </c>
      <c r="T10" s="339"/>
      <c r="U10" s="340">
        <v>318.75826084085321</v>
      </c>
      <c r="V10" s="339"/>
      <c r="W10" s="340">
        <f ca="1">+Ausgrid!W36</f>
        <v>312.51267628903128</v>
      </c>
      <c r="X10" s="339"/>
      <c r="Y10" s="341">
        <f t="shared" ca="1" si="3"/>
        <v>70.588578904853193</v>
      </c>
      <c r="Z10" s="419">
        <f t="shared" ca="1" si="4"/>
        <v>0.28443675453900585</v>
      </c>
      <c r="AA10" s="341">
        <f t="shared" ca="1" si="5"/>
        <v>-6.2455845518219348</v>
      </c>
      <c r="AB10" s="419">
        <f t="shared" ca="1" si="6"/>
        <v>-1.9593482958988079E-2</v>
      </c>
      <c r="AC10" s="365">
        <f t="shared" ca="1" si="14"/>
        <v>64.342994353031258</v>
      </c>
      <c r="AD10" s="342">
        <f t="shared" ca="1" si="15"/>
        <v>0.2592701648770479</v>
      </c>
      <c r="AE10" s="336"/>
      <c r="AF10" s="337"/>
      <c r="AG10" s="338" t="s">
        <v>168</v>
      </c>
      <c r="AH10" s="410">
        <f ca="1">+Ausgrid!AA36</f>
        <v>326.29346481599998</v>
      </c>
      <c r="AI10" s="339"/>
      <c r="AJ10" s="340">
        <v>447.95680484165473</v>
      </c>
      <c r="AK10" s="339"/>
      <c r="AL10" s="340">
        <f ca="1">+Ausgrid!AF36</f>
        <v>421.95171106889359</v>
      </c>
      <c r="AM10" s="339"/>
      <c r="AN10" s="341">
        <f t="shared" ca="1" si="7"/>
        <v>121.66334002565475</v>
      </c>
      <c r="AO10" s="419">
        <f t="shared" ca="1" si="8"/>
        <v>0.37286477709341154</v>
      </c>
      <c r="AP10" s="341">
        <f t="shared" ca="1" si="9"/>
        <v>-26.005093772761143</v>
      </c>
      <c r="AQ10" s="419">
        <f t="shared" ca="1" si="10"/>
        <v>-5.8052681623964861E-2</v>
      </c>
      <c r="AR10" s="365">
        <f t="shared" ca="1" si="16"/>
        <v>95.658246252893605</v>
      </c>
      <c r="AS10" s="342">
        <f t="shared" ca="1" si="17"/>
        <v>0.2931662952760522</v>
      </c>
    </row>
    <row r="11" spans="1:45" ht="15.75" customHeight="1" x14ac:dyDescent="0.25">
      <c r="A11" s="336"/>
      <c r="B11" s="337"/>
      <c r="C11" s="338" t="s">
        <v>210</v>
      </c>
      <c r="D11" s="410">
        <f ca="1">+Ausgrid!I37</f>
        <v>108.60774018591405</v>
      </c>
      <c r="E11" s="343">
        <f ca="1">+D11/D12</f>
        <v>6.000427634580887E-2</v>
      </c>
      <c r="F11" s="340">
        <v>118.12076110068051</v>
      </c>
      <c r="G11" s="343">
        <f>+F11/F12</f>
        <v>5.9990229101412142E-2</v>
      </c>
      <c r="H11" s="340">
        <f ca="1">+Ausgrid!N37</f>
        <v>117.87712650472736</v>
      </c>
      <c r="I11" s="343">
        <v>6.0000000000000046E-2</v>
      </c>
      <c r="J11" s="341">
        <f t="shared" ca="1" si="0"/>
        <v>9.5130209147664573</v>
      </c>
      <c r="K11" s="419">
        <f t="shared" ca="1" si="1"/>
        <v>8.7590634870793993E-2</v>
      </c>
      <c r="L11" s="341">
        <f t="shared" ca="1" si="2"/>
        <v>-0.24363459595315362</v>
      </c>
      <c r="M11" s="419">
        <f t="shared" ca="1" si="11"/>
        <v>-2.06258911374175E-3</v>
      </c>
      <c r="N11" s="421">
        <f t="shared" ca="1" si="12"/>
        <v>9.2693863188133037</v>
      </c>
      <c r="O11" s="422">
        <f t="shared" ca="1" si="13"/>
        <v>8.5347382267102007E-2</v>
      </c>
      <c r="P11" s="336"/>
      <c r="Q11" s="337"/>
      <c r="R11" s="338" t="s">
        <v>210</v>
      </c>
      <c r="S11" s="410">
        <f ca="1">+Ausgrid!R37</f>
        <v>150.55856061108352</v>
      </c>
      <c r="T11" s="343">
        <f ca="1">+S11/S12</f>
        <v>6.0007397613026515E-2</v>
      </c>
      <c r="U11" s="340">
        <v>162.84252901464015</v>
      </c>
      <c r="V11" s="343">
        <v>5.9999999999999984E-2</v>
      </c>
      <c r="W11" s="340">
        <f ca="1">+Ausgrid!W37</f>
        <v>163.01841166532176</v>
      </c>
      <c r="X11" s="343">
        <f ca="1">+W11/W12</f>
        <v>5.9999415408657254E-2</v>
      </c>
      <c r="Y11" s="341">
        <f t="shared" ca="1" si="3"/>
        <v>12.283968403556628</v>
      </c>
      <c r="Z11" s="419">
        <f t="shared" ca="1" si="4"/>
        <v>8.1589305541303975E-2</v>
      </c>
      <c r="AA11" s="341">
        <f t="shared" ca="1" si="5"/>
        <v>0.1758826506816149</v>
      </c>
      <c r="AB11" s="419">
        <f t="shared" ca="1" si="6"/>
        <v>1.0800781082551377E-3</v>
      </c>
      <c r="AC11" s="421">
        <f t="shared" ca="1" si="14"/>
        <v>12.459851054238243</v>
      </c>
      <c r="AD11" s="422">
        <f t="shared" ca="1" si="15"/>
        <v>8.2757506472342021E-2</v>
      </c>
      <c r="AE11" s="336"/>
      <c r="AF11" s="337"/>
      <c r="AG11" s="338" t="s">
        <v>210</v>
      </c>
      <c r="AH11" s="410">
        <f ca="1">+Ausgrid!AA37</f>
        <v>507.30476862023806</v>
      </c>
      <c r="AI11" s="343">
        <f ca="1">+AH11/AH12</f>
        <v>0.1099966974458452</v>
      </c>
      <c r="AJ11" s="340">
        <v>548.65806099124984</v>
      </c>
      <c r="AK11" s="343">
        <v>0.11000000000000006</v>
      </c>
      <c r="AL11" s="340">
        <f ca="1">+Ausgrid!AF37</f>
        <v>547.52288725690687</v>
      </c>
      <c r="AM11" s="343">
        <f ca="1">+AL11/AL12</f>
        <v>0.11001062633251092</v>
      </c>
      <c r="AN11" s="341">
        <f t="shared" ca="1" si="7"/>
        <v>41.353292371011776</v>
      </c>
      <c r="AO11" s="419">
        <f t="shared" ca="1" si="8"/>
        <v>8.1515678402716396E-2</v>
      </c>
      <c r="AP11" s="341">
        <f t="shared" ca="1" si="9"/>
        <v>-1.1351737343429704</v>
      </c>
      <c r="AQ11" s="419">
        <f t="shared" ca="1" si="10"/>
        <v>-2.0690003757387145E-3</v>
      </c>
      <c r="AR11" s="421">
        <f t="shared" ca="1" si="16"/>
        <v>40.218118636668805</v>
      </c>
      <c r="AS11" s="422">
        <f t="shared" ca="1" si="17"/>
        <v>7.9278022057733863E-2</v>
      </c>
    </row>
    <row r="12" spans="1:45" ht="15.75" thickBot="1" x14ac:dyDescent="0.3">
      <c r="A12" s="336"/>
      <c r="B12" s="345"/>
      <c r="C12" s="346" t="s">
        <v>55</v>
      </c>
      <c r="D12" s="366">
        <f>Ausgrid!H32</f>
        <v>1810</v>
      </c>
      <c r="E12" s="412"/>
      <c r="F12" s="366">
        <f>ROUND(SUM(F7:F11),0)</f>
        <v>1969</v>
      </c>
      <c r="G12" s="412"/>
      <c r="H12" s="366">
        <f ca="1">ROUND(SUM(H7:H11),0)</f>
        <v>1965</v>
      </c>
      <c r="I12" s="412"/>
      <c r="J12" s="347">
        <f>+ROUND(F12,0)-ROUND(D12,0)</f>
        <v>159</v>
      </c>
      <c r="K12" s="420">
        <f t="shared" si="1"/>
        <v>8.7845303867403315E-2</v>
      </c>
      <c r="L12" s="427">
        <f ca="1">+ROUND(H12,0)-ROUND(F12,0)</f>
        <v>-4</v>
      </c>
      <c r="M12" s="420">
        <f t="shared" ca="1" si="11"/>
        <v>-2.0314880650076179E-3</v>
      </c>
      <c r="N12" s="347">
        <f ca="1">+ROUND(H12,0)-ROUND(D12,0)</f>
        <v>155</v>
      </c>
      <c r="O12" s="413">
        <f ca="1">+N12/D12</f>
        <v>8.5635359116022103E-2</v>
      </c>
      <c r="P12" s="336"/>
      <c r="Q12" s="345"/>
      <c r="R12" s="346" t="s">
        <v>55</v>
      </c>
      <c r="S12" s="366">
        <f>Ausgrid!Q32</f>
        <v>2509</v>
      </c>
      <c r="T12" s="412"/>
      <c r="U12" s="366">
        <f>ROUND(SUM(U7:U11),0)</f>
        <v>2714</v>
      </c>
      <c r="V12" s="412"/>
      <c r="W12" s="366">
        <f ca="1">ROUND(SUM(W7:W11),0)</f>
        <v>2717</v>
      </c>
      <c r="X12" s="412"/>
      <c r="Y12" s="347">
        <f>+ROUND(U12,0)-ROUND(S12,0)</f>
        <v>205</v>
      </c>
      <c r="Z12" s="420">
        <f t="shared" si="4"/>
        <v>8.1705858907931445E-2</v>
      </c>
      <c r="AA12" s="347">
        <f ca="1">+ROUND(W12,0)-ROUND(U12,0)</f>
        <v>3</v>
      </c>
      <c r="AB12" s="420">
        <f t="shared" ca="1" si="6"/>
        <v>1.105379513633014E-3</v>
      </c>
      <c r="AC12" s="347">
        <f ca="1">+ROUND(W12,0)-ROUND(S12,0)</f>
        <v>208</v>
      </c>
      <c r="AD12" s="413">
        <f ca="1">+AC12/S12</f>
        <v>8.2901554404145081E-2</v>
      </c>
      <c r="AE12" s="336"/>
      <c r="AF12" s="345"/>
      <c r="AG12" s="346" t="s">
        <v>55</v>
      </c>
      <c r="AH12" s="366">
        <f>Ausgrid!Z32</f>
        <v>4612</v>
      </c>
      <c r="AI12" s="412"/>
      <c r="AJ12" s="366">
        <f>ROUND(SUM(AJ7:AJ11),0)</f>
        <v>4988</v>
      </c>
      <c r="AK12" s="412"/>
      <c r="AL12" s="366">
        <f ca="1">ROUND(SUM(AL7:AL11),0)</f>
        <v>4977</v>
      </c>
      <c r="AM12" s="412"/>
      <c r="AN12" s="347">
        <f>+ROUND(AJ12,0)-ROUND(AH12,0)</f>
        <v>376</v>
      </c>
      <c r="AO12" s="420">
        <f t="shared" si="8"/>
        <v>8.1526452732003471E-2</v>
      </c>
      <c r="AP12" s="427">
        <f ca="1">+ROUND(AL12,0)-ROUND(AJ12,0)</f>
        <v>-11</v>
      </c>
      <c r="AQ12" s="420">
        <f t="shared" ca="1" si="10"/>
        <v>-2.2052927024859663E-3</v>
      </c>
      <c r="AR12" s="347">
        <f ca="1">+ROUND(AL12,0)-ROUND(AH12,0)</f>
        <v>365</v>
      </c>
      <c r="AS12" s="413">
        <f ca="1">+AR12/AH12</f>
        <v>7.9141370338248043E-2</v>
      </c>
    </row>
    <row r="13" spans="1:45" ht="15.75" customHeight="1" x14ac:dyDescent="0.25">
      <c r="A13" s="336"/>
      <c r="B13" s="337" t="s">
        <v>4</v>
      </c>
      <c r="C13" s="338" t="s">
        <v>62</v>
      </c>
      <c r="D13" s="410">
        <f ca="1">+Endeavour!I33</f>
        <v>764.81430299999988</v>
      </c>
      <c r="E13" s="339"/>
      <c r="F13" s="340">
        <v>841.48645899999997</v>
      </c>
      <c r="G13" s="339"/>
      <c r="H13" s="340">
        <f ca="1">+Endeavour!N33</f>
        <v>836.50737499999991</v>
      </c>
      <c r="I13" s="339"/>
      <c r="J13" s="341">
        <f t="shared" ca="1" si="0"/>
        <v>76.672156000000086</v>
      </c>
      <c r="K13" s="419">
        <f t="shared" ca="1" si="1"/>
        <v>0.10024937517414616</v>
      </c>
      <c r="L13" s="341">
        <f t="shared" ref="L13:L17" ca="1" si="18">+H13-F13</f>
        <v>-4.9790840000000571</v>
      </c>
      <c r="M13" s="419">
        <f t="shared" ca="1" si="11"/>
        <v>-5.9170102462695207E-3</v>
      </c>
      <c r="N13" s="365">
        <f ca="1">+H13-D13</f>
        <v>71.693072000000029</v>
      </c>
      <c r="O13" s="342">
        <f ca="1">+N13/D13</f>
        <v>9.3739188347789104E-2</v>
      </c>
      <c r="P13" s="336"/>
      <c r="Q13" s="337" t="s">
        <v>4</v>
      </c>
      <c r="R13" s="338" t="s">
        <v>62</v>
      </c>
      <c r="S13" s="410">
        <f ca="1">+Endeavour!R33</f>
        <v>934.1436698</v>
      </c>
      <c r="T13" s="339"/>
      <c r="U13" s="340">
        <v>1042.8617452000001</v>
      </c>
      <c r="V13" s="339"/>
      <c r="W13" s="340">
        <f ca="1">+Endeavour!W33</f>
        <v>1037.5532573999999</v>
      </c>
      <c r="X13" s="339"/>
      <c r="Y13" s="341">
        <f t="shared" ref="Y13:Y17" ca="1" si="19">+U13-S13</f>
        <v>108.71807540000009</v>
      </c>
      <c r="Z13" s="419">
        <f t="shared" ca="1" si="4"/>
        <v>0.11638260678175619</v>
      </c>
      <c r="AA13" s="341">
        <f t="shared" ref="AA13:AA17" ca="1" si="20">+W13-U13</f>
        <v>-5.3084878000001936</v>
      </c>
      <c r="AB13" s="419">
        <f t="shared" ca="1" si="6"/>
        <v>-5.0903083025469796E-3</v>
      </c>
      <c r="AC13" s="365">
        <f ca="1">+W13-S13</f>
        <v>103.4095875999999</v>
      </c>
      <c r="AD13" s="342">
        <f ca="1">+AC13/S13</f>
        <v>0.11069987512963597</v>
      </c>
      <c r="AE13" s="336"/>
      <c r="AF13" s="337" t="s">
        <v>4</v>
      </c>
      <c r="AG13" s="338" t="s">
        <v>62</v>
      </c>
      <c r="AH13" s="410">
        <f ca="1">+Endeavour!AA33</f>
        <v>1453.9531930000001</v>
      </c>
      <c r="AI13" s="339"/>
      <c r="AJ13" s="340">
        <v>1611.6128489999999</v>
      </c>
      <c r="AK13" s="339"/>
      <c r="AL13" s="340">
        <f ca="1">+Endeavour!AF33</f>
        <v>1597.5537049999998</v>
      </c>
      <c r="AM13" s="339"/>
      <c r="AN13" s="341">
        <f t="shared" ref="AN13:AN17" ca="1" si="21">+AJ13-AH13</f>
        <v>157.65965599999981</v>
      </c>
      <c r="AO13" s="419">
        <f t="shared" ca="1" si="8"/>
        <v>0.10843516611060519</v>
      </c>
      <c r="AP13" s="341">
        <f t="shared" ref="AP13:AP17" ca="1" si="22">+AL13-AJ13</f>
        <v>-14.05914400000006</v>
      </c>
      <c r="AQ13" s="419">
        <f t="shared" ca="1" si="10"/>
        <v>-8.7236484920827674E-3</v>
      </c>
      <c r="AR13" s="365">
        <f ca="1">+AL13-AH13</f>
        <v>143.60051199999975</v>
      </c>
      <c r="AS13" s="342">
        <f ca="1">+AR13/AH13</f>
        <v>9.8765567345192901E-2</v>
      </c>
    </row>
    <row r="14" spans="1:45" x14ac:dyDescent="0.25">
      <c r="A14" s="336"/>
      <c r="B14" s="337"/>
      <c r="C14" s="338" t="s">
        <v>63</v>
      </c>
      <c r="D14" s="410">
        <f ca="1">+Endeavour!I34</f>
        <v>949.36140152857149</v>
      </c>
      <c r="E14" s="339"/>
      <c r="F14" s="340">
        <v>974.33694285714284</v>
      </c>
      <c r="G14" s="339"/>
      <c r="H14" s="340">
        <f ca="1">+Endeavour!N34</f>
        <v>998.46091350140671</v>
      </c>
      <c r="I14" s="339"/>
      <c r="J14" s="341">
        <f t="shared" ca="1" si="0"/>
        <v>24.975541328571353</v>
      </c>
      <c r="K14" s="419">
        <f t="shared" ca="1" si="1"/>
        <v>2.630772779297548E-2</v>
      </c>
      <c r="L14" s="341">
        <f t="shared" ca="1" si="18"/>
        <v>24.123970644263864</v>
      </c>
      <c r="M14" s="419">
        <f t="shared" ca="1" si="11"/>
        <v>2.4759371818051774E-2</v>
      </c>
      <c r="N14" s="365">
        <f t="shared" ref="N14:N17" ca="1" si="23">+H14-D14</f>
        <v>49.099511972835217</v>
      </c>
      <c r="O14" s="342">
        <f t="shared" ref="O14:O17" ca="1" si="24">+N14/D14</f>
        <v>5.1718462425141623E-2</v>
      </c>
      <c r="P14" s="336"/>
      <c r="Q14" s="337"/>
      <c r="R14" s="338" t="s">
        <v>63</v>
      </c>
      <c r="S14" s="410">
        <f ca="1">+Endeavour!R34</f>
        <v>1268.5376490285714</v>
      </c>
      <c r="T14" s="339"/>
      <c r="U14" s="340">
        <v>1341.7325428571428</v>
      </c>
      <c r="V14" s="339"/>
      <c r="W14" s="340">
        <f ca="1">+Endeavour!W34</f>
        <v>1373.9644465801262</v>
      </c>
      <c r="X14" s="339"/>
      <c r="Y14" s="341">
        <f t="shared" ca="1" si="19"/>
        <v>73.194893828571367</v>
      </c>
      <c r="Z14" s="419">
        <f t="shared" ca="1" si="4"/>
        <v>5.7700214009905819E-2</v>
      </c>
      <c r="AA14" s="341">
        <f t="shared" ca="1" si="20"/>
        <v>32.231903722983361</v>
      </c>
      <c r="AB14" s="419">
        <f t="shared" ca="1" si="6"/>
        <v>2.4022599656372174E-2</v>
      </c>
      <c r="AC14" s="365">
        <f t="shared" ref="AC14:AC17" ca="1" si="25">+W14-S14</f>
        <v>105.42679755155473</v>
      </c>
      <c r="AD14" s="342">
        <f t="shared" ref="AD14:AD17" ca="1" si="26">+AC14/S14</f>
        <v>8.3108922807524951E-2</v>
      </c>
      <c r="AE14" s="336"/>
      <c r="AF14" s="337"/>
      <c r="AG14" s="338" t="s">
        <v>63</v>
      </c>
      <c r="AH14" s="410">
        <f ca="1">+Endeavour!AA34</f>
        <v>1923.8413464285716</v>
      </c>
      <c r="AI14" s="339"/>
      <c r="AJ14" s="340">
        <v>1974.7121428571431</v>
      </c>
      <c r="AK14" s="339"/>
      <c r="AL14" s="340">
        <f ca="1">+Endeavour!AF34</f>
        <v>2021.8353909019459</v>
      </c>
      <c r="AM14" s="339"/>
      <c r="AN14" s="341">
        <f t="shared" ca="1" si="21"/>
        <v>50.870796428571566</v>
      </c>
      <c r="AO14" s="419">
        <f t="shared" ca="1" si="8"/>
        <v>2.6442303323508647E-2</v>
      </c>
      <c r="AP14" s="341">
        <f t="shared" ca="1" si="22"/>
        <v>47.123248044802722</v>
      </c>
      <c r="AQ14" s="419">
        <f t="shared" ca="1" si="10"/>
        <v>2.3863350521874906E-2</v>
      </c>
      <c r="AR14" s="365">
        <f t="shared" ref="AR14:AR17" ca="1" si="27">+AL14-AH14</f>
        <v>97.994044473374288</v>
      </c>
      <c r="AS14" s="342">
        <f t="shared" ref="AS14:AS17" ca="1" si="28">+AR14/AH14</f>
        <v>5.0936655798198179E-2</v>
      </c>
    </row>
    <row r="15" spans="1:45" ht="15.75" customHeight="1" x14ac:dyDescent="0.25">
      <c r="A15" s="336"/>
      <c r="B15" s="337"/>
      <c r="C15" s="338" t="s">
        <v>64</v>
      </c>
      <c r="D15" s="410">
        <f ca="1">+Endeavour!I35</f>
        <v>106.77590000000001</v>
      </c>
      <c r="E15" s="339"/>
      <c r="F15" s="340">
        <v>88.611599999999996</v>
      </c>
      <c r="G15" s="339"/>
      <c r="H15" s="340">
        <f ca="1">+Endeavour!N35</f>
        <v>87.407325012464099</v>
      </c>
      <c r="I15" s="339"/>
      <c r="J15" s="341">
        <f t="shared" ca="1" si="0"/>
        <v>-18.164300000000011</v>
      </c>
      <c r="K15" s="419">
        <f t="shared" ca="1" si="1"/>
        <v>-0.17011610297829388</v>
      </c>
      <c r="L15" s="341">
        <f t="shared" ca="1" si="18"/>
        <v>-1.2042749875358965</v>
      </c>
      <c r="M15" s="419">
        <f t="shared" ca="1" si="11"/>
        <v>-1.3590489140653103E-2</v>
      </c>
      <c r="N15" s="365">
        <f t="shared" ca="1" si="23"/>
        <v>-19.368574987535908</v>
      </c>
      <c r="O15" s="342">
        <f t="shared" ca="1" si="24"/>
        <v>-0.18139463106877027</v>
      </c>
      <c r="P15" s="336"/>
      <c r="Q15" s="337"/>
      <c r="R15" s="338" t="s">
        <v>64</v>
      </c>
      <c r="S15" s="410">
        <f ca="1">+Endeavour!R35</f>
        <v>161.2534</v>
      </c>
      <c r="T15" s="339"/>
      <c r="U15" s="340">
        <v>133.82160000000002</v>
      </c>
      <c r="V15" s="339"/>
      <c r="W15" s="340">
        <f ca="1">+Endeavour!W35</f>
        <v>132.00289899841519</v>
      </c>
      <c r="X15" s="339"/>
      <c r="Y15" s="341">
        <f t="shared" ca="1" si="19"/>
        <v>-27.431799999999981</v>
      </c>
      <c r="Z15" s="419">
        <f t="shared" ca="1" si="4"/>
        <v>-0.17011610297829369</v>
      </c>
      <c r="AA15" s="341">
        <f t="shared" ca="1" si="20"/>
        <v>-1.8187010015848273</v>
      </c>
      <c r="AB15" s="419">
        <f t="shared" ca="1" si="6"/>
        <v>-1.3590489140653131E-2</v>
      </c>
      <c r="AC15" s="365">
        <f t="shared" ca="1" si="25"/>
        <v>-29.250501001584809</v>
      </c>
      <c r="AD15" s="342">
        <f t="shared" ca="1" si="26"/>
        <v>-0.18139463106877007</v>
      </c>
      <c r="AE15" s="336"/>
      <c r="AF15" s="337"/>
      <c r="AG15" s="338" t="s">
        <v>64</v>
      </c>
      <c r="AH15" s="410">
        <f ca="1">+Endeavour!AA35</f>
        <v>217.91</v>
      </c>
      <c r="AI15" s="339"/>
      <c r="AJ15" s="340">
        <v>180.84</v>
      </c>
      <c r="AK15" s="339"/>
      <c r="AL15" s="340">
        <f ca="1">+Endeavour!AF35</f>
        <v>178.38229594380428</v>
      </c>
      <c r="AM15" s="339"/>
      <c r="AN15" s="341">
        <f t="shared" ca="1" si="21"/>
        <v>-37.069999999999993</v>
      </c>
      <c r="AO15" s="419">
        <f t="shared" ca="1" si="8"/>
        <v>-0.17011610297829377</v>
      </c>
      <c r="AP15" s="341">
        <f t="shared" ca="1" si="22"/>
        <v>-2.4577040561957233</v>
      </c>
      <c r="AQ15" s="419">
        <f t="shared" ca="1" si="10"/>
        <v>-1.3590489140653191E-2</v>
      </c>
      <c r="AR15" s="365">
        <f t="shared" ca="1" si="27"/>
        <v>-39.527704056195716</v>
      </c>
      <c r="AS15" s="342">
        <f t="shared" ca="1" si="28"/>
        <v>-0.18139463106877021</v>
      </c>
    </row>
    <row r="16" spans="1:45" x14ac:dyDescent="0.25">
      <c r="A16" s="336"/>
      <c r="B16" s="337"/>
      <c r="C16" s="338" t="s">
        <v>168</v>
      </c>
      <c r="D16" s="410">
        <f ca="1">+Endeavour!I36</f>
        <v>268.94377382400006</v>
      </c>
      <c r="E16" s="339"/>
      <c r="F16" s="340">
        <v>348.35486064484348</v>
      </c>
      <c r="G16" s="339"/>
      <c r="H16" s="340">
        <f ca="1">+Endeavour!N36</f>
        <v>344.30566121810301</v>
      </c>
      <c r="I16" s="339"/>
      <c r="J16" s="341">
        <f t="shared" ca="1" si="0"/>
        <v>79.411086820843423</v>
      </c>
      <c r="K16" s="419">
        <f t="shared" ca="1" si="1"/>
        <v>0.29527021834984352</v>
      </c>
      <c r="L16" s="341">
        <f t="shared" ca="1" si="18"/>
        <v>-4.0491994267404721</v>
      </c>
      <c r="M16" s="419">
        <f t="shared" ca="1" si="11"/>
        <v>-1.1623777602083562E-2</v>
      </c>
      <c r="N16" s="365">
        <f t="shared" ca="1" si="23"/>
        <v>75.361887394102951</v>
      </c>
      <c r="O16" s="342">
        <f t="shared" ca="1" si="24"/>
        <v>0.28021428539714271</v>
      </c>
      <c r="P16" s="336"/>
      <c r="Q16" s="337"/>
      <c r="R16" s="338" t="s">
        <v>168</v>
      </c>
      <c r="S16" s="410">
        <f ca="1">+Endeavour!R36</f>
        <v>268.94377382400006</v>
      </c>
      <c r="T16" s="339"/>
      <c r="U16" s="340">
        <v>348.35486064484348</v>
      </c>
      <c r="V16" s="339"/>
      <c r="W16" s="340">
        <f ca="1">+Endeavour!W36</f>
        <v>344.30566121810301</v>
      </c>
      <c r="X16" s="339"/>
      <c r="Y16" s="341">
        <f t="shared" ca="1" si="19"/>
        <v>79.411086820843423</v>
      </c>
      <c r="Z16" s="419">
        <f t="shared" ca="1" si="4"/>
        <v>0.29527021834984352</v>
      </c>
      <c r="AA16" s="341">
        <f t="shared" ca="1" si="20"/>
        <v>-4.0491994267404721</v>
      </c>
      <c r="AB16" s="419">
        <f t="shared" ca="1" si="6"/>
        <v>-1.1623777602083562E-2</v>
      </c>
      <c r="AC16" s="365">
        <f t="shared" ca="1" si="25"/>
        <v>75.361887394102951</v>
      </c>
      <c r="AD16" s="342">
        <f t="shared" ca="1" si="26"/>
        <v>0.28021428539714271</v>
      </c>
      <c r="AE16" s="336"/>
      <c r="AF16" s="337"/>
      <c r="AG16" s="338" t="s">
        <v>168</v>
      </c>
      <c r="AH16" s="410">
        <f ca="1">+Endeavour!AA36</f>
        <v>339.65581320000007</v>
      </c>
      <c r="AI16" s="339"/>
      <c r="AJ16" s="340">
        <v>470.68260068165472</v>
      </c>
      <c r="AK16" s="339"/>
      <c r="AL16" s="340">
        <f ca="1">+Endeavour!AF36</f>
        <v>452.18958272305747</v>
      </c>
      <c r="AM16" s="339"/>
      <c r="AN16" s="341">
        <f t="shared" ca="1" si="21"/>
        <v>131.02678748165465</v>
      </c>
      <c r="AO16" s="419">
        <f t="shared" ca="1" si="8"/>
        <v>0.3857634181120343</v>
      </c>
      <c r="AP16" s="341">
        <f t="shared" ca="1" si="22"/>
        <v>-18.49301795859725</v>
      </c>
      <c r="AQ16" s="419">
        <f t="shared" ca="1" si="10"/>
        <v>-3.9289784521066178E-2</v>
      </c>
      <c r="AR16" s="365">
        <f t="shared" ca="1" si="27"/>
        <v>112.5337695230574</v>
      </c>
      <c r="AS16" s="342">
        <f t="shared" ca="1" si="28"/>
        <v>0.33131707201723637</v>
      </c>
    </row>
    <row r="17" spans="1:45" ht="15.75" customHeight="1" x14ac:dyDescent="0.25">
      <c r="A17" s="336"/>
      <c r="B17" s="337"/>
      <c r="C17" s="338" t="str">
        <f>+C11</f>
        <v>Retail margin</v>
      </c>
      <c r="D17" s="410">
        <f ca="1">+Endeavour!I37</f>
        <v>133.39757734165369</v>
      </c>
      <c r="E17" s="343">
        <f ca="1">+D17/D18</f>
        <v>6.0007907036281463E-2</v>
      </c>
      <c r="F17" s="340">
        <v>143.7950976065099</v>
      </c>
      <c r="G17" s="343">
        <f>+F17/F18</f>
        <v>5.9989611016483063E-2</v>
      </c>
      <c r="H17" s="340">
        <f ca="1">+Endeavour!N37</f>
        <v>144.68178349353047</v>
      </c>
      <c r="I17" s="343">
        <v>6.000000000000006E-2</v>
      </c>
      <c r="J17" s="341">
        <f t="shared" ca="1" si="0"/>
        <v>10.397520264856212</v>
      </c>
      <c r="K17" s="419">
        <f t="shared" ca="1" si="1"/>
        <v>7.7943846298095878E-2</v>
      </c>
      <c r="L17" s="341">
        <f t="shared" ca="1" si="18"/>
        <v>0.88668588702057605</v>
      </c>
      <c r="M17" s="419">
        <f t="shared" ca="1" si="11"/>
        <v>6.1663151371610736E-3</v>
      </c>
      <c r="N17" s="421">
        <f t="shared" ca="1" si="23"/>
        <v>11.284206151876788</v>
      </c>
      <c r="O17" s="422">
        <f t="shared" ca="1" si="24"/>
        <v>8.459078775453345E-2</v>
      </c>
      <c r="P17" s="336"/>
      <c r="Q17" s="337"/>
      <c r="R17" s="338" t="str">
        <f>+R11</f>
        <v>Retail margin</v>
      </c>
      <c r="S17" s="410">
        <f ca="1">+Endeavour!R37</f>
        <v>168.05607399910059</v>
      </c>
      <c r="T17" s="343">
        <f ca="1">+S17/S18</f>
        <v>5.9998598357408277E-2</v>
      </c>
      <c r="U17" s="340">
        <v>182.9853669384247</v>
      </c>
      <c r="V17" s="343">
        <v>6.0000000000000012E-2</v>
      </c>
      <c r="W17" s="340">
        <f ca="1">+Endeavour!W37</f>
        <v>184.32933601255172</v>
      </c>
      <c r="X17" s="343">
        <f ca="1">+W17/W18</f>
        <v>6.0003039066585849E-2</v>
      </c>
      <c r="Y17" s="341">
        <f t="shared" ca="1" si="19"/>
        <v>14.929292939324114</v>
      </c>
      <c r="Z17" s="419">
        <f t="shared" ca="1" si="4"/>
        <v>8.8835188065883378E-2</v>
      </c>
      <c r="AA17" s="341">
        <f t="shared" ca="1" si="20"/>
        <v>1.3439690741270169</v>
      </c>
      <c r="AB17" s="419">
        <f t="shared" ca="1" si="6"/>
        <v>7.3446805972155567E-3</v>
      </c>
      <c r="AC17" s="421">
        <f t="shared" ca="1" si="25"/>
        <v>16.273262013451131</v>
      </c>
      <c r="AD17" s="422">
        <f t="shared" ca="1" si="26"/>
        <v>9.683233474523642E-2</v>
      </c>
      <c r="AE17" s="336"/>
      <c r="AF17" s="337"/>
      <c r="AG17" s="338" t="str">
        <f>+AG11</f>
        <v>Retail margin</v>
      </c>
      <c r="AH17" s="410">
        <f ca="1">+Endeavour!AA37</f>
        <v>486.3928525720703</v>
      </c>
      <c r="AI17" s="343">
        <f ca="1">+AH17/AH18</f>
        <v>0.10999386082588654</v>
      </c>
      <c r="AJ17" s="340">
        <v>523.77891593176173</v>
      </c>
      <c r="AK17" s="343">
        <v>0.11000000000000004</v>
      </c>
      <c r="AL17" s="340">
        <f ca="1">+Endeavour!AF37</f>
        <v>525.27607550850462</v>
      </c>
      <c r="AM17" s="343">
        <f ca="1">+AL17/AL18</f>
        <v>0.1100054608394774</v>
      </c>
      <c r="AN17" s="341">
        <f t="shared" ca="1" si="21"/>
        <v>37.386063359691434</v>
      </c>
      <c r="AO17" s="419">
        <f t="shared" ca="1" si="8"/>
        <v>7.6863924216797219E-2</v>
      </c>
      <c r="AP17" s="341">
        <f t="shared" ca="1" si="22"/>
        <v>1.497159576742888</v>
      </c>
      <c r="AQ17" s="419">
        <f t="shared" ca="1" si="10"/>
        <v>2.8583807618135187E-3</v>
      </c>
      <c r="AR17" s="421">
        <f t="shared" ca="1" si="27"/>
        <v>38.883222936434322</v>
      </c>
      <c r="AS17" s="422">
        <f t="shared" ca="1" si="28"/>
        <v>7.994201134086952E-2</v>
      </c>
    </row>
    <row r="18" spans="1:45" ht="15.75" thickBot="1" x14ac:dyDescent="0.3">
      <c r="A18" s="336"/>
      <c r="B18" s="345"/>
      <c r="C18" s="346" t="s">
        <v>55</v>
      </c>
      <c r="D18" s="366">
        <f>Endeavour!H32</f>
        <v>2223</v>
      </c>
      <c r="E18" s="412"/>
      <c r="F18" s="366">
        <f>ROUND(SUM(F13:F17),0)</f>
        <v>2397</v>
      </c>
      <c r="G18" s="412"/>
      <c r="H18" s="366">
        <f ca="1">ROUND(SUM(H13:H17),0)</f>
        <v>2411</v>
      </c>
      <c r="I18" s="412"/>
      <c r="J18" s="347">
        <f>+ROUND(F18,0)-ROUND(D18,0)</f>
        <v>174</v>
      </c>
      <c r="K18" s="420">
        <f t="shared" si="1"/>
        <v>7.8272604588394065E-2</v>
      </c>
      <c r="L18" s="347">
        <f ca="1">+ROUND(H18,0)-ROUND(F18,0)</f>
        <v>14</v>
      </c>
      <c r="M18" s="420">
        <f t="shared" ca="1" si="11"/>
        <v>5.8406341259908219E-3</v>
      </c>
      <c r="N18" s="347">
        <f ca="1">+ROUND(H18,0)-ROUND(D18,0)</f>
        <v>188</v>
      </c>
      <c r="O18" s="413">
        <f ca="1">+N18/D18</f>
        <v>8.4570400359874037E-2</v>
      </c>
      <c r="P18" s="336"/>
      <c r="Q18" s="345"/>
      <c r="R18" s="346" t="s">
        <v>55</v>
      </c>
      <c r="S18" s="366">
        <f>Endeavour!Q32</f>
        <v>2801</v>
      </c>
      <c r="T18" s="412"/>
      <c r="U18" s="366">
        <f>ROUND(SUM(U13:U17),0)</f>
        <v>3050</v>
      </c>
      <c r="V18" s="412"/>
      <c r="W18" s="366">
        <f ca="1">ROUND(SUM(W13:W17),0)</f>
        <v>3072</v>
      </c>
      <c r="X18" s="412"/>
      <c r="Y18" s="347">
        <f>+ROUND(U18,0)-ROUND(S18,0)</f>
        <v>249</v>
      </c>
      <c r="Z18" s="420">
        <f t="shared" si="4"/>
        <v>8.8896822563370226E-2</v>
      </c>
      <c r="AA18" s="347">
        <f ca="1">+ROUND(W18,0)-ROUND(U18,0)</f>
        <v>22</v>
      </c>
      <c r="AB18" s="420">
        <f t="shared" ca="1" si="6"/>
        <v>7.2131147540983606E-3</v>
      </c>
      <c r="AC18" s="347">
        <f ca="1">+ROUND(W18,0)-ROUND(S18,0)</f>
        <v>271</v>
      </c>
      <c r="AD18" s="413">
        <f ca="1">+AC18/S18</f>
        <v>9.6751160299892891E-2</v>
      </c>
      <c r="AE18" s="336"/>
      <c r="AF18" s="345"/>
      <c r="AG18" s="346" t="s">
        <v>55</v>
      </c>
      <c r="AH18" s="366">
        <f>Endeavour!Z32</f>
        <v>4422</v>
      </c>
      <c r="AI18" s="412"/>
      <c r="AJ18" s="366">
        <f>ROUND(SUM(AJ13:AJ17),0)</f>
        <v>4762</v>
      </c>
      <c r="AK18" s="412"/>
      <c r="AL18" s="366">
        <f ca="1">ROUND(SUM(AL13:AL17),0)</f>
        <v>4775</v>
      </c>
      <c r="AM18" s="412"/>
      <c r="AN18" s="347">
        <f>+ROUND(AJ18,0)-ROUND(AH18,0)</f>
        <v>340</v>
      </c>
      <c r="AO18" s="420">
        <f t="shared" si="8"/>
        <v>7.6888285843509721E-2</v>
      </c>
      <c r="AP18" s="347">
        <f ca="1">+ROUND(AL18,0)-ROUND(AJ18,0)</f>
        <v>13</v>
      </c>
      <c r="AQ18" s="420">
        <f t="shared" ca="1" si="10"/>
        <v>2.7299454010919783E-3</v>
      </c>
      <c r="AR18" s="347">
        <f ca="1">+ROUND(AL18,0)-ROUND(AH18,0)</f>
        <v>353</v>
      </c>
      <c r="AS18" s="413">
        <f ca="1">+AR18/AH18</f>
        <v>7.9828132066938035E-2</v>
      </c>
    </row>
    <row r="19" spans="1:45" x14ac:dyDescent="0.25">
      <c r="A19" s="336"/>
      <c r="B19" s="337" t="s">
        <v>3</v>
      </c>
      <c r="C19" s="338" t="s">
        <v>62</v>
      </c>
      <c r="D19" s="410">
        <f ca="1">+Essential!I33</f>
        <v>1155.0889558312551</v>
      </c>
      <c r="E19" s="339"/>
      <c r="F19" s="340">
        <v>1243.7071289698615</v>
      </c>
      <c r="G19" s="339"/>
      <c r="H19" s="340">
        <f ca="1">+Essential!N33</f>
        <v>1248.9808649440904</v>
      </c>
      <c r="I19" s="339"/>
      <c r="J19" s="341">
        <f t="shared" ca="1" si="0"/>
        <v>88.61817313860638</v>
      </c>
      <c r="K19" s="419">
        <f t="shared" ca="1" si="1"/>
        <v>7.6719782222168909E-2</v>
      </c>
      <c r="L19" s="341">
        <f t="shared" ref="L19:L23" ca="1" si="29">+H19-F19</f>
        <v>5.2737359742288845</v>
      </c>
      <c r="M19" s="419">
        <f t="shared" ca="1" si="11"/>
        <v>4.2403358888816675E-3</v>
      </c>
      <c r="N19" s="365">
        <f ca="1">+H19-D19</f>
        <v>93.891909112835265</v>
      </c>
      <c r="O19" s="342">
        <f ca="1">+N19/D19</f>
        <v>8.1285435756994429E-2</v>
      </c>
      <c r="P19" s="336"/>
      <c r="Q19" s="337" t="s">
        <v>3</v>
      </c>
      <c r="R19" s="338" t="s">
        <v>62</v>
      </c>
      <c r="S19" s="410">
        <f ca="1">+Essential!R33</f>
        <v>1276.3711230908807</v>
      </c>
      <c r="T19" s="339"/>
      <c r="U19" s="340">
        <v>1375.5584332624585</v>
      </c>
      <c r="V19" s="339"/>
      <c r="W19" s="340">
        <f ca="1">+Essential!W33</f>
        <v>1383.2560911362978</v>
      </c>
      <c r="X19" s="339"/>
      <c r="Y19" s="341">
        <f t="shared" ref="Y19:Y23" ca="1" si="30">+U19-S19</f>
        <v>99.187310171577792</v>
      </c>
      <c r="Z19" s="419">
        <f t="shared" ca="1" si="4"/>
        <v>7.7710399724011475E-2</v>
      </c>
      <c r="AA19" s="341">
        <f t="shared" ref="AA19:AA23" ca="1" si="31">+W19-U19</f>
        <v>7.6976578738392618</v>
      </c>
      <c r="AB19" s="419">
        <f t="shared" ca="1" si="6"/>
        <v>5.5960239039663812E-3</v>
      </c>
      <c r="AC19" s="365">
        <f ca="1">+W19-S19</f>
        <v>106.88496804541705</v>
      </c>
      <c r="AD19" s="342">
        <f ca="1">+AC19/S19</f>
        <v>8.3741292882420201E-2</v>
      </c>
      <c r="AE19" s="336"/>
      <c r="AF19" s="337" t="s">
        <v>3</v>
      </c>
      <c r="AG19" s="338" t="s">
        <v>62</v>
      </c>
      <c r="AH19" s="410">
        <f ca="1">+Essential!AA33</f>
        <v>2742.7828040793461</v>
      </c>
      <c r="AI19" s="339"/>
      <c r="AJ19" s="340">
        <v>2951.2751228582788</v>
      </c>
      <c r="AK19" s="339"/>
      <c r="AL19" s="340">
        <f ca="1">+Essential!AF33</f>
        <v>2959.1444552068538</v>
      </c>
      <c r="AM19" s="339"/>
      <c r="AN19" s="341">
        <f t="shared" ref="AN19:AN23" ca="1" si="32">+AJ19-AH19</f>
        <v>208.49231877893271</v>
      </c>
      <c r="AO19" s="419">
        <f t="shared" ca="1" si="8"/>
        <v>7.6014884761870932E-2</v>
      </c>
      <c r="AP19" s="341">
        <f t="shared" ref="AP19:AP23" ca="1" si="33">+AL19-AJ19</f>
        <v>7.8693323485749715</v>
      </c>
      <c r="AQ19" s="419">
        <f t="shared" ca="1" si="10"/>
        <v>2.6664177418178506E-3</v>
      </c>
      <c r="AR19" s="365">
        <f ca="1">+AL19-AH19</f>
        <v>216.36165112750768</v>
      </c>
      <c r="AS19" s="342">
        <f ca="1">+AR19/AH19</f>
        <v>7.8883989941060079E-2</v>
      </c>
    </row>
    <row r="20" spans="1:45" x14ac:dyDescent="0.25">
      <c r="A20" s="336"/>
      <c r="B20" s="337"/>
      <c r="C20" s="338" t="s">
        <v>63</v>
      </c>
      <c r="D20" s="410">
        <f ca="1">+Essential!I34</f>
        <v>838.80785182857142</v>
      </c>
      <c r="E20" s="339"/>
      <c r="F20" s="340">
        <v>882.29774285714279</v>
      </c>
      <c r="G20" s="339"/>
      <c r="H20" s="340">
        <f ca="1">+Essential!N34</f>
        <v>903.45227990993703</v>
      </c>
      <c r="I20" s="339"/>
      <c r="J20" s="341">
        <f t="shared" ca="1" si="0"/>
        <v>43.489891028571378</v>
      </c>
      <c r="K20" s="419">
        <f t="shared" ca="1" si="1"/>
        <v>5.1847262676148004E-2</v>
      </c>
      <c r="L20" s="341">
        <f t="shared" ca="1" si="29"/>
        <v>21.15453705279424</v>
      </c>
      <c r="M20" s="419">
        <f t="shared" ca="1" si="11"/>
        <v>2.3976641926215916E-2</v>
      </c>
      <c r="N20" s="365">
        <f t="shared" ref="N20:N23" ca="1" si="34">+H20-D20</f>
        <v>64.644428081365618</v>
      </c>
      <c r="O20" s="342">
        <f t="shared" ref="O20:O23" ca="1" si="35">+N20/D20</f>
        <v>7.7067027854404377E-2</v>
      </c>
      <c r="P20" s="336"/>
      <c r="Q20" s="337"/>
      <c r="R20" s="338" t="s">
        <v>63</v>
      </c>
      <c r="S20" s="410">
        <f ca="1">+Essential!R34</f>
        <v>1068.7608498285715</v>
      </c>
      <c r="T20" s="339"/>
      <c r="U20" s="340">
        <v>1149.1137428571428</v>
      </c>
      <c r="V20" s="339"/>
      <c r="W20" s="340">
        <f ca="1">+Essential!W34</f>
        <v>1176.0102264212942</v>
      </c>
      <c r="X20" s="339"/>
      <c r="Y20" s="341">
        <f t="shared" ca="1" si="30"/>
        <v>80.352893028571316</v>
      </c>
      <c r="Z20" s="419">
        <f t="shared" ca="1" si="4"/>
        <v>7.5183230225414663E-2</v>
      </c>
      <c r="AA20" s="341">
        <f t="shared" ca="1" si="31"/>
        <v>26.896483564151367</v>
      </c>
      <c r="AB20" s="419">
        <f t="shared" ca="1" si="6"/>
        <v>2.3406284827188879E-2</v>
      </c>
      <c r="AC20" s="365">
        <f t="shared" ref="AC20:AC23" ca="1" si="36">+W20-S20</f>
        <v>107.24937659272268</v>
      </c>
      <c r="AD20" s="342">
        <f t="shared" ref="AD20:AD23" ca="1" si="37">+AC20/S20</f>
        <v>0.10034927515348771</v>
      </c>
      <c r="AE20" s="336"/>
      <c r="AF20" s="337"/>
      <c r="AG20" s="338" t="s">
        <v>63</v>
      </c>
      <c r="AH20" s="410">
        <f ca="1">+Essential!AA34</f>
        <v>1808.1213464285713</v>
      </c>
      <c r="AI20" s="339"/>
      <c r="AJ20" s="340">
        <v>1902.5521428571428</v>
      </c>
      <c r="AK20" s="339"/>
      <c r="AL20" s="340">
        <f ca="1">+Essential!AF34</f>
        <v>1946.1611845522721</v>
      </c>
      <c r="AM20" s="339"/>
      <c r="AN20" s="341">
        <f t="shared" ca="1" si="32"/>
        <v>94.430796428571512</v>
      </c>
      <c r="AO20" s="419">
        <f t="shared" ca="1" si="8"/>
        <v>5.2225917588491863E-2</v>
      </c>
      <c r="AP20" s="341">
        <f t="shared" ca="1" si="33"/>
        <v>43.609041695129235</v>
      </c>
      <c r="AQ20" s="419">
        <f t="shared" ca="1" si="10"/>
        <v>2.2921338507779186E-2</v>
      </c>
      <c r="AR20" s="365">
        <f t="shared" ref="AR20:AR23" ca="1" si="38">+AL20-AH20</f>
        <v>138.03983812370075</v>
      </c>
      <c r="AS20" s="342">
        <f t="shared" ref="AS20:AS23" ca="1" si="39">+AR20/AH20</f>
        <v>7.6344344032196254E-2</v>
      </c>
    </row>
    <row r="21" spans="1:45" x14ac:dyDescent="0.25">
      <c r="A21" s="336"/>
      <c r="B21" s="337"/>
      <c r="C21" s="338" t="s">
        <v>64</v>
      </c>
      <c r="D21" s="410">
        <f ca="1">+Essential!I35</f>
        <v>97.860399999999998</v>
      </c>
      <c r="E21" s="339"/>
      <c r="F21" s="340">
        <v>81.212999999999994</v>
      </c>
      <c r="G21" s="339"/>
      <c r="H21" s="340">
        <f ca="1">+Essential!N35</f>
        <v>80.170406567593488</v>
      </c>
      <c r="I21" s="339"/>
      <c r="J21" s="341">
        <f t="shared" ca="1" si="0"/>
        <v>-16.647400000000005</v>
      </c>
      <c r="K21" s="419">
        <f t="shared" ca="1" si="1"/>
        <v>-0.17011375387797317</v>
      </c>
      <c r="L21" s="341">
        <f t="shared" ca="1" si="29"/>
        <v>-1.0425934324065054</v>
      </c>
      <c r="M21" s="419">
        <f t="shared" ca="1" si="11"/>
        <v>-1.2837765288888546E-2</v>
      </c>
      <c r="N21" s="365">
        <f t="shared" ca="1" si="34"/>
        <v>-17.68999343240651</v>
      </c>
      <c r="O21" s="342">
        <f t="shared" ca="1" si="35"/>
        <v>-0.18076763872216453</v>
      </c>
      <c r="P21" s="336"/>
      <c r="Q21" s="337"/>
      <c r="R21" s="338" t="s">
        <v>64</v>
      </c>
      <c r="S21" s="410">
        <f ca="1">+Essential!R35</f>
        <v>140.4084</v>
      </c>
      <c r="T21" s="339"/>
      <c r="U21" s="340">
        <v>116.523</v>
      </c>
      <c r="V21" s="339"/>
      <c r="W21" s="340">
        <f ca="1">+Essential!W35</f>
        <v>115.02710507524283</v>
      </c>
      <c r="X21" s="339"/>
      <c r="Y21" s="341">
        <f t="shared" ca="1" si="30"/>
        <v>-23.885400000000004</v>
      </c>
      <c r="Z21" s="419">
        <f t="shared" ca="1" si="4"/>
        <v>-0.17011375387797315</v>
      </c>
      <c r="AA21" s="341">
        <f t="shared" ca="1" si="31"/>
        <v>-1.4958949247571667</v>
      </c>
      <c r="AB21" s="419">
        <f t="shared" ca="1" si="6"/>
        <v>-1.2837765288888603E-2</v>
      </c>
      <c r="AC21" s="365">
        <f t="shared" ca="1" si="36"/>
        <v>-25.381294924757171</v>
      </c>
      <c r="AD21" s="342">
        <f t="shared" ca="1" si="37"/>
        <v>-0.18076763872216456</v>
      </c>
      <c r="AE21" s="336"/>
      <c r="AF21" s="337"/>
      <c r="AG21" s="338" t="s">
        <v>64</v>
      </c>
      <c r="AH21" s="410">
        <f ca="1">+Essential!AA35</f>
        <v>212.74</v>
      </c>
      <c r="AI21" s="339"/>
      <c r="AJ21" s="340">
        <v>176.55</v>
      </c>
      <c r="AK21" s="339"/>
      <c r="AL21" s="340">
        <f ca="1">+Essential!AF35</f>
        <v>174.28349253824669</v>
      </c>
      <c r="AM21" s="339"/>
      <c r="AN21" s="341">
        <f t="shared" ca="1" si="32"/>
        <v>-36.19</v>
      </c>
      <c r="AO21" s="419">
        <f t="shared" ca="1" si="8"/>
        <v>-0.17011375387797309</v>
      </c>
      <c r="AP21" s="341">
        <f t="shared" ca="1" si="33"/>
        <v>-2.2665074617533207</v>
      </c>
      <c r="AQ21" s="419">
        <f t="shared" ca="1" si="10"/>
        <v>-1.2837765288888817E-2</v>
      </c>
      <c r="AR21" s="365">
        <f t="shared" ca="1" si="38"/>
        <v>-38.456507461753318</v>
      </c>
      <c r="AS21" s="342">
        <f t="shared" ca="1" si="39"/>
        <v>-0.1807676387221647</v>
      </c>
    </row>
    <row r="22" spans="1:45" x14ac:dyDescent="0.25">
      <c r="A22" s="336"/>
      <c r="B22" s="337"/>
      <c r="C22" s="338" t="s">
        <v>168</v>
      </c>
      <c r="D22" s="410">
        <f ca="1">+Essential!I36</f>
        <v>270.02784441600005</v>
      </c>
      <c r="E22" s="339"/>
      <c r="F22" s="340">
        <v>342.79837450084352</v>
      </c>
      <c r="G22" s="339"/>
      <c r="H22" s="340">
        <f ca="1">+Essential!N36</f>
        <v>343.7615024031029</v>
      </c>
      <c r="I22" s="339"/>
      <c r="J22" s="341">
        <f t="shared" ca="1" si="0"/>
        <v>72.770530084843472</v>
      </c>
      <c r="K22" s="419">
        <f t="shared" ca="1" si="1"/>
        <v>0.26949268969734286</v>
      </c>
      <c r="L22" s="341">
        <f t="shared" ca="1" si="29"/>
        <v>0.96312790225937306</v>
      </c>
      <c r="M22" s="419">
        <f t="shared" ca="1" si="11"/>
        <v>2.8096046361415963E-3</v>
      </c>
      <c r="N22" s="365">
        <f t="shared" ca="1" si="34"/>
        <v>73.733657987102845</v>
      </c>
      <c r="O22" s="342">
        <f t="shared" ca="1" si="35"/>
        <v>0.27305946224386435</v>
      </c>
      <c r="P22" s="336"/>
      <c r="Q22" s="337"/>
      <c r="R22" s="338" t="s">
        <v>168</v>
      </c>
      <c r="S22" s="410">
        <f ca="1">+Essential!R36</f>
        <v>270.02784441600005</v>
      </c>
      <c r="T22" s="339"/>
      <c r="U22" s="340">
        <v>342.79837450084352</v>
      </c>
      <c r="V22" s="339"/>
      <c r="W22" s="340">
        <f ca="1">+Essential!W36</f>
        <v>343.7615024031029</v>
      </c>
      <c r="X22" s="339"/>
      <c r="Y22" s="341">
        <f t="shared" ca="1" si="30"/>
        <v>72.770530084843472</v>
      </c>
      <c r="Z22" s="419">
        <f t="shared" ca="1" si="4"/>
        <v>0.26949268969734286</v>
      </c>
      <c r="AA22" s="341">
        <f t="shared" ca="1" si="31"/>
        <v>0.96312790225937306</v>
      </c>
      <c r="AB22" s="419">
        <f t="shared" ca="1" si="6"/>
        <v>2.8096046361415963E-3</v>
      </c>
      <c r="AC22" s="365">
        <f t="shared" ca="1" si="36"/>
        <v>73.733657987102845</v>
      </c>
      <c r="AD22" s="342">
        <f t="shared" ca="1" si="37"/>
        <v>0.27305946224386435</v>
      </c>
      <c r="AE22" s="336"/>
      <c r="AF22" s="337"/>
      <c r="AG22" s="338" t="s">
        <v>168</v>
      </c>
      <c r="AH22" s="410">
        <f ca="1">+Essential!AA36</f>
        <v>338.80741012800001</v>
      </c>
      <c r="AI22" s="339"/>
      <c r="AJ22" s="340">
        <v>472.36814564165468</v>
      </c>
      <c r="AK22" s="339"/>
      <c r="AL22" s="340">
        <f ca="1">+Essential!AF36</f>
        <v>458.04589127551509</v>
      </c>
      <c r="AM22" s="339"/>
      <c r="AN22" s="341">
        <f t="shared" ca="1" si="32"/>
        <v>133.56073551365466</v>
      </c>
      <c r="AO22" s="419">
        <f t="shared" ca="1" si="8"/>
        <v>0.39420842496684466</v>
      </c>
      <c r="AP22" s="341">
        <f t="shared" ca="1" si="33"/>
        <v>-14.322254366139589</v>
      </c>
      <c r="AQ22" s="419">
        <f t="shared" ca="1" si="10"/>
        <v>-3.0320110486460827E-2</v>
      </c>
      <c r="AR22" s="365">
        <f t="shared" ca="1" si="38"/>
        <v>119.23848114751507</v>
      </c>
      <c r="AS22" s="342">
        <f t="shared" ca="1" si="39"/>
        <v>0.35193587148069538</v>
      </c>
    </row>
    <row r="23" spans="1:45" x14ac:dyDescent="0.25">
      <c r="A23" s="336"/>
      <c r="B23" s="337"/>
      <c r="C23" s="338" t="str">
        <f>+C17</f>
        <v>Retail margin</v>
      </c>
      <c r="D23" s="410">
        <f ca="1">+Essential!I37</f>
        <v>150.75223736654243</v>
      </c>
      <c r="E23" s="343">
        <f ca="1">+D23/D24</f>
        <v>5.9988952394167301E-2</v>
      </c>
      <c r="F23" s="340">
        <v>162.76699444645874</v>
      </c>
      <c r="G23" s="343">
        <f>+F23/F24</f>
        <v>5.9995206209531415E-2</v>
      </c>
      <c r="H23" s="340">
        <f ca="1">+Essential!N37</f>
        <v>164.44883322285477</v>
      </c>
      <c r="I23" s="343">
        <v>6.0000000000000116E-2</v>
      </c>
      <c r="J23" s="341">
        <f t="shared" ca="1" si="0"/>
        <v>12.014757079916308</v>
      </c>
      <c r="K23" s="419">
        <f t="shared" ca="1" si="1"/>
        <v>7.9698698273401758E-2</v>
      </c>
      <c r="L23" s="341">
        <f t="shared" ca="1" si="29"/>
        <v>1.6818387763960345</v>
      </c>
      <c r="M23" s="419">
        <f t="shared" ca="1" si="11"/>
        <v>1.033279985365378E-2</v>
      </c>
      <c r="N23" s="421">
        <f t="shared" ca="1" si="34"/>
        <v>13.696595856312342</v>
      </c>
      <c r="O23" s="422">
        <f t="shared" ca="1" si="35"/>
        <v>9.0855008824911349E-2</v>
      </c>
      <c r="P23" s="336"/>
      <c r="Q23" s="337"/>
      <c r="R23" s="338" t="str">
        <f>+R17</f>
        <v>Retail margin</v>
      </c>
      <c r="S23" s="410">
        <f ca="1">+Essential!R37</f>
        <v>175.88733302141191</v>
      </c>
      <c r="T23" s="343">
        <f ca="1">+S23/S24</f>
        <v>6.0009325493487517E-2</v>
      </c>
      <c r="U23" s="340">
        <v>190.46767344385853</v>
      </c>
      <c r="V23" s="343">
        <v>6.0000000000000095E-2</v>
      </c>
      <c r="W23" s="340">
        <f ca="1">+Essential!W37</f>
        <v>192.64180372569808</v>
      </c>
      <c r="X23" s="343">
        <f ca="1">+W23/W24</f>
        <v>5.9994333144097814E-2</v>
      </c>
      <c r="Y23" s="341">
        <f t="shared" ca="1" si="30"/>
        <v>14.580340422446625</v>
      </c>
      <c r="Z23" s="419">
        <f t="shared" ca="1" si="4"/>
        <v>8.2895909398271822E-2</v>
      </c>
      <c r="AA23" s="341">
        <f t="shared" ca="1" si="31"/>
        <v>2.1741302818395525</v>
      </c>
      <c r="AB23" s="419">
        <f t="shared" ca="1" si="6"/>
        <v>1.1414694381093441E-2</v>
      </c>
      <c r="AC23" s="421">
        <f t="shared" ca="1" si="36"/>
        <v>16.754470704286177</v>
      </c>
      <c r="AD23" s="422">
        <f t="shared" ca="1" si="37"/>
        <v>9.5256835250589353E-2</v>
      </c>
      <c r="AE23" s="336"/>
      <c r="AF23" s="337"/>
      <c r="AG23" s="338" t="str">
        <f>+AG17</f>
        <v>Retail margin</v>
      </c>
      <c r="AH23" s="410">
        <f ca="1">+Essential!AA37</f>
        <v>630.64008052803456</v>
      </c>
      <c r="AI23" s="343">
        <f ca="1">+AH23/AH24</f>
        <v>0.11000175833386265</v>
      </c>
      <c r="AJ23" s="340">
        <v>680.11460140368308</v>
      </c>
      <c r="AK23" s="343">
        <v>0.10999999999999995</v>
      </c>
      <c r="AL23" s="340">
        <f ca="1">+Essential!AF37</f>
        <v>684.42680066631146</v>
      </c>
      <c r="AM23" s="343">
        <f ca="1">+AL23/AL24</f>
        <v>0.11000109300326445</v>
      </c>
      <c r="AN23" s="341">
        <f t="shared" ca="1" si="32"/>
        <v>49.474520875648523</v>
      </c>
      <c r="AO23" s="419">
        <f t="shared" ca="1" si="8"/>
        <v>7.8451278951733511E-2</v>
      </c>
      <c r="AP23" s="341">
        <f t="shared" ca="1" si="33"/>
        <v>4.3121992626283827</v>
      </c>
      <c r="AQ23" s="419">
        <f t="shared" ca="1" si="10"/>
        <v>6.3404009467352548E-3</v>
      </c>
      <c r="AR23" s="421">
        <f t="shared" ca="1" si="38"/>
        <v>53.786720138276905</v>
      </c>
      <c r="AS23" s="422">
        <f t="shared" ca="1" si="39"/>
        <v>8.5289092461806923E-2</v>
      </c>
    </row>
    <row r="24" spans="1:45" ht="15.75" thickBot="1" x14ac:dyDescent="0.3">
      <c r="A24" s="336"/>
      <c r="B24" s="345"/>
      <c r="C24" s="346" t="s">
        <v>55</v>
      </c>
      <c r="D24" s="366">
        <f>Essential!H32</f>
        <v>2513</v>
      </c>
      <c r="E24" s="412"/>
      <c r="F24" s="366">
        <f>ROUND(SUM(F19:F23),0)</f>
        <v>2713</v>
      </c>
      <c r="G24" s="412"/>
      <c r="H24" s="366">
        <f ca="1">ROUND(SUM(H19:H23),0)</f>
        <v>2741</v>
      </c>
      <c r="I24" s="412"/>
      <c r="J24" s="347">
        <f>+ROUND(F24,0)-ROUND(D24,0)</f>
        <v>200</v>
      </c>
      <c r="K24" s="420">
        <f t="shared" si="1"/>
        <v>7.958615200955034E-2</v>
      </c>
      <c r="L24" s="347">
        <f ca="1">+ROUND(H24,0)-ROUND(F24,0)</f>
        <v>28</v>
      </c>
      <c r="M24" s="420">
        <f t="shared" ca="1" si="11"/>
        <v>1.0320678215997052E-2</v>
      </c>
      <c r="N24" s="347">
        <f ca="1">+ROUND(H24,0)-ROUND(D24,0)</f>
        <v>228</v>
      </c>
      <c r="O24" s="413">
        <f ca="1">+N24/D24</f>
        <v>9.0728213290887386E-2</v>
      </c>
      <c r="P24" s="336"/>
      <c r="Q24" s="345"/>
      <c r="R24" s="346" t="s">
        <v>55</v>
      </c>
      <c r="S24" s="366">
        <f>Essential!Q32</f>
        <v>2931</v>
      </c>
      <c r="T24" s="412"/>
      <c r="U24" s="366">
        <f>ROUND(SUM(U19:U23),0)</f>
        <v>3174</v>
      </c>
      <c r="V24" s="412"/>
      <c r="W24" s="366">
        <f ca="1">ROUND(SUM(W19:W23),0)</f>
        <v>3211</v>
      </c>
      <c r="X24" s="412"/>
      <c r="Y24" s="347">
        <f>+ROUND(U24,0)-ROUND(S24,0)</f>
        <v>243</v>
      </c>
      <c r="Z24" s="420">
        <f t="shared" si="4"/>
        <v>8.2906857727737968E-2</v>
      </c>
      <c r="AA24" s="347">
        <f ca="1">+ROUND(W24,0)-ROUND(U24,0)</f>
        <v>37</v>
      </c>
      <c r="AB24" s="420">
        <f t="shared" ca="1" si="6"/>
        <v>1.1657214870825458E-2</v>
      </c>
      <c r="AC24" s="347">
        <f ca="1">+ROUND(W24,0)-ROUND(S24,0)</f>
        <v>280</v>
      </c>
      <c r="AD24" s="413">
        <f ca="1">+AC24/S24</f>
        <v>9.5530535653360629E-2</v>
      </c>
      <c r="AE24" s="336"/>
      <c r="AF24" s="345"/>
      <c r="AG24" s="346" t="s">
        <v>55</v>
      </c>
      <c r="AH24" s="366">
        <f>Essential!Z32</f>
        <v>5733</v>
      </c>
      <c r="AI24" s="412"/>
      <c r="AJ24" s="366">
        <f>ROUND(SUM(AJ19:AJ23),0)</f>
        <v>6183</v>
      </c>
      <c r="AK24" s="412"/>
      <c r="AL24" s="366">
        <f ca="1">ROUND(SUM(AL19:AL23),0)</f>
        <v>6222</v>
      </c>
      <c r="AM24" s="412"/>
      <c r="AN24" s="347">
        <f>+ROUND(AJ24,0)-ROUND(AH24,0)</f>
        <v>450</v>
      </c>
      <c r="AO24" s="420">
        <f t="shared" si="8"/>
        <v>7.8492935635792779E-2</v>
      </c>
      <c r="AP24" s="347">
        <f ca="1">+ROUND(AL24,0)-ROUND(AJ24,0)</f>
        <v>39</v>
      </c>
      <c r="AQ24" s="420">
        <f t="shared" ca="1" si="10"/>
        <v>6.3076176613294519E-3</v>
      </c>
      <c r="AR24" s="347">
        <f ca="1">+ROUND(AL24,0)-ROUND(AH24,0)</f>
        <v>489</v>
      </c>
      <c r="AS24" s="413">
        <f ca="1">+AR24/AH24</f>
        <v>8.5295656724228147E-2</v>
      </c>
    </row>
    <row r="25" spans="1:45" x14ac:dyDescent="0.25">
      <c r="A25" s="336"/>
      <c r="B25" s="337" t="s">
        <v>0</v>
      </c>
      <c r="C25" s="338" t="s">
        <v>62</v>
      </c>
      <c r="D25" s="410">
        <f ca="1">+Energex!I33</f>
        <v>767.70429999999988</v>
      </c>
      <c r="E25" s="339"/>
      <c r="F25" s="340">
        <v>788.19308926600002</v>
      </c>
      <c r="G25" s="339"/>
      <c r="H25" s="340">
        <f ca="1">+Energex!N33</f>
        <v>778.44943700626834</v>
      </c>
      <c r="I25" s="339"/>
      <c r="J25" s="341">
        <f t="shared" ca="1" si="0"/>
        <v>20.48878926600014</v>
      </c>
      <c r="K25" s="419">
        <f t="shared" ca="1" si="1"/>
        <v>2.6688386747345486E-2</v>
      </c>
      <c r="L25" s="341">
        <f t="shared" ref="L25:L29" ca="1" si="40">+H25-F25</f>
        <v>-9.7436522597316753</v>
      </c>
      <c r="M25" s="419">
        <f t="shared" ca="1" si="11"/>
        <v>-1.2362011786737933E-2</v>
      </c>
      <c r="N25" s="365">
        <f ca="1">+H25-D25</f>
        <v>10.745137006268465</v>
      </c>
      <c r="O25" s="342">
        <f ca="1">+N25/D25</f>
        <v>1.3996452809067849E-2</v>
      </c>
      <c r="P25" s="336"/>
      <c r="Q25" s="337" t="s">
        <v>0</v>
      </c>
      <c r="R25" s="338" t="s">
        <v>62</v>
      </c>
      <c r="S25" s="410">
        <f ca="1">+Energex!R33</f>
        <v>870.27213900000015</v>
      </c>
      <c r="T25" s="339"/>
      <c r="U25" s="340">
        <v>828.09008926600006</v>
      </c>
      <c r="V25" s="339"/>
      <c r="W25" s="340">
        <f ca="1">+Energex!W33</f>
        <v>811.07983700626835</v>
      </c>
      <c r="X25" s="339"/>
      <c r="Y25" s="341">
        <f t="shared" ref="Y25:Y29" ca="1" si="41">+U25-S25</f>
        <v>-42.182049734000088</v>
      </c>
      <c r="Z25" s="419">
        <f t="shared" ca="1" si="4"/>
        <v>-4.8469953068324162E-2</v>
      </c>
      <c r="AA25" s="341">
        <f t="shared" ref="AA25:AA29" ca="1" si="42">+W25-U25</f>
        <v>-17.010252259731715</v>
      </c>
      <c r="AB25" s="419">
        <f t="shared" ca="1" si="6"/>
        <v>-2.0541547930864879E-2</v>
      </c>
      <c r="AC25" s="365">
        <f ca="1">+W25-S25</f>
        <v>-59.192301993731803</v>
      </c>
      <c r="AD25" s="342">
        <f ca="1">+AC25/S25</f>
        <v>-6.8015853135029281E-2</v>
      </c>
      <c r="AE25" s="336"/>
      <c r="AF25" s="337" t="s">
        <v>0</v>
      </c>
      <c r="AG25" s="338" t="s">
        <v>62</v>
      </c>
      <c r="AH25" s="410">
        <f ca="1">+Energex!AA33</f>
        <v>1475.3915000000002</v>
      </c>
      <c r="AI25" s="339"/>
      <c r="AJ25" s="340">
        <v>1585.1375892659998</v>
      </c>
      <c r="AK25" s="339"/>
      <c r="AL25" s="340">
        <f ca="1">+Energex!AF33</f>
        <v>1506.3711370062686</v>
      </c>
      <c r="AM25" s="339"/>
      <c r="AN25" s="341">
        <f t="shared" ref="AN25:AN29" ca="1" si="43">+AJ25-AH25</f>
        <v>109.74608926599967</v>
      </c>
      <c r="AO25" s="419">
        <f t="shared" ca="1" si="8"/>
        <v>7.4384384935116996E-2</v>
      </c>
      <c r="AP25" s="341">
        <f t="shared" ref="AP25:AP29" ca="1" si="44">+AL25-AJ25</f>
        <v>-78.766452259731295</v>
      </c>
      <c r="AQ25" s="419">
        <f t="shared" ca="1" si="10"/>
        <v>-4.9690609063282772E-2</v>
      </c>
      <c r="AR25" s="365">
        <f ca="1">+AL25-AH25</f>
        <v>30.979637006268376</v>
      </c>
      <c r="AS25" s="342">
        <f ca="1">+AR25/AH25</f>
        <v>2.0997570479610581E-2</v>
      </c>
    </row>
    <row r="26" spans="1:45" x14ac:dyDescent="0.25">
      <c r="A26" s="336"/>
      <c r="B26" s="344"/>
      <c r="C26" s="338" t="s">
        <v>63</v>
      </c>
      <c r="D26" s="410">
        <f ca="1">+Energex!I34</f>
        <v>847.86525182857145</v>
      </c>
      <c r="E26" s="339"/>
      <c r="F26" s="340">
        <v>861.19754285714282</v>
      </c>
      <c r="G26" s="339"/>
      <c r="H26" s="340">
        <f ca="1">+Energex!N34</f>
        <v>847.00695816791369</v>
      </c>
      <c r="I26" s="339"/>
      <c r="J26" s="341">
        <f t="shared" ca="1" si="0"/>
        <v>13.332291028571376</v>
      </c>
      <c r="K26" s="419">
        <f t="shared" ca="1" si="1"/>
        <v>1.5724539954689653E-2</v>
      </c>
      <c r="L26" s="341">
        <f t="shared" ca="1" si="40"/>
        <v>-14.190584689229127</v>
      </c>
      <c r="M26" s="419">
        <f t="shared" ca="1" si="11"/>
        <v>-1.6477734762398281E-2</v>
      </c>
      <c r="N26" s="365">
        <f t="shared" ref="N26:N29" ca="1" si="45">+H26-D26</f>
        <v>-0.85829366065775048</v>
      </c>
      <c r="O26" s="342">
        <f t="shared" ref="O26:O29" ca="1" si="46">+N26/D26</f>
        <v>-1.0122996063427394E-3</v>
      </c>
      <c r="P26" s="336"/>
      <c r="Q26" s="344"/>
      <c r="R26" s="338" t="s">
        <v>63</v>
      </c>
      <c r="S26" s="410">
        <f ca="1">+Energex!R34</f>
        <v>1041.8040771285714</v>
      </c>
      <c r="T26" s="339"/>
      <c r="U26" s="340">
        <v>1071.381835857143</v>
      </c>
      <c r="V26" s="339"/>
      <c r="W26" s="340">
        <f ca="1">+Energex!W34</f>
        <v>1057.3853774712472</v>
      </c>
      <c r="X26" s="339"/>
      <c r="Y26" s="341">
        <f t="shared" ca="1" si="41"/>
        <v>29.577758728571553</v>
      </c>
      <c r="Z26" s="419">
        <f t="shared" ca="1" si="4"/>
        <v>2.8390903220588275E-2</v>
      </c>
      <c r="AA26" s="341">
        <f t="shared" ca="1" si="42"/>
        <v>-13.996458385895721</v>
      </c>
      <c r="AB26" s="419">
        <f t="shared" ca="1" si="6"/>
        <v>-1.3063931007098011E-2</v>
      </c>
      <c r="AC26" s="365">
        <f t="shared" ref="AC26:AC29" ca="1" si="47">+W26-S26</f>
        <v>15.581300342675831</v>
      </c>
      <c r="AD26" s="342">
        <f t="shared" ref="AD26:AD29" ca="1" si="48">+AC26/S26</f>
        <v>1.4956075412587302E-2</v>
      </c>
      <c r="AE26" s="336"/>
      <c r="AF26" s="344"/>
      <c r="AG26" s="338" t="s">
        <v>63</v>
      </c>
      <c r="AH26" s="410">
        <f ca="1">+Energex!AA34</f>
        <v>1827.8113464285716</v>
      </c>
      <c r="AI26" s="339"/>
      <c r="AJ26" s="340">
        <v>1856.6821428571432</v>
      </c>
      <c r="AK26" s="339"/>
      <c r="AL26" s="340">
        <f ca="1">+Energex!AF34</f>
        <v>1823.4539633739605</v>
      </c>
      <c r="AM26" s="339"/>
      <c r="AN26" s="341">
        <f t="shared" ca="1" si="43"/>
        <v>28.870796428571566</v>
      </c>
      <c r="AO26" s="419">
        <f t="shared" ca="1" si="8"/>
        <v>1.5795282420684873E-2</v>
      </c>
      <c r="AP26" s="341">
        <f t="shared" ca="1" si="44"/>
        <v>-33.228179483182657</v>
      </c>
      <c r="AQ26" s="419">
        <f t="shared" ca="1" si="10"/>
        <v>-1.7896536362465194E-2</v>
      </c>
      <c r="AR26" s="365">
        <f t="shared" ref="AR26:AR29" ca="1" si="49">+AL26-AH26</f>
        <v>-4.3573830546110912</v>
      </c>
      <c r="AS26" s="342">
        <f t="shared" ref="AS26:AS29" ca="1" si="50">+AR26/AH26</f>
        <v>-2.3839347879775138E-3</v>
      </c>
    </row>
    <row r="27" spans="1:45" x14ac:dyDescent="0.25">
      <c r="A27" s="336"/>
      <c r="B27" s="337"/>
      <c r="C27" s="338" t="s">
        <v>64</v>
      </c>
      <c r="D27" s="410">
        <f ca="1">+Energex!I35</f>
        <v>83.641799999999989</v>
      </c>
      <c r="E27" s="339"/>
      <c r="F27" s="340">
        <v>62.845199999999998</v>
      </c>
      <c r="G27" s="339"/>
      <c r="H27" s="340">
        <f ca="1">+Energex!N35</f>
        <v>60.305218339699216</v>
      </c>
      <c r="I27" s="339"/>
      <c r="J27" s="341">
        <f t="shared" ca="1" si="0"/>
        <v>-20.796599999999991</v>
      </c>
      <c r="K27" s="419">
        <f t="shared" ca="1" si="1"/>
        <v>-0.248638838475499</v>
      </c>
      <c r="L27" s="341">
        <f t="shared" ca="1" si="40"/>
        <v>-2.5399816603007821</v>
      </c>
      <c r="M27" s="419">
        <f t="shared" ca="1" si="11"/>
        <v>-4.0416478272020488E-2</v>
      </c>
      <c r="N27" s="365">
        <f t="shared" ca="1" si="45"/>
        <v>-23.336581660300773</v>
      </c>
      <c r="O27" s="342">
        <f t="shared" ca="1" si="46"/>
        <v>-0.2790062105346941</v>
      </c>
      <c r="P27" s="336"/>
      <c r="Q27" s="337"/>
      <c r="R27" s="338" t="s">
        <v>64</v>
      </c>
      <c r="S27" s="410">
        <f ca="1">+Energex!R35</f>
        <v>114.55289999999999</v>
      </c>
      <c r="T27" s="339"/>
      <c r="U27" s="340">
        <v>86.070600000000013</v>
      </c>
      <c r="V27" s="339"/>
      <c r="W27" s="340">
        <f ca="1">+Energex!W35</f>
        <v>82.591929465240227</v>
      </c>
      <c r="X27" s="339"/>
      <c r="Y27" s="341">
        <f t="shared" ca="1" si="41"/>
        <v>-28.482299999999981</v>
      </c>
      <c r="Z27" s="419">
        <f t="shared" ca="1" si="4"/>
        <v>-0.24863883847549895</v>
      </c>
      <c r="AA27" s="341">
        <f t="shared" ca="1" si="42"/>
        <v>-3.4786705347597859</v>
      </c>
      <c r="AB27" s="419">
        <f t="shared" ca="1" si="6"/>
        <v>-4.0416478272020703E-2</v>
      </c>
      <c r="AC27" s="365">
        <f t="shared" ca="1" si="47"/>
        <v>-31.960970534759767</v>
      </c>
      <c r="AD27" s="342">
        <f t="shared" ca="1" si="48"/>
        <v>-0.27900621053469415</v>
      </c>
      <c r="AE27" s="336"/>
      <c r="AF27" s="337"/>
      <c r="AG27" s="338" t="s">
        <v>64</v>
      </c>
      <c r="AH27" s="410">
        <f ca="1">+Energex!AA35</f>
        <v>181.83</v>
      </c>
      <c r="AI27" s="339"/>
      <c r="AJ27" s="340">
        <v>136.62</v>
      </c>
      <c r="AK27" s="339"/>
      <c r="AL27" s="340">
        <f ca="1">+Energex!AF35</f>
        <v>131.09830073847655</v>
      </c>
      <c r="AM27" s="339"/>
      <c r="AN27" s="341">
        <f t="shared" ca="1" si="43"/>
        <v>-45.210000000000008</v>
      </c>
      <c r="AO27" s="419">
        <f t="shared" ca="1" si="8"/>
        <v>-0.24863883847549911</v>
      </c>
      <c r="AP27" s="341">
        <f t="shared" ca="1" si="44"/>
        <v>-5.5216992615234517</v>
      </c>
      <c r="AQ27" s="419">
        <f t="shared" ca="1" si="10"/>
        <v>-4.0416478272020578E-2</v>
      </c>
      <c r="AR27" s="365">
        <f t="shared" ca="1" si="49"/>
        <v>-50.73169926152346</v>
      </c>
      <c r="AS27" s="342">
        <f t="shared" ca="1" si="50"/>
        <v>-0.27900621053469427</v>
      </c>
    </row>
    <row r="28" spans="1:45" x14ac:dyDescent="0.25">
      <c r="A28" s="336"/>
      <c r="B28" s="337"/>
      <c r="C28" s="338" t="s">
        <v>168</v>
      </c>
      <c r="D28" s="410">
        <f ca="1">+Energex!I36</f>
        <v>242.45474457600002</v>
      </c>
      <c r="E28" s="339"/>
      <c r="F28" s="340">
        <v>341.25241025712359</v>
      </c>
      <c r="G28" s="339"/>
      <c r="H28" s="340">
        <f ca="1">+Energex!N36</f>
        <v>328.20341084841237</v>
      </c>
      <c r="I28" s="339"/>
      <c r="J28" s="341">
        <f t="shared" ca="1" si="0"/>
        <v>98.797665681123561</v>
      </c>
      <c r="K28" s="419">
        <f t="shared" ca="1" si="1"/>
        <v>0.40748910009535566</v>
      </c>
      <c r="L28" s="341">
        <f t="shared" ca="1" si="40"/>
        <v>-13.048999408711211</v>
      </c>
      <c r="M28" s="419">
        <f t="shared" ca="1" si="11"/>
        <v>-3.823855602625393E-2</v>
      </c>
      <c r="N28" s="365">
        <f t="shared" ca="1" si="45"/>
        <v>85.748666272412351</v>
      </c>
      <c r="O28" s="342">
        <f t="shared" ca="1" si="46"/>
        <v>0.35366874928501768</v>
      </c>
      <c r="P28" s="336"/>
      <c r="Q28" s="337"/>
      <c r="R28" s="338" t="s">
        <v>168</v>
      </c>
      <c r="S28" s="410">
        <f ca="1">+Energex!R36</f>
        <v>242.45474457600002</v>
      </c>
      <c r="T28" s="339"/>
      <c r="U28" s="340">
        <v>341.25241025712359</v>
      </c>
      <c r="V28" s="339"/>
      <c r="W28" s="340">
        <f ca="1">+Energex!W36</f>
        <v>328.20341084841237</v>
      </c>
      <c r="X28" s="339"/>
      <c r="Y28" s="341">
        <f t="shared" ca="1" si="41"/>
        <v>98.797665681123561</v>
      </c>
      <c r="Z28" s="419">
        <f t="shared" ca="1" si="4"/>
        <v>0.40748910009535566</v>
      </c>
      <c r="AA28" s="341">
        <f t="shared" ca="1" si="42"/>
        <v>-13.048999408711211</v>
      </c>
      <c r="AB28" s="419">
        <f t="shared" ca="1" si="6"/>
        <v>-3.823855602625393E-2</v>
      </c>
      <c r="AC28" s="365">
        <f t="shared" ca="1" si="47"/>
        <v>85.748666272412351</v>
      </c>
      <c r="AD28" s="342">
        <f t="shared" ca="1" si="48"/>
        <v>0.35366874928501768</v>
      </c>
      <c r="AE28" s="336"/>
      <c r="AF28" s="337"/>
      <c r="AG28" s="338" t="s">
        <v>168</v>
      </c>
      <c r="AH28" s="410">
        <f ca="1">+Energex!AA36</f>
        <v>306.96872817600007</v>
      </c>
      <c r="AI28" s="339"/>
      <c r="AJ28" s="340">
        <v>372.09455318907681</v>
      </c>
      <c r="AK28" s="339"/>
      <c r="AL28" s="340">
        <f ca="1">+Energex!AF36</f>
        <v>360.65874430137626</v>
      </c>
      <c r="AM28" s="339"/>
      <c r="AN28" s="341">
        <f t="shared" ca="1" si="43"/>
        <v>65.125825013076735</v>
      </c>
      <c r="AO28" s="419">
        <f t="shared" ca="1" si="8"/>
        <v>0.21215784878170696</v>
      </c>
      <c r="AP28" s="341">
        <f t="shared" ca="1" si="44"/>
        <v>-11.435808887700546</v>
      </c>
      <c r="AQ28" s="419">
        <f t="shared" ca="1" si="10"/>
        <v>-3.0733610018444782E-2</v>
      </c>
      <c r="AR28" s="365">
        <f t="shared" ca="1" si="49"/>
        <v>53.690016125376189</v>
      </c>
      <c r="AS28" s="342">
        <f t="shared" ca="1" si="50"/>
        <v>0.17490386217645304</v>
      </c>
    </row>
    <row r="29" spans="1:45" x14ac:dyDescent="0.25">
      <c r="A29" s="336"/>
      <c r="B29" s="337"/>
      <c r="C29" s="338" t="str">
        <f>+C23</f>
        <v>Retail margin</v>
      </c>
      <c r="D29" s="410">
        <f ca="1">+Energex!I37</f>
        <v>123.93613381305795</v>
      </c>
      <c r="E29" s="343">
        <f ca="1">+D29/D30</f>
        <v>5.9988448118614687E-2</v>
      </c>
      <c r="F29" s="340">
        <v>131.07371759874059</v>
      </c>
      <c r="G29" s="343">
        <f>+F29/F30</f>
        <v>5.9987971441071208E-2</v>
      </c>
      <c r="H29" s="340">
        <f ca="1">+Energex!N37</f>
        <v>128.5509590018487</v>
      </c>
      <c r="I29" s="343">
        <v>6.0000000000000074E-2</v>
      </c>
      <c r="J29" s="341">
        <f t="shared" ca="1" si="0"/>
        <v>7.1375837856826365</v>
      </c>
      <c r="K29" s="419">
        <f t="shared" ca="1" si="1"/>
        <v>5.7590821708613106E-2</v>
      </c>
      <c r="L29" s="341">
        <f t="shared" ca="1" si="40"/>
        <v>-2.5227585968918902</v>
      </c>
      <c r="M29" s="419">
        <f t="shared" ca="1" si="11"/>
        <v>-1.924686842723785E-2</v>
      </c>
      <c r="N29" s="421">
        <f t="shared" ca="1" si="45"/>
        <v>4.6148251887907463</v>
      </c>
      <c r="O29" s="422">
        <f t="shared" ca="1" si="46"/>
        <v>3.7235510313333067E-2</v>
      </c>
      <c r="P29" s="336"/>
      <c r="Q29" s="337"/>
      <c r="R29" s="338" t="str">
        <f>+R23</f>
        <v>Retail margin</v>
      </c>
      <c r="S29" s="410">
        <f ca="1">+Energex!R37</f>
        <v>144.83514004497283</v>
      </c>
      <c r="T29" s="343">
        <f ca="1">+S29/S30</f>
        <v>5.9997986762623377E-2</v>
      </c>
      <c r="U29" s="340">
        <v>148.51882566257018</v>
      </c>
      <c r="V29" s="343">
        <v>5.9999999999999984E-2</v>
      </c>
      <c r="W29" s="340">
        <f ca="1">+Energex!W37</f>
        <v>145.48471626326636</v>
      </c>
      <c r="X29" s="343">
        <f ca="1">+W29/W30</f>
        <v>5.9993697428151076E-2</v>
      </c>
      <c r="Y29" s="341">
        <f t="shared" ca="1" si="41"/>
        <v>3.683685617597348</v>
      </c>
      <c r="Z29" s="419">
        <f t="shared" ca="1" si="4"/>
        <v>2.543364556732244E-2</v>
      </c>
      <c r="AA29" s="341">
        <f t="shared" ca="1" si="42"/>
        <v>-3.0341093993038157</v>
      </c>
      <c r="AB29" s="419">
        <f t="shared" ca="1" si="6"/>
        <v>-2.0429123282978356E-2</v>
      </c>
      <c r="AC29" s="421">
        <f t="shared" ca="1" si="47"/>
        <v>0.64957621829353229</v>
      </c>
      <c r="AD29" s="422">
        <f t="shared" ca="1" si="48"/>
        <v>4.4849352035136779E-3</v>
      </c>
      <c r="AE29" s="336"/>
      <c r="AF29" s="337"/>
      <c r="AG29" s="338" t="str">
        <f>+AG23</f>
        <v>Retail margin</v>
      </c>
      <c r="AH29" s="410">
        <f ca="1">+Energex!AA37</f>
        <v>468.67435191741879</v>
      </c>
      <c r="AI29" s="343">
        <f ca="1">+AH29/AH30</f>
        <v>0.1099916338693778</v>
      </c>
      <c r="AJ29" s="340">
        <v>488.26828245431898</v>
      </c>
      <c r="AK29" s="343">
        <v>0.10999999999999995</v>
      </c>
      <c r="AL29" s="340">
        <f ca="1">+Energex!AF37</f>
        <v>472.33037752383052</v>
      </c>
      <c r="AM29" s="343">
        <f ca="1">+AL29/AL30</f>
        <v>0.10999775908799034</v>
      </c>
      <c r="AN29" s="341">
        <f t="shared" ca="1" si="43"/>
        <v>19.593930536900189</v>
      </c>
      <c r="AO29" s="419">
        <f t="shared" ca="1" si="8"/>
        <v>4.1807132088065857E-2</v>
      </c>
      <c r="AP29" s="341">
        <f t="shared" ca="1" si="44"/>
        <v>-15.937904930488457</v>
      </c>
      <c r="AQ29" s="419">
        <f t="shared" ca="1" si="10"/>
        <v>-3.2641696180581957E-2</v>
      </c>
      <c r="AR29" s="421">
        <f t="shared" ca="1" si="49"/>
        <v>3.6560256064117311</v>
      </c>
      <c r="AS29" s="422">
        <f t="shared" ca="1" si="50"/>
        <v>7.8007802036837914E-3</v>
      </c>
    </row>
    <row r="30" spans="1:45" ht="15.75" thickBot="1" x14ac:dyDescent="0.3">
      <c r="A30" s="336"/>
      <c r="B30" s="345"/>
      <c r="C30" s="346" t="s">
        <v>55</v>
      </c>
      <c r="D30" s="366">
        <f>Energex!H32</f>
        <v>2066</v>
      </c>
      <c r="E30" s="412"/>
      <c r="F30" s="366">
        <f>ROUND(SUM(F25:F29),0)</f>
        <v>2185</v>
      </c>
      <c r="G30" s="412"/>
      <c r="H30" s="366">
        <f ca="1">ROUND(SUM(H25:H29),0)</f>
        <v>2143</v>
      </c>
      <c r="I30" s="412"/>
      <c r="J30" s="347">
        <f>+ROUND(F30,0)-ROUND(D30,0)</f>
        <v>119</v>
      </c>
      <c r="K30" s="420">
        <f t="shared" si="1"/>
        <v>5.7599225556631169E-2</v>
      </c>
      <c r="L30" s="427">
        <f ca="1">+ROUND(H30,0)-ROUND(F30,0)</f>
        <v>-42</v>
      </c>
      <c r="M30" s="420">
        <f t="shared" ca="1" si="11"/>
        <v>-1.9221967963386728E-2</v>
      </c>
      <c r="N30" s="347">
        <f ca="1">+ROUND(H30,0)-ROUND(D30,0)</f>
        <v>77</v>
      </c>
      <c r="O30" s="413">
        <f ca="1">+N30/D30</f>
        <v>3.7270087124878996E-2</v>
      </c>
      <c r="P30" s="336"/>
      <c r="Q30" s="345"/>
      <c r="R30" s="346" t="s">
        <v>55</v>
      </c>
      <c r="S30" s="366">
        <f>Energex!Q32</f>
        <v>2414</v>
      </c>
      <c r="T30" s="412"/>
      <c r="U30" s="366">
        <f>ROUND(SUM(U25:U29),0)</f>
        <v>2475</v>
      </c>
      <c r="V30" s="412"/>
      <c r="W30" s="366">
        <f ca="1">ROUND(SUM(W25:W29),0)</f>
        <v>2425</v>
      </c>
      <c r="X30" s="412"/>
      <c r="Y30" s="347">
        <f>+ROUND(U30,0)-ROUND(S30,0)</f>
        <v>61</v>
      </c>
      <c r="Z30" s="420">
        <f t="shared" si="4"/>
        <v>2.5269262634631317E-2</v>
      </c>
      <c r="AA30" s="427">
        <f ca="1">+ROUND(W30,0)-ROUND(U30,0)</f>
        <v>-50</v>
      </c>
      <c r="AB30" s="420">
        <f t="shared" ca="1" si="6"/>
        <v>-2.0202020202020204E-2</v>
      </c>
      <c r="AC30" s="347">
        <f ca="1">+ROUND(W30,0)-ROUND(S30,0)</f>
        <v>11</v>
      </c>
      <c r="AD30" s="413">
        <f ca="1">+AC30/S30</f>
        <v>4.5567522783761388E-3</v>
      </c>
      <c r="AE30" s="336"/>
      <c r="AF30" s="345"/>
      <c r="AG30" s="346" t="s">
        <v>55</v>
      </c>
      <c r="AH30" s="366">
        <f>Energex!Z32</f>
        <v>4261</v>
      </c>
      <c r="AI30" s="412"/>
      <c r="AJ30" s="366">
        <f>ROUND(SUM(AJ25:AJ29),0)</f>
        <v>4439</v>
      </c>
      <c r="AK30" s="412"/>
      <c r="AL30" s="366">
        <f ca="1">ROUND(SUM(AL25:AL29),0)</f>
        <v>4294</v>
      </c>
      <c r="AM30" s="412"/>
      <c r="AN30" s="347">
        <f>+ROUND(AJ30,0)-ROUND(AH30,0)</f>
        <v>178</v>
      </c>
      <c r="AO30" s="420">
        <f t="shared" si="8"/>
        <v>4.177423140107956E-2</v>
      </c>
      <c r="AP30" s="427">
        <f ca="1">+ROUND(AL30,0)-ROUND(AJ30,0)</f>
        <v>-145</v>
      </c>
      <c r="AQ30" s="420">
        <f t="shared" ca="1" si="10"/>
        <v>-3.2665014642937598E-2</v>
      </c>
      <c r="AR30" s="347">
        <f ca="1">+ROUND(AL30,0)-ROUND(AH30,0)</f>
        <v>33</v>
      </c>
      <c r="AS30" s="413">
        <f ca="1">+AR30/AH30</f>
        <v>7.7446608777282325E-3</v>
      </c>
    </row>
    <row r="31" spans="1:45" x14ac:dyDescent="0.25">
      <c r="A31" s="336"/>
      <c r="B31" s="337" t="s">
        <v>5</v>
      </c>
      <c r="C31" s="338" t="s">
        <v>62</v>
      </c>
      <c r="D31" s="411">
        <f ca="1">+SAPN!I33</f>
        <v>922.34395000000006</v>
      </c>
      <c r="E31" s="339"/>
      <c r="F31" s="340">
        <v>900.67229999999995</v>
      </c>
      <c r="G31" s="339"/>
      <c r="H31" s="340">
        <f ca="1">+SAPN!N33</f>
        <v>896.99139399817057</v>
      </c>
      <c r="I31" s="339"/>
      <c r="J31" s="341">
        <f t="shared" ca="1" si="0"/>
        <v>-21.671650000000113</v>
      </c>
      <c r="K31" s="419">
        <f t="shared" ca="1" si="1"/>
        <v>-2.3496278150900336E-2</v>
      </c>
      <c r="L31" s="341">
        <f t="shared" ref="L31:L35" ca="1" si="51">+H31-F31</f>
        <v>-3.6809060018293849</v>
      </c>
      <c r="M31" s="419">
        <f t="shared" ca="1" si="11"/>
        <v>-4.0868426861016879E-3</v>
      </c>
      <c r="N31" s="365">
        <f ca="1">+H31-D31</f>
        <v>-25.352556001829498</v>
      </c>
      <c r="O31" s="342">
        <f ca="1">+N31/D31</f>
        <v>-2.7487095244490407E-2</v>
      </c>
      <c r="P31" s="336"/>
      <c r="Q31" s="337" t="s">
        <v>5</v>
      </c>
      <c r="R31" s="338" t="s">
        <v>62</v>
      </c>
      <c r="S31" s="411">
        <f ca="1">+SAPN!R33</f>
        <v>1105.11995</v>
      </c>
      <c r="T31" s="339"/>
      <c r="U31" s="340">
        <v>1077.3323</v>
      </c>
      <c r="V31" s="339"/>
      <c r="W31" s="340">
        <f ca="1">+SAPN!W33</f>
        <v>1072.6613939981705</v>
      </c>
      <c r="X31" s="339"/>
      <c r="Y31" s="341">
        <f t="shared" ref="Y31:Y35" ca="1" si="52">+U31-S31</f>
        <v>-27.787649999999985</v>
      </c>
      <c r="Z31" s="419">
        <f t="shared" ca="1" si="4"/>
        <v>-2.5144465087251374E-2</v>
      </c>
      <c r="AA31" s="341">
        <f t="shared" ref="AA31:AA35" ca="1" si="53">+W31-U31</f>
        <v>-4.6709060018295077</v>
      </c>
      <c r="AB31" s="419">
        <f t="shared" ca="1" si="6"/>
        <v>-4.3356223533161566E-3</v>
      </c>
      <c r="AC31" s="365">
        <f ca="1">+W31-S31</f>
        <v>-32.458556001829493</v>
      </c>
      <c r="AD31" s="342">
        <f ca="1">+AC31/S31</f>
        <v>-2.9371070535673068E-2</v>
      </c>
      <c r="AE31" s="336"/>
      <c r="AF31" s="337" t="s">
        <v>5</v>
      </c>
      <c r="AG31" s="338" t="s">
        <v>62</v>
      </c>
      <c r="AH31" s="411">
        <f ca="1">+SAPN!AA33</f>
        <v>2206.44985</v>
      </c>
      <c r="AI31" s="339"/>
      <c r="AJ31" s="340">
        <v>2299.4394499999999</v>
      </c>
      <c r="AK31" s="339"/>
      <c r="AL31" s="340">
        <f ca="1">+SAPN!AF33</f>
        <v>2281.9764034447339</v>
      </c>
      <c r="AM31" s="339"/>
      <c r="AN31" s="341">
        <f t="shared" ref="AN31:AN35" ca="1" si="54">+AJ31-AH31</f>
        <v>92.989599999999882</v>
      </c>
      <c r="AO31" s="419">
        <f t="shared" ca="1" si="8"/>
        <v>4.2144443029149235E-2</v>
      </c>
      <c r="AP31" s="341">
        <f t="shared" ref="AP31:AP35" ca="1" si="55">+AL31-AJ31</f>
        <v>-17.463046555265919</v>
      </c>
      <c r="AQ31" s="419">
        <f t="shared" ca="1" si="10"/>
        <v>-7.5944798438880049E-3</v>
      </c>
      <c r="AR31" s="365">
        <f ca="1">+AL31-AH31</f>
        <v>75.526553444733963</v>
      </c>
      <c r="AS31" s="342">
        <f ca="1">+AR31/AH31</f>
        <v>3.4229898062144472E-2</v>
      </c>
    </row>
    <row r="32" spans="1:45" x14ac:dyDescent="0.25">
      <c r="A32" s="336"/>
      <c r="B32" s="344"/>
      <c r="C32" s="338" t="s">
        <v>63</v>
      </c>
      <c r="D32" s="411">
        <f ca="1">+SAPN!I34</f>
        <v>805.77435242857121</v>
      </c>
      <c r="E32" s="339"/>
      <c r="F32" s="340">
        <v>890.3761428571429</v>
      </c>
      <c r="G32" s="339"/>
      <c r="H32" s="340">
        <f ca="1">+SAPN!N34</f>
        <v>858.79927885285178</v>
      </c>
      <c r="I32" s="339"/>
      <c r="J32" s="341">
        <f t="shared" ca="1" si="0"/>
        <v>84.60179042857169</v>
      </c>
      <c r="K32" s="419">
        <f t="shared" ca="1" si="1"/>
        <v>0.10499439473791307</v>
      </c>
      <c r="L32" s="341">
        <f t="shared" ca="1" si="51"/>
        <v>-31.57686400429111</v>
      </c>
      <c r="M32" s="419">
        <f t="shared" ca="1" si="11"/>
        <v>-3.5464633972518159E-2</v>
      </c>
      <c r="N32" s="365">
        <f t="shared" ref="N32:N35" ca="1" si="56">+H32-D32</f>
        <v>53.024926424280579</v>
      </c>
      <c r="O32" s="342">
        <f t="shared" ref="O32:O35" ca="1" si="57">+N32/D32</f>
        <v>6.5806172986848738E-2</v>
      </c>
      <c r="P32" s="336"/>
      <c r="Q32" s="344"/>
      <c r="R32" s="338" t="s">
        <v>63</v>
      </c>
      <c r="S32" s="411">
        <f ca="1">+SAPN!R34</f>
        <v>1072.0471504285711</v>
      </c>
      <c r="T32" s="339"/>
      <c r="U32" s="340">
        <v>1181.0621428571428</v>
      </c>
      <c r="V32" s="339"/>
      <c r="W32" s="340">
        <f ca="1">+SAPN!W34</f>
        <v>1138.9607300597761</v>
      </c>
      <c r="X32" s="339"/>
      <c r="Y32" s="341">
        <f t="shared" ca="1" si="52"/>
        <v>109.01499242857176</v>
      </c>
      <c r="Z32" s="419">
        <f t="shared" ca="1" si="4"/>
        <v>0.10168861731966823</v>
      </c>
      <c r="AA32" s="341">
        <f t="shared" ca="1" si="53"/>
        <v>-42.10141279736672</v>
      </c>
      <c r="AB32" s="419">
        <f t="shared" ca="1" si="6"/>
        <v>-3.5647076702939554E-2</v>
      </c>
      <c r="AC32" s="365">
        <f t="shared" ref="AC32:AC35" ca="1" si="58">+W32-S32</f>
        <v>66.913579631205039</v>
      </c>
      <c r="AD32" s="342">
        <f t="shared" ref="AD32:AD35" ca="1" si="59">+AC32/S32</f>
        <v>6.2416638675318596E-2</v>
      </c>
      <c r="AE32" s="336"/>
      <c r="AF32" s="344"/>
      <c r="AG32" s="338" t="s">
        <v>63</v>
      </c>
      <c r="AH32" s="411">
        <f ca="1">+SAPN!AA34</f>
        <v>1994.7913464285712</v>
      </c>
      <c r="AI32" s="339"/>
      <c r="AJ32" s="340">
        <v>2206.1521428571432</v>
      </c>
      <c r="AK32" s="339"/>
      <c r="AL32" s="340">
        <f ca="1">+SAPN!AF34</f>
        <v>2124.1700443102077</v>
      </c>
      <c r="AM32" s="339"/>
      <c r="AN32" s="341">
        <f t="shared" ca="1" si="54"/>
        <v>211.36079642857203</v>
      </c>
      <c r="AO32" s="419">
        <f t="shared" ca="1" si="8"/>
        <v>0.10595634315688585</v>
      </c>
      <c r="AP32" s="341">
        <f t="shared" ca="1" si="55"/>
        <v>-81.982098546935504</v>
      </c>
      <c r="AQ32" s="419">
        <f t="shared" ca="1" si="10"/>
        <v>-3.7160673080670739E-2</v>
      </c>
      <c r="AR32" s="365">
        <f t="shared" ref="AR32:AR35" ca="1" si="60">+AL32-AH32</f>
        <v>129.37869788163653</v>
      </c>
      <c r="AS32" s="342">
        <f t="shared" ref="AS32:AS35" ca="1" si="61">+AR32/AH32</f>
        <v>6.4858261047338703E-2</v>
      </c>
    </row>
    <row r="33" spans="1:45" x14ac:dyDescent="0.25">
      <c r="A33" s="336"/>
      <c r="B33" s="337"/>
      <c r="C33" s="338" t="s">
        <v>64</v>
      </c>
      <c r="D33" s="411">
        <f ca="1">+SAPN!I35</f>
        <v>97.504000000000005</v>
      </c>
      <c r="E33" s="339"/>
      <c r="F33" s="340">
        <v>76.295999999999992</v>
      </c>
      <c r="G33" s="339"/>
      <c r="H33" s="340">
        <f ca="1">+SAPN!N35</f>
        <v>72.246775704569899</v>
      </c>
      <c r="I33" s="339"/>
      <c r="J33" s="341">
        <f t="shared" ca="1" si="0"/>
        <v>-21.208000000000013</v>
      </c>
      <c r="K33" s="419">
        <f t="shared" ca="1" si="1"/>
        <v>-0.21750902527075824</v>
      </c>
      <c r="L33" s="341">
        <f t="shared" ca="1" si="51"/>
        <v>-4.0492242954300934</v>
      </c>
      <c r="M33" s="419">
        <f t="shared" ca="1" si="11"/>
        <v>-5.3072563377242504E-2</v>
      </c>
      <c r="N33" s="365">
        <f t="shared" ca="1" si="56"/>
        <v>-25.257224295430106</v>
      </c>
      <c r="O33" s="342">
        <f t="shared" ca="1" si="57"/>
        <v>-0.25903782711919621</v>
      </c>
      <c r="P33" s="336"/>
      <c r="Q33" s="337"/>
      <c r="R33" s="338" t="s">
        <v>64</v>
      </c>
      <c r="S33" s="411">
        <f ca="1">+SAPN!R35</f>
        <v>146.256</v>
      </c>
      <c r="T33" s="339"/>
      <c r="U33" s="340">
        <v>114.444</v>
      </c>
      <c r="V33" s="339"/>
      <c r="W33" s="340">
        <f ca="1">+SAPN!W35</f>
        <v>108.37016355685483</v>
      </c>
      <c r="X33" s="339"/>
      <c r="Y33" s="341">
        <f t="shared" ca="1" si="52"/>
        <v>-31.811999999999998</v>
      </c>
      <c r="Z33" s="419">
        <f t="shared" ca="1" si="4"/>
        <v>-0.21750902527075811</v>
      </c>
      <c r="AA33" s="341">
        <f t="shared" ca="1" si="53"/>
        <v>-6.0738364431451686</v>
      </c>
      <c r="AB33" s="419">
        <f t="shared" ca="1" si="6"/>
        <v>-5.307256337724274E-2</v>
      </c>
      <c r="AC33" s="365">
        <f t="shared" ca="1" si="58"/>
        <v>-37.885836443145166</v>
      </c>
      <c r="AD33" s="342">
        <f t="shared" ca="1" si="59"/>
        <v>-0.25903782711919626</v>
      </c>
      <c r="AE33" s="336"/>
      <c r="AF33" s="337"/>
      <c r="AG33" s="338" t="s">
        <v>64</v>
      </c>
      <c r="AH33" s="411">
        <f ca="1">+SAPN!AA35</f>
        <v>243.76</v>
      </c>
      <c r="AI33" s="339"/>
      <c r="AJ33" s="340">
        <v>190.74</v>
      </c>
      <c r="AK33" s="339"/>
      <c r="AL33" s="340">
        <f ca="1">+SAPN!AF35</f>
        <v>180.61693926142473</v>
      </c>
      <c r="AM33" s="339"/>
      <c r="AN33" s="341">
        <f t="shared" ca="1" si="54"/>
        <v>-53.019999999999982</v>
      </c>
      <c r="AO33" s="419">
        <f t="shared" ca="1" si="8"/>
        <v>-0.21750902527075805</v>
      </c>
      <c r="AP33" s="341">
        <f t="shared" ca="1" si="55"/>
        <v>-10.123060738575276</v>
      </c>
      <c r="AQ33" s="419">
        <f t="shared" ca="1" si="10"/>
        <v>-5.3072563377242719E-2</v>
      </c>
      <c r="AR33" s="365">
        <f t="shared" ca="1" si="60"/>
        <v>-63.143060738575258</v>
      </c>
      <c r="AS33" s="342">
        <f t="shared" ca="1" si="61"/>
        <v>-0.25903782711919615</v>
      </c>
    </row>
    <row r="34" spans="1:45" x14ac:dyDescent="0.25">
      <c r="A34" s="336"/>
      <c r="B34" s="337"/>
      <c r="C34" s="338" t="s">
        <v>168</v>
      </c>
      <c r="D34" s="411">
        <f ca="1">+SAPN!I36</f>
        <v>270.60522984000005</v>
      </c>
      <c r="E34" s="343"/>
      <c r="F34" s="340">
        <v>335.69466226640736</v>
      </c>
      <c r="G34" s="343"/>
      <c r="H34" s="340">
        <f ca="1">+SAPN!N36</f>
        <v>334.4739968776168</v>
      </c>
      <c r="I34" s="343"/>
      <c r="J34" s="341">
        <f t="shared" ca="1" si="0"/>
        <v>65.089432426407313</v>
      </c>
      <c r="K34" s="419">
        <f t="shared" ca="1" si="1"/>
        <v>0.24053279555939311</v>
      </c>
      <c r="L34" s="341">
        <f t="shared" ca="1" si="51"/>
        <v>-1.2206653887905645</v>
      </c>
      <c r="M34" s="419">
        <f t="shared" ca="1" si="11"/>
        <v>-3.6362371106807892E-3</v>
      </c>
      <c r="N34" s="365">
        <f t="shared" ca="1" si="56"/>
        <v>63.868767037616749</v>
      </c>
      <c r="O34" s="342">
        <f t="shared" ca="1" si="57"/>
        <v>0.23602192417116344</v>
      </c>
      <c r="P34" s="336"/>
      <c r="Q34" s="337"/>
      <c r="R34" s="338" t="s">
        <v>168</v>
      </c>
      <c r="S34" s="411">
        <f ca="1">+SAPN!R36</f>
        <v>270.60522984000005</v>
      </c>
      <c r="T34" s="343"/>
      <c r="U34" s="340">
        <v>335.69466226640736</v>
      </c>
      <c r="V34" s="343"/>
      <c r="W34" s="340">
        <f ca="1">+SAPN!W36</f>
        <v>334.4739968776168</v>
      </c>
      <c r="X34" s="343"/>
      <c r="Y34" s="341">
        <f t="shared" ca="1" si="52"/>
        <v>65.089432426407313</v>
      </c>
      <c r="Z34" s="419">
        <f t="shared" ca="1" si="4"/>
        <v>0.24053279555939311</v>
      </c>
      <c r="AA34" s="341">
        <f t="shared" ca="1" si="53"/>
        <v>-1.2206653887905645</v>
      </c>
      <c r="AB34" s="419">
        <f t="shared" ca="1" si="6"/>
        <v>-3.6362371106807892E-3</v>
      </c>
      <c r="AC34" s="365">
        <f t="shared" ca="1" si="58"/>
        <v>63.868767037616749</v>
      </c>
      <c r="AD34" s="342">
        <f t="shared" ca="1" si="59"/>
        <v>0.23602192417116344</v>
      </c>
      <c r="AE34" s="336"/>
      <c r="AF34" s="337"/>
      <c r="AG34" s="338" t="s">
        <v>168</v>
      </c>
      <c r="AH34" s="411">
        <f ca="1">+SAPN!AA36</f>
        <v>318.26898576000008</v>
      </c>
      <c r="AI34" s="343"/>
      <c r="AJ34" s="340">
        <v>383.01568095976006</v>
      </c>
      <c r="AK34" s="343"/>
      <c r="AL34" s="340">
        <f ca="1">+SAPN!AF36</f>
        <v>344.72810660251821</v>
      </c>
      <c r="AM34" s="343"/>
      <c r="AN34" s="341">
        <f t="shared" ca="1" si="54"/>
        <v>64.746695199759984</v>
      </c>
      <c r="AO34" s="419">
        <f t="shared" ca="1" si="8"/>
        <v>0.20343388170591054</v>
      </c>
      <c r="AP34" s="341">
        <f t="shared" ca="1" si="55"/>
        <v>-38.287574357241851</v>
      </c>
      <c r="AQ34" s="419">
        <f t="shared" ca="1" si="10"/>
        <v>-9.9963464319008849E-2</v>
      </c>
      <c r="AR34" s="365">
        <f t="shared" ca="1" si="60"/>
        <v>26.459120842518132</v>
      </c>
      <c r="AS34" s="342">
        <f t="shared" ca="1" si="61"/>
        <v>8.3134461811715438E-2</v>
      </c>
    </row>
    <row r="35" spans="1:45" x14ac:dyDescent="0.25">
      <c r="A35" s="336"/>
      <c r="B35" s="337"/>
      <c r="C35" s="338" t="str">
        <f>+C29</f>
        <v>Retail margin</v>
      </c>
      <c r="D35" s="410">
        <f ca="1">+SAPN!I37</f>
        <v>133.8017573788452</v>
      </c>
      <c r="E35" s="343">
        <f ca="1">+D35/D36</f>
        <v>6.0000788062262417E-2</v>
      </c>
      <c r="F35" s="340">
        <v>140.619517348312</v>
      </c>
      <c r="G35" s="343">
        <f>+F35/F36</f>
        <v>5.9991261667368602E-2</v>
      </c>
      <c r="H35" s="340">
        <f ca="1">+SAPN!N37</f>
        <v>138.0326454531837</v>
      </c>
      <c r="I35" s="343">
        <v>6.0000000000000116E-2</v>
      </c>
      <c r="J35" s="341">
        <f t="shared" ca="1" si="0"/>
        <v>6.8177599694668061</v>
      </c>
      <c r="K35" s="419">
        <f t="shared" ca="1" si="1"/>
        <v>5.0954188517592161E-2</v>
      </c>
      <c r="L35" s="341">
        <f t="shared" ca="1" si="51"/>
        <v>-2.5868718951282972</v>
      </c>
      <c r="M35" s="419">
        <f t="shared" ca="1" si="11"/>
        <v>-1.8396250704805522E-2</v>
      </c>
      <c r="N35" s="421">
        <f t="shared" ca="1" si="56"/>
        <v>4.2308880743385089</v>
      </c>
      <c r="O35" s="422">
        <f t="shared" ca="1" si="57"/>
        <v>3.1620571786357091E-2</v>
      </c>
      <c r="P35" s="336"/>
      <c r="Q35" s="337"/>
      <c r="R35" s="338" t="str">
        <f>+R29</f>
        <v>Retail margin</v>
      </c>
      <c r="S35" s="410">
        <f ca="1">+SAPN!R37</f>
        <v>165.57627640012151</v>
      </c>
      <c r="T35" s="343">
        <f ca="1">+S35/S36</f>
        <v>5.9991404492797648E-2</v>
      </c>
      <c r="U35" s="340">
        <v>172.88509181639711</v>
      </c>
      <c r="V35" s="343">
        <v>6.0000000000000095E-2</v>
      </c>
      <c r="W35" s="340">
        <f ca="1">+SAPN!W37</f>
        <v>169.43401815909056</v>
      </c>
      <c r="X35" s="343">
        <f ca="1">+W35/W36</f>
        <v>5.9997881784380508E-2</v>
      </c>
      <c r="Y35" s="341">
        <f t="shared" ca="1" si="52"/>
        <v>7.3088154162755927</v>
      </c>
      <c r="Z35" s="419">
        <f t="shared" ca="1" si="4"/>
        <v>4.4141682463093662E-2</v>
      </c>
      <c r="AA35" s="341">
        <f t="shared" ca="1" si="53"/>
        <v>-3.4510736573065515</v>
      </c>
      <c r="AB35" s="419">
        <f t="shared" ca="1" si="6"/>
        <v>-1.9961661361591377E-2</v>
      </c>
      <c r="AC35" s="421">
        <f t="shared" ca="1" si="58"/>
        <v>3.8577417589690413</v>
      </c>
      <c r="AD35" s="422">
        <f t="shared" ca="1" si="59"/>
        <v>2.3298879784243113E-2</v>
      </c>
      <c r="AE35" s="336"/>
      <c r="AF35" s="337"/>
      <c r="AG35" s="338" t="str">
        <f>+AG29</f>
        <v>Retail margin</v>
      </c>
      <c r="AH35" s="410">
        <f ca="1">+SAPN!AA37</f>
        <v>588.71878656263198</v>
      </c>
      <c r="AI35" s="343">
        <f ca="1">+AH35/AH36</f>
        <v>0.10999977327403437</v>
      </c>
      <c r="AJ35" s="340">
        <v>627.78449451669621</v>
      </c>
      <c r="AK35" s="343">
        <v>0.11000000000000006</v>
      </c>
      <c r="AL35" s="340">
        <f ca="1">+SAPN!AF37</f>
        <v>609.5101846045809</v>
      </c>
      <c r="AM35" s="343">
        <f ca="1">+AL35/AL36</f>
        <v>0.11000003331611277</v>
      </c>
      <c r="AN35" s="341">
        <f t="shared" ca="1" si="54"/>
        <v>39.065707954064237</v>
      </c>
      <c r="AO35" s="419">
        <f t="shared" ca="1" si="8"/>
        <v>6.6357162104777101E-2</v>
      </c>
      <c r="AP35" s="341">
        <f t="shared" ca="1" si="55"/>
        <v>-18.274309912115314</v>
      </c>
      <c r="AQ35" s="419">
        <f t="shared" ca="1" si="10"/>
        <v>-2.9109208767865324E-2</v>
      </c>
      <c r="AR35" s="421">
        <f t="shared" ca="1" si="60"/>
        <v>20.791398041948923</v>
      </c>
      <c r="AS35" s="422">
        <f t="shared" ca="1" si="61"/>
        <v>3.5316348851960735E-2</v>
      </c>
    </row>
    <row r="36" spans="1:45" ht="15.75" thickBot="1" x14ac:dyDescent="0.3">
      <c r="A36" s="336"/>
      <c r="B36" s="345"/>
      <c r="C36" s="346" t="s">
        <v>55</v>
      </c>
      <c r="D36" s="366">
        <f>SAPN!H32</f>
        <v>2230</v>
      </c>
      <c r="E36" s="412"/>
      <c r="F36" s="366">
        <f>ROUND(SUM(F31:F35),0)</f>
        <v>2344</v>
      </c>
      <c r="G36" s="412"/>
      <c r="H36" s="366">
        <f ca="1">ROUND(SUM(H31:H35),0)</f>
        <v>2301</v>
      </c>
      <c r="I36" s="412"/>
      <c r="J36" s="347">
        <f>+ROUND(F36,0)-ROUND(D36,0)</f>
        <v>114</v>
      </c>
      <c r="K36" s="420">
        <f t="shared" si="1"/>
        <v>5.1121076233183856E-2</v>
      </c>
      <c r="L36" s="427">
        <f ca="1">+ROUND(H36,0)-ROUND(F36,0)</f>
        <v>-43</v>
      </c>
      <c r="M36" s="420">
        <f t="shared" ca="1" si="11"/>
        <v>-1.834470989761092E-2</v>
      </c>
      <c r="N36" s="347">
        <f ca="1">+ROUND(H36,0)-ROUND(D36,0)</f>
        <v>71</v>
      </c>
      <c r="O36" s="413">
        <f ca="1">+N36/D36</f>
        <v>3.1838565022421522E-2</v>
      </c>
      <c r="P36" s="336"/>
      <c r="Q36" s="345"/>
      <c r="R36" s="346" t="s">
        <v>55</v>
      </c>
      <c r="S36" s="366">
        <f>SAPN!Q32</f>
        <v>2760</v>
      </c>
      <c r="T36" s="412"/>
      <c r="U36" s="366">
        <f>ROUND(SUM(U31:U35),0)</f>
        <v>2881</v>
      </c>
      <c r="V36" s="412"/>
      <c r="W36" s="366">
        <f ca="1">ROUND(SUM(W31:W35),0)</f>
        <v>2824</v>
      </c>
      <c r="X36" s="412"/>
      <c r="Y36" s="347">
        <f>+ROUND(U36,0)-ROUND(S36,0)</f>
        <v>121</v>
      </c>
      <c r="Z36" s="420">
        <f t="shared" si="4"/>
        <v>4.3840579710144927E-2</v>
      </c>
      <c r="AA36" s="427">
        <f ca="1">+ROUND(W36,0)-ROUND(U36,0)</f>
        <v>-57</v>
      </c>
      <c r="AB36" s="420">
        <f t="shared" ca="1" si="6"/>
        <v>-1.9784796945505032E-2</v>
      </c>
      <c r="AC36" s="347">
        <f ca="1">+ROUND(W36,0)-ROUND(S36,0)</f>
        <v>64</v>
      </c>
      <c r="AD36" s="413">
        <f ca="1">+AC36/S36</f>
        <v>2.318840579710145E-2</v>
      </c>
      <c r="AE36" s="336"/>
      <c r="AF36" s="345"/>
      <c r="AG36" s="346" t="s">
        <v>55</v>
      </c>
      <c r="AH36" s="366">
        <f>SAPN!Z32</f>
        <v>5352</v>
      </c>
      <c r="AI36" s="412"/>
      <c r="AJ36" s="366">
        <f>ROUND(SUM(AJ31:AJ35),0)</f>
        <v>5707</v>
      </c>
      <c r="AK36" s="412"/>
      <c r="AL36" s="366">
        <f ca="1">ROUND(SUM(AL31:AL35),0)</f>
        <v>5541</v>
      </c>
      <c r="AM36" s="412"/>
      <c r="AN36" s="347">
        <f>+ROUND(AJ36,0)-ROUND(AH36,0)</f>
        <v>355</v>
      </c>
      <c r="AO36" s="420">
        <f t="shared" si="8"/>
        <v>6.6330343796711516E-2</v>
      </c>
      <c r="AP36" s="427">
        <f ca="1">+ROUND(AL36,0)-ROUND(AJ36,0)</f>
        <v>-166</v>
      </c>
      <c r="AQ36" s="420">
        <f t="shared" ca="1" si="10"/>
        <v>-2.9087086034694235E-2</v>
      </c>
      <c r="AR36" s="347">
        <f ca="1">+ROUND(AL36,0)-ROUND(AH36,0)</f>
        <v>189</v>
      </c>
      <c r="AS36" s="413">
        <f ca="1">+AR36/AH36</f>
        <v>3.5313901345291478E-2</v>
      </c>
    </row>
    <row r="37" spans="1:45" x14ac:dyDescent="0.25">
      <c r="A37" s="63"/>
      <c r="B37" s="348" t="s">
        <v>219</v>
      </c>
      <c r="F37" s="349"/>
      <c r="P37" s="63"/>
      <c r="Q37" s="348" t="s">
        <v>219</v>
      </c>
      <c r="W37" s="349"/>
      <c r="AE37" s="63"/>
      <c r="AF37" s="348" t="s">
        <v>219</v>
      </c>
      <c r="AL37" s="349"/>
    </row>
    <row r="38" spans="1:45" x14ac:dyDescent="0.25">
      <c r="A38" s="63"/>
      <c r="P38" s="63"/>
      <c r="AE38" s="63"/>
    </row>
    <row r="39" spans="1:45" x14ac:dyDescent="0.25">
      <c r="A39" s="63"/>
      <c r="P39" s="63"/>
      <c r="AE39" s="63"/>
    </row>
    <row r="40" spans="1:45" x14ac:dyDescent="0.25">
      <c r="A40" s="63"/>
      <c r="P40" s="63"/>
      <c r="AE40" s="63"/>
    </row>
    <row r="41" spans="1:45" x14ac:dyDescent="0.25">
      <c r="A41" s="63"/>
      <c r="P41" s="63"/>
      <c r="AE41" s="63"/>
    </row>
    <row r="42" spans="1:45" x14ac:dyDescent="0.25">
      <c r="A42" s="63"/>
      <c r="P42" s="63"/>
      <c r="AE42" s="63"/>
    </row>
    <row r="43" spans="1:45" x14ac:dyDescent="0.25">
      <c r="A43" s="63"/>
      <c r="P43" s="63"/>
      <c r="AE43" s="63"/>
    </row>
    <row r="44" spans="1:45" x14ac:dyDescent="0.25">
      <c r="A44" s="63"/>
      <c r="P44" s="63"/>
      <c r="AE44" s="63"/>
    </row>
    <row r="45" spans="1:45" x14ac:dyDescent="0.25">
      <c r="A45" s="63"/>
      <c r="P45" s="63"/>
      <c r="AE45" s="63"/>
    </row>
    <row r="46" spans="1:45" x14ac:dyDescent="0.25">
      <c r="A46" s="63"/>
      <c r="P46" s="63"/>
      <c r="AE46" s="63"/>
    </row>
    <row r="47" spans="1:45" x14ac:dyDescent="0.25">
      <c r="A47" s="63"/>
      <c r="P47" s="63"/>
      <c r="AE47" s="63"/>
    </row>
    <row r="48" spans="1:45" x14ac:dyDescent="0.25">
      <c r="A48" s="63"/>
      <c r="P48" s="63"/>
      <c r="AE48" s="63"/>
    </row>
    <row r="49" spans="1:31" x14ac:dyDescent="0.25">
      <c r="A49" s="63"/>
      <c r="P49" s="63"/>
      <c r="AE49" s="63"/>
    </row>
    <row r="50" spans="1:31" x14ac:dyDescent="0.25">
      <c r="A50" s="63"/>
      <c r="P50" s="63"/>
      <c r="AE50" s="63"/>
    </row>
    <row r="51" spans="1:31" x14ac:dyDescent="0.25">
      <c r="A51" s="63"/>
      <c r="P51" s="63"/>
      <c r="AE51" s="63"/>
    </row>
    <row r="52" spans="1:31" x14ac:dyDescent="0.25">
      <c r="A52" s="63"/>
      <c r="P52" s="63"/>
      <c r="AE52" s="63"/>
    </row>
    <row r="53" spans="1:31" x14ac:dyDescent="0.25">
      <c r="A53" s="63"/>
      <c r="P53" s="63"/>
      <c r="AE53" s="63"/>
    </row>
    <row r="54" spans="1:31" x14ac:dyDescent="0.25">
      <c r="A54" s="63"/>
      <c r="P54" s="63"/>
      <c r="AE54" s="63"/>
    </row>
    <row r="55" spans="1:31" x14ac:dyDescent="0.25">
      <c r="A55" s="63"/>
      <c r="P55" s="63"/>
      <c r="AE55" s="63"/>
    </row>
    <row r="56" spans="1:31" x14ac:dyDescent="0.25">
      <c r="A56" s="63"/>
      <c r="P56" s="63"/>
      <c r="AE56" s="63"/>
    </row>
    <row r="57" spans="1:31" x14ac:dyDescent="0.25">
      <c r="A57" s="63"/>
      <c r="P57" s="63"/>
      <c r="AE57" s="63"/>
    </row>
    <row r="58" spans="1:31" x14ac:dyDescent="0.25">
      <c r="A58" s="63"/>
      <c r="P58" s="63"/>
      <c r="AE58" s="63"/>
    </row>
    <row r="59" spans="1:31" x14ac:dyDescent="0.25">
      <c r="A59" s="63"/>
      <c r="P59" s="63"/>
      <c r="AE59" s="63"/>
    </row>
    <row r="60" spans="1:31" x14ac:dyDescent="0.25">
      <c r="A60" s="63"/>
      <c r="P60" s="63"/>
      <c r="AE60" s="63"/>
    </row>
    <row r="61" spans="1:31" x14ac:dyDescent="0.25">
      <c r="A61" s="63"/>
      <c r="P61" s="63"/>
      <c r="AE61" s="63"/>
    </row>
    <row r="62" spans="1:31" x14ac:dyDescent="0.25">
      <c r="A62" s="63"/>
      <c r="P62" s="63"/>
      <c r="AE62" s="63"/>
    </row>
    <row r="63" spans="1:31" x14ac:dyDescent="0.25">
      <c r="A63" s="63"/>
      <c r="P63" s="63"/>
      <c r="AE63" s="63"/>
    </row>
    <row r="64" spans="1:31" x14ac:dyDescent="0.25">
      <c r="A64" s="63"/>
      <c r="P64" s="63"/>
      <c r="AE64" s="63"/>
    </row>
    <row r="65" spans="1:31" x14ac:dyDescent="0.25">
      <c r="A65" s="63"/>
      <c r="P65" s="63"/>
      <c r="AE65" s="63"/>
    </row>
    <row r="66" spans="1:31" x14ac:dyDescent="0.25">
      <c r="A66" s="63"/>
      <c r="P66" s="63"/>
      <c r="AE66" s="63"/>
    </row>
    <row r="67" spans="1:31" x14ac:dyDescent="0.25">
      <c r="A67" s="63"/>
      <c r="P67" s="63"/>
      <c r="AE67" s="63"/>
    </row>
    <row r="68" spans="1:31" x14ac:dyDescent="0.25">
      <c r="A68" s="63"/>
      <c r="P68" s="63"/>
      <c r="AE68" s="63"/>
    </row>
    <row r="69" spans="1:31" x14ac:dyDescent="0.25">
      <c r="A69" s="63"/>
      <c r="P69" s="63"/>
      <c r="AE69" s="63"/>
    </row>
    <row r="70" spans="1:31" x14ac:dyDescent="0.25">
      <c r="A70" s="63"/>
      <c r="P70" s="63"/>
      <c r="AE70" s="63"/>
    </row>
    <row r="71" spans="1:31" x14ac:dyDescent="0.25">
      <c r="A71" s="63"/>
      <c r="P71" s="63"/>
      <c r="AE71" s="63"/>
    </row>
    <row r="72" spans="1:31" x14ac:dyDescent="0.25">
      <c r="A72" s="63"/>
      <c r="P72" s="63"/>
      <c r="AE72" s="63"/>
    </row>
    <row r="73" spans="1:31" x14ac:dyDescent="0.25">
      <c r="A73" s="63"/>
      <c r="P73" s="63"/>
      <c r="AE73" s="63"/>
    </row>
    <row r="74" spans="1:31" x14ac:dyDescent="0.25">
      <c r="A74" s="63"/>
      <c r="P74" s="63"/>
      <c r="AE74" s="63"/>
    </row>
    <row r="75" spans="1:31" x14ac:dyDescent="0.25">
      <c r="A75" s="63"/>
      <c r="P75" s="63"/>
      <c r="AE75" s="63"/>
    </row>
    <row r="76" spans="1:31" x14ac:dyDescent="0.25">
      <c r="A76" s="63"/>
      <c r="P76" s="63"/>
      <c r="AE76" s="63"/>
    </row>
  </sheetData>
  <sheetProtection algorithmName="SHA-256" hashValue="7p3hZ4KXCfyihScoxeMh5fqHbasBli8rKGXKhIQ/ir4=" saltValue="1TPkl6RKx1Yyb0/v+WC3+Q==" spinCount="100000" sheet="1" formatCells="0" formatColumns="0" formatRows="0" insertColumns="0" insertRows="0" insertHyperlinks="0" deleteColumns="0" deleteRows="0" sort="0" autoFilter="0" pivotTables="0"/>
  <mergeCells count="19">
    <mergeCell ref="A1:B1"/>
    <mergeCell ref="D5:E5"/>
    <mergeCell ref="F5:G5"/>
    <mergeCell ref="J5:K5"/>
    <mergeCell ref="S5:T5"/>
    <mergeCell ref="H5:I5"/>
    <mergeCell ref="L5:M5"/>
    <mergeCell ref="N5:O5"/>
    <mergeCell ref="U5:V5"/>
    <mergeCell ref="AA5:AB5"/>
    <mergeCell ref="AC5:AD5"/>
    <mergeCell ref="AP5:AQ5"/>
    <mergeCell ref="AR5:AS5"/>
    <mergeCell ref="AJ5:AK5"/>
    <mergeCell ref="W5:X5"/>
    <mergeCell ref="Y5:Z5"/>
    <mergeCell ref="AH5:AI5"/>
    <mergeCell ref="AL5:AM5"/>
    <mergeCell ref="AN5:AO5"/>
  </mergeCells>
  <conditionalFormatting sqref="B7:O36">
    <cfRule type="expression" dxfId="360" priority="94">
      <formula>MOD(ROW(),2)=0</formula>
    </cfRule>
    <cfRule type="expression" dxfId="359" priority="95">
      <formula>AND(MOD(ROW(),2)=0,B$29="Proportion",$C7="Overall change in costs (%)")</formula>
    </cfRule>
    <cfRule type="expression" dxfId="358" priority="96">
      <formula>AND(MOD(ROW(),1)=0,B$29="Proportion",$C7="Overall change in costs (%)")</formula>
    </cfRule>
  </conditionalFormatting>
  <conditionalFormatting sqref="Q7:AD36">
    <cfRule type="expression" dxfId="357" priority="31">
      <formula>MOD(ROW(),2)=0</formula>
    </cfRule>
    <cfRule type="expression" dxfId="356" priority="32">
      <formula>AND(MOD(ROW(),2)=0,Q$29="Proportion",$C7="Overall change in costs (%)")</formula>
    </cfRule>
    <cfRule type="expression" dxfId="355" priority="33">
      <formula>AND(MOD(ROW(),1)=0,Q$29="Proportion",$C7="Overall change in costs (%)")</formula>
    </cfRule>
  </conditionalFormatting>
  <conditionalFormatting sqref="AF7:AS36">
    <cfRule type="expression" dxfId="354" priority="1">
      <formula>MOD(ROW(),2)=0</formula>
    </cfRule>
    <cfRule type="expression" dxfId="353" priority="2">
      <formula>AND(MOD(ROW(),2)=0,AF$29="Proportion",$C7="Overall change in costs (%)")</formula>
    </cfRule>
    <cfRule type="expression" dxfId="352" priority="3">
      <formula>AND(MOD(ROW(),1)=0,AF$29="Proportion",$C7="Overall change in costs (%)")</formula>
    </cfRule>
  </conditionalFormatting>
  <hyperlinks>
    <hyperlink ref="A1" location="Index!A1" display="&lt;&lt;Back to Index" xr:uid="{65854905-3A15-401E-97D2-C4E67CDFF3A7}"/>
  </hyperlinks>
  <pageMargins left="0.7" right="0.7" top="0.75" bottom="0.75" header="0.3" footer="0.3"/>
  <pageSetup paperSize="9" orientation="portrait" r:id="rId1"/>
  <headerFooter>
    <oddHeader>&amp;C&amp;"Calibri"&amp;10&amp;KFF0000 OFFICIAL SENSITIVE&amp;1#_x000D_</oddHeader>
  </headerFooter>
  <ignoredErrors>
    <ignoredError sqref="K7:K11 K13:K17 K19:K23 K25:K29 K31:K3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1C693-B499-4DC1-B421-E8A54456F105}">
  <sheetPr>
    <tabColor theme="9" tint="-0.249977111117893"/>
  </sheetPr>
  <dimension ref="A1:V18"/>
  <sheetViews>
    <sheetView zoomScale="120" zoomScaleNormal="120" workbookViewId="0">
      <selection sqref="A1:B1"/>
    </sheetView>
  </sheetViews>
  <sheetFormatPr defaultColWidth="8.7109375" defaultRowHeight="12.75" x14ac:dyDescent="0.2"/>
  <cols>
    <col min="1" max="1" width="8.7109375" style="352"/>
    <col min="2" max="2" width="16.42578125" style="352" bestFit="1" customWidth="1"/>
    <col min="3" max="3" width="11.42578125" style="352" customWidth="1"/>
    <col min="4" max="4" width="21.85546875" style="352" customWidth="1"/>
    <col min="5" max="5" width="9.7109375" style="352" customWidth="1"/>
    <col min="6" max="6" width="11.7109375" style="352" customWidth="1"/>
    <col min="7" max="7" width="11.140625" style="352" customWidth="1"/>
    <col min="8" max="8" width="9.7109375" style="352" customWidth="1"/>
    <col min="9" max="9" width="10.85546875" style="352" customWidth="1"/>
    <col min="10" max="10" width="11.5703125" style="352" customWidth="1"/>
    <col min="11" max="11" width="9.7109375" style="352" customWidth="1"/>
    <col min="12" max="12" width="12.42578125" style="352" customWidth="1"/>
    <col min="13" max="13" width="12.28515625" style="352" customWidth="1"/>
    <col min="14" max="14" width="9.7109375" style="352" customWidth="1"/>
    <col min="15" max="15" width="12.42578125" style="352" customWidth="1"/>
    <col min="16" max="16" width="12" style="352" customWidth="1"/>
    <col min="17" max="16384" width="8.7109375" style="352"/>
  </cols>
  <sheetData>
    <row r="1" spans="1:22" ht="15" x14ac:dyDescent="0.2">
      <c r="A1" s="430" t="s">
        <v>18</v>
      </c>
      <c r="B1" s="431"/>
    </row>
    <row r="2" spans="1:22" x14ac:dyDescent="0.2">
      <c r="B2" s="350" t="s">
        <v>272</v>
      </c>
      <c r="C2" s="462" t="s">
        <v>2</v>
      </c>
      <c r="D2" s="462"/>
      <c r="E2" s="351" t="s">
        <v>188</v>
      </c>
      <c r="F2" s="462" t="s">
        <v>220</v>
      </c>
      <c r="G2" s="462"/>
      <c r="H2" s="351" t="s">
        <v>188</v>
      </c>
      <c r="I2" s="462" t="s">
        <v>221</v>
      </c>
      <c r="J2" s="462"/>
      <c r="K2" s="351" t="s">
        <v>188</v>
      </c>
      <c r="L2" s="462" t="s">
        <v>0</v>
      </c>
      <c r="M2" s="462"/>
      <c r="N2" s="351" t="s">
        <v>188</v>
      </c>
      <c r="O2" s="462" t="s">
        <v>222</v>
      </c>
      <c r="P2" s="462"/>
    </row>
    <row r="3" spans="1:22" ht="39" customHeight="1" x14ac:dyDescent="0.2">
      <c r="C3" s="353" t="str">
        <f>CONCATENATE("DMO 6","  "," (2024–25)")</f>
        <v>DMO 6   (2024–25)</v>
      </c>
      <c r="D3" s="353" t="str">
        <f>CONCATENATE("DMO 7","  "," (2025–26)")</f>
        <v>DMO 7   (2025–26)</v>
      </c>
      <c r="E3" s="353"/>
      <c r="F3" s="353" t="str">
        <f>CONCATENATE("DMO 6","  "," (2024–25)")</f>
        <v>DMO 6   (2024–25)</v>
      </c>
      <c r="G3" s="353" t="str">
        <f>CONCATENATE("DMO 7","  "," (2025–26)")</f>
        <v>DMO 7   (2025–26)</v>
      </c>
      <c r="H3" s="353"/>
      <c r="I3" s="353" t="str">
        <f>CONCATENATE("DMO 6","  "," (2024–25)")</f>
        <v>DMO 6   (2024–25)</v>
      </c>
      <c r="J3" s="353" t="str">
        <f>CONCATENATE("DMO 7","  "," (2025–26)")</f>
        <v>DMO 7   (2025–26)</v>
      </c>
      <c r="K3" s="353"/>
      <c r="L3" s="353" t="str">
        <f>CONCATENATE("DMO 6","  "," (2024–25)")</f>
        <v>DMO 6   (2024–25)</v>
      </c>
      <c r="M3" s="353" t="str">
        <f>CONCATENATE("DMO 7","  "," (2025–26)")</f>
        <v>DMO 7   (2025–26)</v>
      </c>
      <c r="N3" s="353"/>
      <c r="O3" s="353" t="str">
        <f>CONCATENATE("DMO 6","  "," (2024–25)")</f>
        <v>DMO 6   (2024–25)</v>
      </c>
      <c r="P3" s="353" t="str">
        <f>CONCATENATE("DMO 7","  "," (2025–26)")</f>
        <v>DMO 7   (2025–26)</v>
      </c>
      <c r="Q3" s="354"/>
    </row>
    <row r="4" spans="1:22" x14ac:dyDescent="0.2">
      <c r="B4" s="352" t="s">
        <v>226</v>
      </c>
      <c r="C4" s="355">
        <f ca="1">ROUND(SUM(C5:C9),0)</f>
        <v>1810</v>
      </c>
      <c r="D4" s="355">
        <f ca="1">ROUND(SUM(D5:D9),0)</f>
        <v>1965</v>
      </c>
      <c r="E4" s="355"/>
      <c r="F4" s="355">
        <f ca="1">ROUND(SUM(F5:F9),0)</f>
        <v>2223</v>
      </c>
      <c r="G4" s="355">
        <f ca="1">ROUND(SUM(G5:G9),0)</f>
        <v>2411</v>
      </c>
      <c r="H4" s="355"/>
      <c r="I4" s="355">
        <f ca="1">ROUND(SUM(I5:I9),0)</f>
        <v>2513</v>
      </c>
      <c r="J4" s="355">
        <f ca="1">ROUND(SUM(J5:J9),0)</f>
        <v>2741</v>
      </c>
      <c r="K4" s="355"/>
      <c r="L4" s="355">
        <f ca="1">ROUND(SUM(L5:L9),0)</f>
        <v>2066</v>
      </c>
      <c r="M4" s="355">
        <f ca="1">ROUND(SUM(M5:M9),0)</f>
        <v>2143</v>
      </c>
      <c r="N4" s="355"/>
      <c r="O4" s="355">
        <f ca="1">ROUND(SUM(O5:O9),0)</f>
        <v>2230</v>
      </c>
      <c r="P4" s="355">
        <f ca="1">ROUND(SUM(P5:P9),0)</f>
        <v>2301</v>
      </c>
      <c r="R4" s="355"/>
      <c r="S4" s="355"/>
      <c r="T4" s="355"/>
      <c r="U4" s="355"/>
      <c r="V4" s="355"/>
    </row>
    <row r="5" spans="1:22" x14ac:dyDescent="0.2">
      <c r="B5" s="352" t="s">
        <v>227</v>
      </c>
      <c r="C5" s="355">
        <f ca="1">+'Summary Detailed'!D8</f>
        <v>712.34100252857127</v>
      </c>
      <c r="D5" s="355">
        <f ca="1">+'Summary Detailed'!H8</f>
        <v>753.97249122143467</v>
      </c>
      <c r="E5" s="355"/>
      <c r="F5" s="355">
        <f ca="1">+'Summary Detailed'!D14</f>
        <v>949.36140152857149</v>
      </c>
      <c r="G5" s="355">
        <f ca="1">+'Summary Detailed'!H14</f>
        <v>998.46091350140671</v>
      </c>
      <c r="H5" s="355"/>
      <c r="I5" s="355">
        <f ca="1">+'Summary Detailed'!D20</f>
        <v>838.80785182857142</v>
      </c>
      <c r="J5" s="355">
        <f ca="1">+'Summary Detailed'!H20</f>
        <v>903.45227990993703</v>
      </c>
      <c r="K5" s="355"/>
      <c r="L5" s="355">
        <f ca="1">+'Summary Detailed'!D26</f>
        <v>847.86525182857145</v>
      </c>
      <c r="M5" s="355">
        <f ca="1">+'Summary Detailed'!H26</f>
        <v>847.00695816791369</v>
      </c>
      <c r="N5" s="355"/>
      <c r="O5" s="355">
        <f ca="1">+'Summary Detailed'!D32</f>
        <v>805.77435242857121</v>
      </c>
      <c r="P5" s="355">
        <f ca="1">+'Summary Detailed'!H32</f>
        <v>858.79927885285178</v>
      </c>
      <c r="R5" s="355"/>
      <c r="S5" s="355"/>
      <c r="T5" s="355"/>
      <c r="U5" s="355"/>
      <c r="V5" s="355"/>
    </row>
    <row r="6" spans="1:22" x14ac:dyDescent="0.2">
      <c r="B6" s="352" t="s">
        <v>228</v>
      </c>
      <c r="C6" s="355">
        <f ca="1">+'Summary Detailed'!D7</f>
        <v>656.75497844808194</v>
      </c>
      <c r="D6" s="355">
        <f ca="1">+'Summary Detailed'!H7</f>
        <v>711.92496176013196</v>
      </c>
      <c r="E6" s="355"/>
      <c r="F6" s="355">
        <f ca="1">+'Summary Detailed'!D13</f>
        <v>764.81430299999988</v>
      </c>
      <c r="G6" s="355">
        <f ca="1">+'Summary Detailed'!H13</f>
        <v>836.50737499999991</v>
      </c>
      <c r="H6" s="355"/>
      <c r="I6" s="355">
        <f ca="1">+'Summary Detailed'!D19</f>
        <v>1155.0889558312551</v>
      </c>
      <c r="J6" s="355">
        <f ca="1">+'Summary Detailed'!H19</f>
        <v>1248.9808649440904</v>
      </c>
      <c r="K6" s="355"/>
      <c r="L6" s="355">
        <f ca="1">+'Summary Detailed'!D25</f>
        <v>767.70429999999988</v>
      </c>
      <c r="M6" s="355">
        <f ca="1">+'Summary Detailed'!H25</f>
        <v>778.44943700626834</v>
      </c>
      <c r="N6" s="355"/>
      <c r="O6" s="355">
        <f ca="1">+'Summary Detailed'!D31</f>
        <v>922.34395000000006</v>
      </c>
      <c r="P6" s="355">
        <f ca="1">+'Summary Detailed'!H31</f>
        <v>896.99139399817057</v>
      </c>
      <c r="R6" s="355"/>
      <c r="S6" s="355"/>
      <c r="T6" s="355"/>
      <c r="U6" s="355"/>
      <c r="V6" s="355"/>
    </row>
    <row r="7" spans="1:22" x14ac:dyDescent="0.2">
      <c r="B7" s="352" t="s">
        <v>229</v>
      </c>
      <c r="C7" s="355">
        <f ca="1">+'Summary Detailed'!D9</f>
        <v>84.255600000000001</v>
      </c>
      <c r="D7" s="355">
        <f ca="1">+'Summary Detailed'!H9</f>
        <v>68.331519303463324</v>
      </c>
      <c r="E7" s="355"/>
      <c r="F7" s="355">
        <f ca="1">+'Summary Detailed'!D15</f>
        <v>106.77590000000001</v>
      </c>
      <c r="G7" s="355">
        <f ca="1">+'Summary Detailed'!H15</f>
        <v>87.407325012464099</v>
      </c>
      <c r="H7" s="355"/>
      <c r="I7" s="355">
        <f ca="1">+'Summary Detailed'!D21</f>
        <v>97.860399999999998</v>
      </c>
      <c r="J7" s="355">
        <f ca="1">+'Summary Detailed'!H21</f>
        <v>80.170406567593488</v>
      </c>
      <c r="K7" s="355"/>
      <c r="L7" s="355">
        <f ca="1">+'Summary Detailed'!D27</f>
        <v>83.641799999999989</v>
      </c>
      <c r="M7" s="355">
        <f ca="1">+'Summary Detailed'!H27</f>
        <v>60.305218339699216</v>
      </c>
      <c r="N7" s="355"/>
      <c r="O7" s="355">
        <f ca="1">+'Summary Detailed'!D33</f>
        <v>97.504000000000005</v>
      </c>
      <c r="P7" s="355">
        <f ca="1">+'Summary Detailed'!H33</f>
        <v>72.246775704569899</v>
      </c>
      <c r="R7" s="355"/>
      <c r="S7" s="355"/>
      <c r="T7" s="355"/>
      <c r="U7" s="355"/>
      <c r="V7" s="355"/>
    </row>
    <row r="8" spans="1:22" x14ac:dyDescent="0.2">
      <c r="B8" s="352" t="s">
        <v>230</v>
      </c>
      <c r="C8" s="355">
        <f ca="1">+'Summary Detailed'!D10</f>
        <v>248.16968193600002</v>
      </c>
      <c r="D8" s="355">
        <f ca="1">+'Summary Detailed'!H10</f>
        <v>312.51267628903128</v>
      </c>
      <c r="E8" s="355"/>
      <c r="F8" s="355">
        <f ca="1">+'Summary Detailed'!D16</f>
        <v>268.94377382400006</v>
      </c>
      <c r="G8" s="355">
        <f ca="1">+'Summary Detailed'!H16</f>
        <v>344.30566121810301</v>
      </c>
      <c r="H8" s="355"/>
      <c r="I8" s="355">
        <f ca="1">+'Summary Detailed'!D22</f>
        <v>270.02784441600005</v>
      </c>
      <c r="J8" s="355">
        <f ca="1">+'Summary Detailed'!H22</f>
        <v>343.7615024031029</v>
      </c>
      <c r="K8" s="355"/>
      <c r="L8" s="355">
        <f ca="1">+'Summary Detailed'!D28</f>
        <v>242.45474457600002</v>
      </c>
      <c r="M8" s="355">
        <f ca="1">+'Summary Detailed'!H28</f>
        <v>328.20341084841237</v>
      </c>
      <c r="N8" s="355"/>
      <c r="O8" s="355">
        <f ca="1">+'Summary Detailed'!D34</f>
        <v>270.60522984000005</v>
      </c>
      <c r="P8" s="355">
        <f ca="1">+'Summary Detailed'!H34</f>
        <v>334.4739968776168</v>
      </c>
      <c r="R8" s="355"/>
      <c r="S8" s="355"/>
      <c r="T8" s="355"/>
      <c r="U8" s="355"/>
      <c r="V8" s="355"/>
    </row>
    <row r="9" spans="1:22" x14ac:dyDescent="0.2">
      <c r="B9" s="352" t="s">
        <v>231</v>
      </c>
      <c r="C9" s="355">
        <f ca="1">+'Summary Detailed'!D11</f>
        <v>108.60774018591405</v>
      </c>
      <c r="D9" s="355">
        <f ca="1">+'Summary Detailed'!H11</f>
        <v>117.87712650472736</v>
      </c>
      <c r="E9" s="355"/>
      <c r="F9" s="355">
        <f ca="1">+'Summary Detailed'!D17</f>
        <v>133.39757734165369</v>
      </c>
      <c r="G9" s="355">
        <f ca="1">+'Summary Detailed'!H17</f>
        <v>144.68178349353047</v>
      </c>
      <c r="H9" s="355"/>
      <c r="I9" s="355">
        <f ca="1">+'Summary Detailed'!D23</f>
        <v>150.75223736654243</v>
      </c>
      <c r="J9" s="355">
        <f ca="1">+'Summary Detailed'!H23</f>
        <v>164.44883322285477</v>
      </c>
      <c r="K9" s="355"/>
      <c r="L9" s="355">
        <f ca="1">+'Summary Detailed'!D29</f>
        <v>123.93613381305795</v>
      </c>
      <c r="M9" s="355">
        <f ca="1">+'Summary Detailed'!H29</f>
        <v>128.5509590018487</v>
      </c>
      <c r="N9" s="355"/>
      <c r="O9" s="355">
        <f ca="1">+'Summary Detailed'!D35</f>
        <v>133.8017573788452</v>
      </c>
      <c r="P9" s="355">
        <f ca="1">+'Summary Detailed'!H35</f>
        <v>138.0326454531837</v>
      </c>
      <c r="R9" s="355"/>
      <c r="S9" s="355"/>
      <c r="T9" s="355"/>
      <c r="U9" s="355"/>
      <c r="V9" s="355"/>
    </row>
    <row r="10" spans="1:22" x14ac:dyDescent="0.2">
      <c r="B10" s="352" t="str">
        <f>+B4</f>
        <v>Default market offer (DMO)</v>
      </c>
      <c r="C10" s="355"/>
      <c r="D10" s="356" t="str">
        <f ca="1">CONCATENATE("$",TEXT(D4,"#,##0;;@"),IF((+D4/C4-1)&lt;0,+D16,+D15),ROUND((+'Summary Detailed'!O12)*100,1),"%")</f>
        <v>$1,965▲8.6%</v>
      </c>
      <c r="E10" s="356" t="s">
        <v>188</v>
      </c>
      <c r="F10" s="355"/>
      <c r="G10" s="356" t="str">
        <f ca="1">CONCATENATE("$",+TEXT(G4,"#,##0;;@"),IF((+G4/F4-1)&lt;0,+G16,+G15),ROUND((+'Summary Detailed'!O18)*100,1),"%")</f>
        <v>$2,411▲8.5%</v>
      </c>
      <c r="H10" s="356" t="s">
        <v>188</v>
      </c>
      <c r="I10" s="355"/>
      <c r="J10" s="356" t="str">
        <f ca="1">CONCATENATE("$",+TEXT(J4,"#,##0;;@"),IF((+J4/I4-1)&lt;0,+J16,+J15),ROUND((+'Summary Detailed'!O24)*100,1),"%")</f>
        <v>$2,741▲9.1%</v>
      </c>
      <c r="K10" s="356" t="s">
        <v>188</v>
      </c>
      <c r="L10" s="355"/>
      <c r="M10" s="356" t="str">
        <f ca="1">CONCATENATE("$",+TEXT(M4,"#,##0;;@"),IF((+M4/L4-1)&lt;0,+M16,+M15),ROUND((+'Summary Detailed'!O30)*100,1),"%")</f>
        <v>$2,143▲3.7%</v>
      </c>
      <c r="N10" s="356" t="s">
        <v>188</v>
      </c>
      <c r="O10" s="355"/>
      <c r="P10" s="356" t="str">
        <f ca="1">CONCATENATE("$",+TEXT(P4,"#,##0;;@"),IF((+P4/O4-1)&lt;0,+P16,+P15),ROUND((+'Summary Detailed'!O36)*100,1),"%")</f>
        <v>$2,301▲3.2%</v>
      </c>
    </row>
    <row r="11" spans="1:22" x14ac:dyDescent="0.2">
      <c r="B11" s="352" t="str">
        <f>+B5</f>
        <v>Wholesale cost component</v>
      </c>
      <c r="C11" s="352" t="s">
        <v>188</v>
      </c>
      <c r="D11" s="359" t="str">
        <f ca="1">CONCATENATE(IF(D5&lt;C5,+D16,+D15),"$",ABS(ROUND((D5-C5),0)))</f>
        <v>▲$42</v>
      </c>
      <c r="E11" s="360" t="s">
        <v>188</v>
      </c>
      <c r="F11" s="352" t="s">
        <v>188</v>
      </c>
      <c r="G11" s="359" t="str">
        <f ca="1">CONCATENATE(IF(G5&lt;F5,+G16,+G15),"$",ABS(ROUND((G5-F5),0)))</f>
        <v>▲$49</v>
      </c>
      <c r="H11" s="360" t="s">
        <v>188</v>
      </c>
      <c r="I11" s="352" t="s">
        <v>188</v>
      </c>
      <c r="J11" s="359" t="str">
        <f ca="1">CONCATENATE(IF(J5&lt;I5,+J16,+J15),"$",ABS(ROUND((J5-I5),0)))</f>
        <v>▲$65</v>
      </c>
      <c r="K11" s="360" t="s">
        <v>188</v>
      </c>
      <c r="L11" s="352" t="s">
        <v>188</v>
      </c>
      <c r="M11" s="359" t="str">
        <f ca="1">CONCATENATE(IF(M5&lt;L5,+M16,+M15),"$",ABS(ROUND((M5-L5),0)))</f>
        <v>▼$1</v>
      </c>
      <c r="N11" s="360"/>
      <c r="O11" s="352" t="s">
        <v>188</v>
      </c>
      <c r="P11" s="359" t="str">
        <f ca="1">CONCATENATE(IF(P5&lt;O5,+P16,+P15),"$",ABS(ROUND((P5-O5),0)))</f>
        <v>▲$53</v>
      </c>
    </row>
    <row r="12" spans="1:22" x14ac:dyDescent="0.2">
      <c r="B12" s="352" t="str">
        <f>+B6</f>
        <v>Network cost component</v>
      </c>
      <c r="D12" s="359" t="str">
        <f ca="1">CONCATENATE(IF(D6&lt;C6,+D16,+D15),"$",ABS(ROUND((D6-C6),0)))</f>
        <v>▲$55</v>
      </c>
      <c r="E12" s="360"/>
      <c r="G12" s="359" t="str">
        <f ca="1">CONCATENATE(IF(G6&lt;F6,+G16,+G15),"$",ABS(ROUND((G6-F6),0)))</f>
        <v>▲$72</v>
      </c>
      <c r="H12" s="360"/>
      <c r="J12" s="359" t="str">
        <f ca="1">CONCATENATE(IF(J6&lt;I6,+J16,+J15),"$",ABS(ROUND((J6-I6),0)))</f>
        <v>▲$94</v>
      </c>
      <c r="K12" s="360"/>
      <c r="M12" s="359" t="str">
        <f ca="1">CONCATENATE(IF(M6&lt;L6,+M16,+M15),"$",ABS(ROUND((M6-L6),0)))</f>
        <v>▲$11</v>
      </c>
      <c r="N12" s="360"/>
      <c r="P12" s="359" t="str">
        <f ca="1">CONCATENATE(IF(P6&lt;O6,+P16,+P15),"$",ABS(ROUND((P6-O6),0)))</f>
        <v>▼$25</v>
      </c>
    </row>
    <row r="13" spans="1:22" x14ac:dyDescent="0.2">
      <c r="B13" s="352" t="str">
        <f>+B7</f>
        <v>Environmental cost component</v>
      </c>
      <c r="D13" s="359" t="str">
        <f ca="1">CONCATENATE(IF(D7&lt;C7,+D16,+D15),"$",ABS(ROUND((D7-C7),0)))</f>
        <v>▼$16</v>
      </c>
      <c r="E13" s="360"/>
      <c r="G13" s="359" t="str">
        <f ca="1">CONCATENATE(IF(G7&lt;F7,+G16,+G15),"$",ABS(ROUND((G7-F7),0)))</f>
        <v>▼$19</v>
      </c>
      <c r="H13" s="360"/>
      <c r="J13" s="359" t="str">
        <f ca="1">CONCATENATE(IF(J7&lt;I7,+J16,+J15),"$",ABS(ROUND((J7-I7),0)))</f>
        <v>▼$18</v>
      </c>
      <c r="K13" s="360"/>
      <c r="M13" s="359" t="str">
        <f ca="1">CONCATENATE(IF(M7&lt;L7,+M16,+M15),"$",ABS(ROUND((M7-L7),0)))</f>
        <v>▼$23</v>
      </c>
      <c r="N13" s="360"/>
      <c r="P13" s="359" t="str">
        <f ca="1">CONCATENATE(IF(P7&lt;O7,+P16,+P15),"$",ABS(ROUND((P7-O7),0)))</f>
        <v>▼$25</v>
      </c>
    </row>
    <row r="14" spans="1:22" ht="13.5" customHeight="1" x14ac:dyDescent="0.2">
      <c r="B14" s="352" t="str">
        <f>+B8</f>
        <v>Retail cost component</v>
      </c>
      <c r="D14" s="359" t="str">
        <f ca="1">CONCATENATE(IF(D8&lt;C8,+D16,+D15),"$",ABS(ROUND((D8-C8),0)))</f>
        <v>▲$64</v>
      </c>
      <c r="E14" s="360"/>
      <c r="G14" s="359" t="str">
        <f ca="1">CONCATENATE(IF(G8&lt;F8,+G16,+G15),"$",ABS(ROUND((G8-F8),0)))</f>
        <v>▲$75</v>
      </c>
      <c r="H14" s="360"/>
      <c r="J14" s="359" t="str">
        <f ca="1">CONCATENATE(IF(J8&lt;I8,+J16,+J15),"$",ABS(ROUND((J8-I8),0)))</f>
        <v>▲$74</v>
      </c>
      <c r="K14" s="360"/>
      <c r="M14" s="359" t="str">
        <f ca="1">CONCATENATE(IF(M8&lt;L8,+M16,+M15),"$",ABS(ROUND((M8-L8),0)))</f>
        <v>▲$86</v>
      </c>
      <c r="N14" s="360"/>
      <c r="P14" s="359" t="str">
        <f ca="1">CONCATENATE(IF(P8&lt;O8,+P16,+P15),"$",ABS(ROUND((P8-O8),0)))</f>
        <v>▲$64</v>
      </c>
    </row>
    <row r="15" spans="1:22" ht="12.75" hidden="1" customHeight="1" x14ac:dyDescent="0.2">
      <c r="D15" s="357" t="s">
        <v>223</v>
      </c>
      <c r="E15" s="357"/>
      <c r="F15" s="357"/>
      <c r="G15" s="357" t="s">
        <v>223</v>
      </c>
      <c r="H15" s="357"/>
      <c r="I15" s="357"/>
      <c r="J15" s="357" t="s">
        <v>223</v>
      </c>
      <c r="K15" s="357"/>
      <c r="L15" s="357"/>
      <c r="M15" s="357" t="s">
        <v>223</v>
      </c>
      <c r="N15" s="357"/>
      <c r="O15" s="357"/>
      <c r="P15" s="357" t="s">
        <v>223</v>
      </c>
    </row>
    <row r="16" spans="1:22" hidden="1" x14ac:dyDescent="0.2">
      <c r="B16" s="352" t="s">
        <v>224</v>
      </c>
      <c r="D16" s="358" t="s">
        <v>225</v>
      </c>
      <c r="E16" s="358"/>
      <c r="F16" s="358"/>
      <c r="G16" s="358" t="s">
        <v>225</v>
      </c>
      <c r="H16" s="358"/>
      <c r="I16" s="358"/>
      <c r="J16" s="358" t="s">
        <v>225</v>
      </c>
      <c r="K16" s="358"/>
      <c r="L16" s="358"/>
      <c r="M16" s="358" t="s">
        <v>225</v>
      </c>
      <c r="N16" s="358"/>
      <c r="O16" s="358"/>
      <c r="P16" s="358" t="s">
        <v>225</v>
      </c>
    </row>
    <row r="17" spans="4:16" hidden="1" x14ac:dyDescent="0.2">
      <c r="D17" s="367">
        <f ca="1">ROUND(+D4/C4-1,1)</f>
        <v>0.1</v>
      </c>
      <c r="G17" s="367">
        <f ca="1">ROUND(+G4/F4-1,1)</f>
        <v>0.1</v>
      </c>
      <c r="J17" s="367">
        <f ca="1">ROUND(+J4/I4-1,1)</f>
        <v>0.1</v>
      </c>
      <c r="M17" s="367">
        <f ca="1">ROUND(+M4/L4-1,1)</f>
        <v>0</v>
      </c>
      <c r="P17" s="367">
        <f ca="1">ROUND(+P4/O4-1,1)</f>
        <v>0</v>
      </c>
    </row>
    <row r="18" spans="4:16" hidden="1" x14ac:dyDescent="0.2">
      <c r="D18" s="367">
        <f ca="1">+D4/C4-1</f>
        <v>8.5635359116022158E-2</v>
      </c>
      <c r="G18" s="367">
        <f ca="1">+G4/F4-1</f>
        <v>8.4570400359873954E-2</v>
      </c>
      <c r="J18" s="367">
        <f ca="1">+J4/I4-1</f>
        <v>9.0728213290887316E-2</v>
      </c>
      <c r="M18" s="367">
        <f ca="1">+M4/L4-1</f>
        <v>3.7270087124879003E-2</v>
      </c>
      <c r="P18" s="367">
        <f ca="1">+P4/O4-1</f>
        <v>3.183856502242155E-2</v>
      </c>
    </row>
  </sheetData>
  <sheetProtection algorithmName="SHA-256" hashValue="z3qGLVSpMSJ2hODHa603+k5ZwnSLHitwNY6m4lhgEeo=" saltValue="xbZsL8J+2iPSBBsGwoAtiQ==" spinCount="100000" sheet="1" formatCells="0" formatColumns="0" formatRows="0" insertColumns="0" insertRows="0" insertHyperlinks="0" deleteColumns="0" deleteRows="0" sort="0" autoFilter="0" pivotTables="0"/>
  <mergeCells count="6">
    <mergeCell ref="O2:P2"/>
    <mergeCell ref="A1:B1"/>
    <mergeCell ref="C2:D2"/>
    <mergeCell ref="F2:G2"/>
    <mergeCell ref="I2:J2"/>
    <mergeCell ref="L2:M2"/>
  </mergeCells>
  <hyperlinks>
    <hyperlink ref="A1" location="Index!A1" display="&lt;&lt;Back to Index" xr:uid="{3ED41310-E1F3-43F9-989B-E7253FD65385}"/>
  </hyperlinks>
  <pageMargins left="0.7" right="0.7" top="0.75" bottom="0.75" header="0.3" footer="0.3"/>
  <headerFooter>
    <oddHeader>&amp;C&amp;"Calibri"&amp;10&amp;KFF0000 OFFICIAL SENSITIVE&amp;1#_x000D_</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06C7C"/>
  </sheetPr>
  <dimension ref="F9:F14"/>
  <sheetViews>
    <sheetView workbookViewId="0">
      <selection activeCell="B2" sqref="B2"/>
    </sheetView>
  </sheetViews>
  <sheetFormatPr defaultColWidth="8.85546875" defaultRowHeight="15" x14ac:dyDescent="0.25"/>
  <cols>
    <col min="1" max="16384" width="8.85546875" style="3"/>
  </cols>
  <sheetData>
    <row r="9" spans="6:6" ht="36" x14ac:dyDescent="0.25">
      <c r="F9" s="2" t="s">
        <v>162</v>
      </c>
    </row>
    <row r="10" spans="6:6" ht="36" x14ac:dyDescent="0.25">
      <c r="F10" s="2" t="str">
        <f>"DMO "&amp;FY</f>
        <v>DMO 2025-26</v>
      </c>
    </row>
    <row r="11" spans="6:6" ht="23.25" x14ac:dyDescent="0.25">
      <c r="F11" s="4" t="s">
        <v>155</v>
      </c>
    </row>
    <row r="12" spans="6:6" ht="23.25" x14ac:dyDescent="0.25">
      <c r="F12" s="4"/>
    </row>
    <row r="13" spans="6:6" x14ac:dyDescent="0.25">
      <c r="F13" s="5"/>
    </row>
    <row r="14" spans="6:6" x14ac:dyDescent="0.25">
      <c r="F14" s="5"/>
    </row>
  </sheetData>
  <sheetProtection algorithmName="SHA-256" hashValue="oLPl68duNVyVp5iMP5Tqq5nPzH1m1Y0cLbksiqiJRfc=" saltValue="d3Yl0aymCPnTeEWIwep3ew==" spinCount="100000" sheet="1" formatCells="0" formatColumns="0" formatRows="0" insertColumns="0" insertRows="0" insertHyperlinks="0" deleteColumns="0" deleteRows="0" sort="0" autoFilter="0" pivotTables="0"/>
  <pageMargins left="0.7" right="0.7" top="0.75" bottom="0.75" header="0.3" footer="0.3"/>
  <headerFooter>
    <oddHeader>&amp;C&amp;"Calibri"&amp;10&amp;KFF0000 OFFICIAL SENSITIVE&amp;1#_x000D_</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6C7C"/>
  </sheetPr>
  <dimension ref="A1:S79"/>
  <sheetViews>
    <sheetView zoomScaleNormal="100" workbookViewId="0">
      <selection sqref="A1:B1"/>
    </sheetView>
  </sheetViews>
  <sheetFormatPr defaultColWidth="8.85546875" defaultRowHeight="15" x14ac:dyDescent="0.25"/>
  <cols>
    <col min="1" max="1" width="3.140625" style="3" customWidth="1"/>
    <col min="2" max="2" width="10.140625" style="3" bestFit="1" customWidth="1"/>
    <col min="3" max="3" width="17.42578125" style="3" bestFit="1" customWidth="1"/>
    <col min="4" max="4" width="9.140625" style="3" bestFit="1" customWidth="1"/>
    <col min="5" max="5" width="14.140625" style="3" bestFit="1" customWidth="1"/>
    <col min="6" max="6" width="16" style="3" bestFit="1" customWidth="1"/>
    <col min="7" max="7" width="19.5703125" style="3" bestFit="1" customWidth="1"/>
    <col min="8" max="8" width="11.42578125" style="3" bestFit="1" customWidth="1"/>
    <col min="9" max="9" width="16.42578125" style="3" bestFit="1" customWidth="1"/>
    <col min="10" max="10" width="9.140625" style="3" bestFit="1" customWidth="1"/>
    <col min="11" max="11" width="8.85546875" style="3" bestFit="1" customWidth="1"/>
    <col min="12" max="24" width="10.85546875" style="3" customWidth="1"/>
    <col min="25" max="25" width="12" style="3" customWidth="1"/>
    <col min="26" max="16384" width="8.85546875" style="3"/>
  </cols>
  <sheetData>
    <row r="1" spans="1:2" ht="10.35" customHeight="1" x14ac:dyDescent="0.25">
      <c r="A1" s="430" t="s">
        <v>18</v>
      </c>
      <c r="B1" s="431"/>
    </row>
    <row r="2" spans="1:2" s="14" customFormat="1" ht="22.5" customHeight="1" x14ac:dyDescent="0.25">
      <c r="A2" s="15" t="s">
        <v>141</v>
      </c>
      <c r="B2" s="15"/>
    </row>
    <row r="3" spans="1:2" x14ac:dyDescent="0.25">
      <c r="B3" s="89" t="s">
        <v>129</v>
      </c>
    </row>
    <row r="41" spans="1:19" x14ac:dyDescent="0.25">
      <c r="B41" s="98"/>
    </row>
    <row r="44" spans="1:19" s="5" customFormat="1" x14ac:dyDescent="0.25">
      <c r="B44" s="96" t="s">
        <v>6</v>
      </c>
      <c r="C44" s="97" t="s">
        <v>127</v>
      </c>
      <c r="D44" s="164" t="str">
        <f>PY</f>
        <v>2024-25</v>
      </c>
      <c r="E44" s="164" t="s">
        <v>62</v>
      </c>
      <c r="F44" s="164" t="s">
        <v>63</v>
      </c>
      <c r="G44" s="164" t="s">
        <v>64</v>
      </c>
      <c r="H44" s="164" t="s">
        <v>168</v>
      </c>
      <c r="I44" s="164" t="s">
        <v>210</v>
      </c>
      <c r="J44" s="164" t="str">
        <f>FY</f>
        <v>2025-26</v>
      </c>
      <c r="K44" s="463" t="s">
        <v>20</v>
      </c>
      <c r="L44" s="464"/>
      <c r="M44" s="102"/>
      <c r="P44" s="3"/>
    </row>
    <row r="45" spans="1:19" x14ac:dyDescent="0.25">
      <c r="A45" s="64" t="str">
        <f>B45&amp;" "&amp;$B$44&amp;" "&amp;$C$44&amp;" $"</f>
        <v>Ausgrid Residential without CL $</v>
      </c>
      <c r="B45" s="91" t="s">
        <v>2</v>
      </c>
      <c r="C45" s="92" t="s">
        <v>156</v>
      </c>
      <c r="D45" s="165">
        <v>0</v>
      </c>
      <c r="E45" s="165">
        <f ca="1">IF($K46&lt;0,SUM(D45:D50)+$K46,SUM(D45:D50))</f>
        <v>1810.1290030985672</v>
      </c>
      <c r="F45" s="165">
        <f ca="1">IF($K47&lt;0,IF($K46&lt;0,E45+$K47,E45+$K46+$K47),IF($K46&lt;0,E45,E45+$K46))</f>
        <v>1865.2989864106171</v>
      </c>
      <c r="G45" s="165">
        <f ca="1">IF($K48&lt;0,IF($K47&lt;0,F45+$K48,F45+$K47+$K48),IF($K47&lt;0,F45,F45+$K47))</f>
        <v>1891.0063944069439</v>
      </c>
      <c r="H45" s="165">
        <f ca="1">IF($K49&lt;0,IF($K48&lt;0,G45+$K49,G45+$K48+$K49),IF($K48&lt;0,G45,G45+$K48))</f>
        <v>1891.0063944069439</v>
      </c>
      <c r="I45" s="165">
        <f ca="1">IF($K50&lt;0,IF($K49&lt;0,H45+$K50,H45+$K49+$K50),IF($K49&lt;0,H45,H45+$K49))</f>
        <v>1955.3493887599752</v>
      </c>
      <c r="J45" s="165">
        <v>0</v>
      </c>
      <c r="K45" s="314"/>
      <c r="L45" s="315"/>
      <c r="M45" s="13"/>
      <c r="N45" s="13"/>
      <c r="O45" s="13"/>
      <c r="Q45" s="13"/>
      <c r="R45" s="13"/>
      <c r="S45" s="13"/>
    </row>
    <row r="46" spans="1:19" x14ac:dyDescent="0.25">
      <c r="A46" s="64"/>
      <c r="B46" s="93" t="str">
        <f>B45</f>
        <v>Ausgrid</v>
      </c>
      <c r="C46" s="3" t="s">
        <v>62</v>
      </c>
      <c r="D46" s="131" cm="1">
        <f t="array" aca="1" ref="D46" ca="1">INDEX(INDIRECT("'"&amp;$B46&amp;"'!$F$23:$AJ$39"),MATCH($C46,INDIRECT("'"&amp;$B46&amp;"'!$F$23:$F$39"),0),MATCH($B$44&amp;$C$44&amp;D$44&amp;"Cost",INDIRECT("'"&amp;$B46&amp;"'!$F$23:$AJ$23")&amp;INDIRECT("'"&amp;$B46&amp;"'!$F$24:$AJ$24")&amp;INDIRECT("'"&amp;$B46&amp;"'!$F$25:$AJ$25")&amp;INDIRECT("'"&amp;$B46&amp;"'!$F$30:$AJ$30"),0))</f>
        <v>656.75497844808194</v>
      </c>
      <c r="E46" s="166">
        <f ca="1">ABS($J46-$D46)</f>
        <v>55.169983312050022</v>
      </c>
      <c r="F46" s="166"/>
      <c r="G46" s="166"/>
      <c r="H46" s="166"/>
      <c r="I46" s="166"/>
      <c r="J46" s="131">
        <f t="array" aca="1" ref="J46" ca="1">INDEX(INDIRECT("'"&amp;$B46&amp;"'!$F$23:$AJ$39"),MATCH($C46,INDIRECT("'"&amp;$B46&amp;"'!$F$23:$F$39"),0),MATCH($B$44&amp;$C$44&amp;J$44&amp;"Cost",INDIRECT("'"&amp;$B46&amp;"'!$F$23:$AJ$23")&amp;INDIRECT("'"&amp;$B46&amp;"'!$F$24:$AJ$24")&amp;INDIRECT("'"&amp;$B46&amp;"'!$F$25:$AJ$25")&amp;INDIRECT("'"&amp;$B46&amp;"'!$F$30:$AJ$30"),0))</f>
        <v>711.92496176013196</v>
      </c>
      <c r="K46" s="320">
        <f ca="1">J46-D46</f>
        <v>55.169983312050022</v>
      </c>
      <c r="L46" s="316">
        <f ca="1">+K46/D46</f>
        <v>8.4003905752518537E-2</v>
      </c>
      <c r="M46" s="13"/>
      <c r="N46" s="199"/>
      <c r="O46" s="13"/>
      <c r="Q46" s="13"/>
      <c r="R46" s="13"/>
      <c r="S46" s="13"/>
    </row>
    <row r="47" spans="1:19" x14ac:dyDescent="0.25">
      <c r="A47" s="64"/>
      <c r="B47" s="93" t="str">
        <f>B46</f>
        <v>Ausgrid</v>
      </c>
      <c r="C47" s="3" t="s">
        <v>63</v>
      </c>
      <c r="D47" s="131" cm="1">
        <f t="array" aca="1" ref="D47" ca="1">INDEX(INDIRECT("'"&amp;$B47&amp;"'!$F$23:$AJ$39"),MATCH($C47,INDIRECT("'"&amp;$B47&amp;"'!$F$23:$F$39"),0),MATCH($B$44&amp;$C$44&amp;D$44&amp;"Cost",INDIRECT("'"&amp;$B47&amp;"'!$F$23:$AJ$23")&amp;INDIRECT("'"&amp;$B47&amp;"'!$F$24:$AJ$24")&amp;INDIRECT("'"&amp;$B47&amp;"'!$F$25:$AJ$25")&amp;INDIRECT("'"&amp;$B47&amp;"'!$F$30:$AJ$30"),0))</f>
        <v>712.34100252857127</v>
      </c>
      <c r="E47" s="166"/>
      <c r="F47" s="166">
        <f ca="1">ABS($J47-$D47)</f>
        <v>41.6314886928634</v>
      </c>
      <c r="G47" s="166"/>
      <c r="H47" s="166"/>
      <c r="I47" s="166"/>
      <c r="J47" s="131">
        <f t="array" aca="1" ref="J47" ca="1">INDEX(INDIRECT("'"&amp;$B47&amp;"'!$F$23:$AJ$39"),MATCH($C47,INDIRECT("'"&amp;$B47&amp;"'!$F$23:$F$39"),0),MATCH($B$44&amp;$C$44&amp;J$44&amp;"Cost",INDIRECT("'"&amp;$B47&amp;"'!$F$23:$AJ$23")&amp;INDIRECT("'"&amp;$B47&amp;"'!$F$24:$AJ$24")&amp;INDIRECT("'"&amp;$B47&amp;"'!$F$25:$AJ$25")&amp;INDIRECT("'"&amp;$B47&amp;"'!$F$30:$AJ$30"),0))</f>
        <v>753.97249122143467</v>
      </c>
      <c r="K47" s="320">
        <f ca="1">J47-D47</f>
        <v>41.6314886928634</v>
      </c>
      <c r="L47" s="316">
        <f t="shared" ref="L47:L79" ca="1" si="0">+K47/D47</f>
        <v>5.844320142331496E-2</v>
      </c>
      <c r="M47" s="13"/>
      <c r="N47" s="199"/>
      <c r="O47" s="199"/>
      <c r="P47" s="13"/>
      <c r="Q47" s="13"/>
      <c r="R47" s="13"/>
      <c r="S47" s="13"/>
    </row>
    <row r="48" spans="1:19" x14ac:dyDescent="0.25">
      <c r="A48" s="64"/>
      <c r="B48" s="93" t="str">
        <f>B47</f>
        <v>Ausgrid</v>
      </c>
      <c r="C48" s="3" t="s">
        <v>64</v>
      </c>
      <c r="D48" s="131">
        <f t="array" aca="1" ref="D48" ca="1">INDEX(INDIRECT("'"&amp;$B48&amp;"'!$F$23:$AJ$39"),MATCH($C48,INDIRECT("'"&amp;$B48&amp;"'!$F$23:$F$39"),0),MATCH($B$44&amp;$C$44&amp;D$44&amp;"Cost",INDIRECT("'"&amp;$B48&amp;"'!$F$23:$AJ$23")&amp;INDIRECT("'"&amp;$B48&amp;"'!$F$24:$AJ$24")&amp;INDIRECT("'"&amp;$B48&amp;"'!$F$25:$AJ$25")&amp;INDIRECT("'"&amp;$B48&amp;"'!$F$30:$AJ$30"),0))</f>
        <v>84.255600000000001</v>
      </c>
      <c r="E48" s="166"/>
      <c r="F48" s="166"/>
      <c r="G48" s="166">
        <f ca="1">ABS($J48-$D48)</f>
        <v>15.924080696536677</v>
      </c>
      <c r="H48" s="166"/>
      <c r="I48" s="166"/>
      <c r="J48" s="131">
        <f t="array" aca="1" ref="J48" ca="1">INDEX(INDIRECT("'"&amp;$B48&amp;"'!$F$23:$AJ$39"),MATCH($C48,INDIRECT("'"&amp;$B48&amp;"'!$F$23:$F$39"),0),MATCH($B$44&amp;$C$44&amp;J$44&amp;"Cost",INDIRECT("'"&amp;$B48&amp;"'!$F$23:$AJ$23")&amp;INDIRECT("'"&amp;$B48&amp;"'!$F$24:$AJ$24")&amp;INDIRECT("'"&amp;$B48&amp;"'!$F$25:$AJ$25")&amp;INDIRECT("'"&amp;$B48&amp;"'!$F$30:$AJ$30"),0))</f>
        <v>68.331519303463324</v>
      </c>
      <c r="K48" s="320">
        <f ca="1">J48-D48</f>
        <v>-15.924080696536677</v>
      </c>
      <c r="L48" s="316">
        <f t="shared" ca="1" si="0"/>
        <v>-0.18899729746790334</v>
      </c>
      <c r="M48" s="13"/>
      <c r="N48" s="13"/>
      <c r="O48" s="13"/>
      <c r="P48" s="13"/>
      <c r="Q48" s="13"/>
      <c r="R48" s="13"/>
      <c r="S48" s="13"/>
    </row>
    <row r="49" spans="1:19" x14ac:dyDescent="0.25">
      <c r="A49" s="64"/>
      <c r="B49" s="93" t="str">
        <f t="shared" ref="B49:B50" si="1">B48</f>
        <v>Ausgrid</v>
      </c>
      <c r="C49" s="3" t="s">
        <v>168</v>
      </c>
      <c r="D49" s="131">
        <f t="array" aca="1" ref="D49" ca="1">INDEX(INDIRECT("'"&amp;$B49&amp;"'!$F$23:$AJ$39"),MATCH($C49,INDIRECT("'"&amp;$B49&amp;"'!$F$23:$F$39"),0),MATCH($B$44&amp;$C$44&amp;D$44&amp;"Cost",INDIRECT("'"&amp;$B49&amp;"'!$F$23:$AJ$23")&amp;INDIRECT("'"&amp;$B49&amp;"'!$F$24:$AJ$24")&amp;INDIRECT("'"&amp;$B49&amp;"'!$F$25:$AJ$25")&amp;INDIRECT("'"&amp;$B49&amp;"'!$F$30:$AJ$30"),0))</f>
        <v>248.16968193600002</v>
      </c>
      <c r="E49" s="166"/>
      <c r="F49" s="166"/>
      <c r="G49" s="166"/>
      <c r="H49" s="166">
        <f ca="1">ABS($J49-$D49)</f>
        <v>64.342994353031258</v>
      </c>
      <c r="I49" s="166"/>
      <c r="J49" s="131">
        <f t="array" aca="1" ref="J49" ca="1">INDEX(INDIRECT("'"&amp;$B49&amp;"'!$F$23:$AJ$39"),MATCH($C49,INDIRECT("'"&amp;$B49&amp;"'!$F$23:$F$39"),0),MATCH($B$44&amp;$C$44&amp;J$44&amp;"Cost",INDIRECT("'"&amp;$B49&amp;"'!$F$23:$AJ$23")&amp;INDIRECT("'"&amp;$B49&amp;"'!$F$24:$AJ$24")&amp;INDIRECT("'"&amp;$B49&amp;"'!$F$25:$AJ$25")&amp;INDIRECT("'"&amp;$B49&amp;"'!$F$30:$AJ$30"),0))</f>
        <v>312.51267628903128</v>
      </c>
      <c r="K49" s="320">
        <f ca="1">J49-D49</f>
        <v>64.342994353031258</v>
      </c>
      <c r="L49" s="316">
        <f t="shared" ca="1" si="0"/>
        <v>0.2592701648770479</v>
      </c>
      <c r="M49" s="13"/>
      <c r="N49" s="13"/>
      <c r="O49" s="13"/>
      <c r="P49" s="13"/>
      <c r="Q49" s="13"/>
      <c r="R49" s="13"/>
      <c r="S49" s="13"/>
    </row>
    <row r="50" spans="1:19" x14ac:dyDescent="0.25">
      <c r="A50" s="64"/>
      <c r="B50" s="93" t="str">
        <f t="shared" si="1"/>
        <v>Ausgrid</v>
      </c>
      <c r="C50" s="3" t="s">
        <v>210</v>
      </c>
      <c r="D50" s="131">
        <f t="array" aca="1" ref="D50" ca="1">INDEX(INDIRECT("'"&amp;$B50&amp;"'!$F$23:$AJ$39"),MATCH($C50,INDIRECT("'"&amp;$B50&amp;"'!$F$23:$F$39"),0),MATCH($B$44&amp;$C$44&amp;D$44&amp;"Cost",INDIRECT("'"&amp;$B50&amp;"'!$F$23:$AJ$23")&amp;INDIRECT("'"&amp;$B50&amp;"'!$F$24:$AJ$24")&amp;INDIRECT("'"&amp;$B50&amp;"'!$F$25:$AJ$25")&amp;INDIRECT("'"&amp;$B50&amp;"'!$F$30:$AJ$30"),0))</f>
        <v>108.60774018591405</v>
      </c>
      <c r="E50" s="166"/>
      <c r="F50" s="166"/>
      <c r="G50" s="166"/>
      <c r="H50" s="166"/>
      <c r="I50" s="166">
        <f ca="1">ABS($J50-$D50)</f>
        <v>9.2693863188133037</v>
      </c>
      <c r="J50" s="131">
        <f t="array" aca="1" ref="J50" ca="1">INDEX(INDIRECT("'"&amp;$B50&amp;"'!$F$23:$AJ$39"),MATCH($C50,INDIRECT("'"&amp;$B50&amp;"'!$F$23:$F$39"),0),MATCH($B$44&amp;$C$44&amp;J$44&amp;"Cost",INDIRECT("'"&amp;$B50&amp;"'!$F$23:$AJ$23")&amp;INDIRECT("'"&amp;$B50&amp;"'!$F$24:$AJ$24")&amp;INDIRECT("'"&amp;$B50&amp;"'!$F$25:$AJ$25")&amp;INDIRECT("'"&amp;$B50&amp;"'!$F$30:$AJ$30"),0))</f>
        <v>117.87712650472736</v>
      </c>
      <c r="K50" s="320">
        <f ca="1">J50-D50</f>
        <v>9.2693863188133037</v>
      </c>
      <c r="L50" s="316">
        <f t="shared" ca="1" si="0"/>
        <v>8.5347382267102007E-2</v>
      </c>
      <c r="M50" s="13"/>
      <c r="N50" s="13"/>
      <c r="O50" s="199"/>
      <c r="P50" s="13"/>
      <c r="Q50" s="13"/>
      <c r="R50" s="199"/>
      <c r="S50" s="13"/>
    </row>
    <row r="51" spans="1:19" x14ac:dyDescent="0.25">
      <c r="A51" s="64"/>
      <c r="B51" s="94" t="str">
        <f>B49</f>
        <v>Ausgrid</v>
      </c>
      <c r="C51" s="95" t="s">
        <v>117</v>
      </c>
      <c r="D51" s="167">
        <f ca="1">ROUND(SUM(D45:D50),0)</f>
        <v>1810</v>
      </c>
      <c r="E51" s="167"/>
      <c r="F51" s="167"/>
      <c r="G51" s="167"/>
      <c r="H51" s="167"/>
      <c r="I51" s="167"/>
      <c r="J51" s="167">
        <f ca="1">ROUND(SUM(J45:J50),0)</f>
        <v>1965</v>
      </c>
      <c r="K51" s="321">
        <f ca="1">+J51-D51</f>
        <v>155</v>
      </c>
      <c r="L51" s="316">
        <f ca="1">+K51/D51</f>
        <v>8.5635359116022103E-2</v>
      </c>
      <c r="M51" s="13"/>
      <c r="N51" s="13"/>
      <c r="O51" s="199"/>
      <c r="P51" s="124"/>
      <c r="Q51" s="13"/>
      <c r="S51" s="13"/>
    </row>
    <row r="52" spans="1:19" x14ac:dyDescent="0.25">
      <c r="A52" s="64" t="str">
        <f>B52&amp;" "&amp;$B$44&amp;" "&amp;$C$44&amp;" $"</f>
        <v>Endeavour Residential without CL $</v>
      </c>
      <c r="B52" s="91" t="s">
        <v>4</v>
      </c>
      <c r="C52" s="92" t="s">
        <v>156</v>
      </c>
      <c r="D52" s="165">
        <v>0</v>
      </c>
      <c r="E52" s="165">
        <f ca="1">IF($K53&lt;0,SUM(D52:D57)+$K53,SUM(D52:D57))</f>
        <v>2223.2929556942249</v>
      </c>
      <c r="F52" s="165">
        <f ca="1">IF($K54&lt;0,IF($K53&lt;0,E52+$K54,E52+$K53+$K54),IF($K53&lt;0,E52,E52+$K53))</f>
        <v>2294.986027694225</v>
      </c>
      <c r="G52" s="165">
        <f ca="1">IF($K55&lt;0,IF($K54&lt;0,F52+$K55,F52+$K54+$K55),IF($K54&lt;0,F52,F52+$K54))</f>
        <v>2324.7169646795246</v>
      </c>
      <c r="H52" s="165">
        <f ca="1">IF($K56&lt;0,IF($K55&lt;0,G52+$K56,G52+$K55+$K56),IF($K55&lt;0,G52,G52+$K55))</f>
        <v>2324.7169646795246</v>
      </c>
      <c r="I52" s="165">
        <f ca="1">IF($K57&lt;0,IF($K56&lt;0,H52+$K57,H52+$K56+$K57),IF($K56&lt;0,H52,H52+$K56))</f>
        <v>2400.0788520736278</v>
      </c>
      <c r="J52" s="165">
        <v>0</v>
      </c>
      <c r="K52" s="322"/>
      <c r="L52" s="317"/>
      <c r="M52" s="13"/>
    </row>
    <row r="53" spans="1:19" x14ac:dyDescent="0.25">
      <c r="A53" s="64"/>
      <c r="B53" s="93" t="str">
        <f>B52</f>
        <v>Endeavour</v>
      </c>
      <c r="C53" s="3" t="s">
        <v>62</v>
      </c>
      <c r="D53" s="131">
        <f t="array" aca="1" ref="D53" ca="1">INDEX(INDIRECT("'"&amp;$B53&amp;"'!$F$23:$AJ$39"),MATCH($C53,INDIRECT("'"&amp;$B53&amp;"'!$F$23:$F$39"),0),MATCH($B$44&amp;$C$44&amp;D$44&amp;"Cost",INDIRECT("'"&amp;$B53&amp;"'!$F$23:$AJ$23")&amp;INDIRECT("'"&amp;$B53&amp;"'!$F$24:$AJ$24")&amp;INDIRECT("'"&amp;$B53&amp;"'!$F$25:$AJ$25")&amp;INDIRECT("'"&amp;$B53&amp;"'!$F$30:$AJ$30"),0))</f>
        <v>764.81430299999988</v>
      </c>
      <c r="E53" s="166">
        <f ca="1">ABS($J53-$D53)</f>
        <v>71.693072000000029</v>
      </c>
      <c r="F53" s="166"/>
      <c r="G53" s="166"/>
      <c r="H53" s="166"/>
      <c r="I53" s="166"/>
      <c r="J53" s="131">
        <f t="array" aca="1" ref="J53" ca="1">INDEX(INDIRECT("'"&amp;$B53&amp;"'!$F$23:$AJ$39"),MATCH($C53,INDIRECT("'"&amp;$B53&amp;"'!$F$23:$F$39"),0),MATCH($B$44&amp;$C$44&amp;J$44&amp;"Cost",INDIRECT("'"&amp;$B53&amp;"'!$F$23:$AJ$23")&amp;INDIRECT("'"&amp;$B53&amp;"'!$F$24:$AJ$24")&amp;INDIRECT("'"&amp;$B53&amp;"'!$F$25:$AJ$25")&amp;INDIRECT("'"&amp;$B53&amp;"'!$F$30:$AJ$30"),0))</f>
        <v>836.50737499999991</v>
      </c>
      <c r="K53" s="320">
        <f ca="1">J53-D53</f>
        <v>71.693072000000029</v>
      </c>
      <c r="L53" s="316">
        <f t="shared" ca="1" si="0"/>
        <v>9.3739188347789104E-2</v>
      </c>
      <c r="M53" s="13"/>
      <c r="N53" s="199"/>
      <c r="O53" s="13"/>
    </row>
    <row r="54" spans="1:19" x14ac:dyDescent="0.25">
      <c r="A54" s="64"/>
      <c r="B54" s="93" t="str">
        <f>B53</f>
        <v>Endeavour</v>
      </c>
      <c r="C54" s="3" t="s">
        <v>63</v>
      </c>
      <c r="D54" s="131">
        <f t="array" aca="1" ref="D54" ca="1">INDEX(INDIRECT("'"&amp;$B54&amp;"'!$F$23:$AJ$39"),MATCH($C54,INDIRECT("'"&amp;$B54&amp;"'!$F$23:$F$39"),0),MATCH($B$44&amp;$C$44&amp;D$44&amp;"Cost",INDIRECT("'"&amp;$B54&amp;"'!$F$23:$AJ$23")&amp;INDIRECT("'"&amp;$B54&amp;"'!$F$24:$AJ$24")&amp;INDIRECT("'"&amp;$B54&amp;"'!$F$25:$AJ$25")&amp;INDIRECT("'"&amp;$B54&amp;"'!$F$30:$AJ$30"),0))</f>
        <v>949.36140152857149</v>
      </c>
      <c r="E54" s="166"/>
      <c r="F54" s="166">
        <f ca="1">ABS($J54-$D54)</f>
        <v>49.099511972835217</v>
      </c>
      <c r="G54" s="166"/>
      <c r="H54" s="166"/>
      <c r="I54" s="166"/>
      <c r="J54" s="131">
        <f t="array" aca="1" ref="J54" ca="1">INDEX(INDIRECT("'"&amp;$B54&amp;"'!$F$23:$AJ$39"),MATCH($C54,INDIRECT("'"&amp;$B54&amp;"'!$F$23:$F$39"),0),MATCH($B$44&amp;$C$44&amp;J$44&amp;"Cost",INDIRECT("'"&amp;$B54&amp;"'!$F$23:$AJ$23")&amp;INDIRECT("'"&amp;$B54&amp;"'!$F$24:$AJ$24")&amp;INDIRECT("'"&amp;$B54&amp;"'!$F$25:$AJ$25")&amp;INDIRECT("'"&amp;$B54&amp;"'!$F$30:$AJ$30"),0))</f>
        <v>998.46091350140671</v>
      </c>
      <c r="K54" s="320">
        <f ca="1">J54-D54</f>
        <v>49.099511972835217</v>
      </c>
      <c r="L54" s="316">
        <f t="shared" ca="1" si="0"/>
        <v>5.1718462425141623E-2</v>
      </c>
      <c r="M54" s="13"/>
      <c r="N54" s="199"/>
      <c r="O54" s="199"/>
    </row>
    <row r="55" spans="1:19" x14ac:dyDescent="0.25">
      <c r="A55" s="64"/>
      <c r="B55" s="93" t="str">
        <f>B54</f>
        <v>Endeavour</v>
      </c>
      <c r="C55" s="3" t="s">
        <v>64</v>
      </c>
      <c r="D55" s="131">
        <f t="array" aca="1" ref="D55" ca="1">INDEX(INDIRECT("'"&amp;$B55&amp;"'!$F$23:$AJ$39"),MATCH($C55,INDIRECT("'"&amp;$B55&amp;"'!$F$23:$F$39"),0),MATCH($B$44&amp;$C$44&amp;D$44&amp;"Cost",INDIRECT("'"&amp;$B55&amp;"'!$F$23:$AJ$23")&amp;INDIRECT("'"&amp;$B55&amp;"'!$F$24:$AJ$24")&amp;INDIRECT("'"&amp;$B55&amp;"'!$F$25:$AJ$25")&amp;INDIRECT("'"&amp;$B55&amp;"'!$F$30:$AJ$30"),0))</f>
        <v>106.77590000000001</v>
      </c>
      <c r="E55" s="166"/>
      <c r="F55" s="166"/>
      <c r="G55" s="166">
        <f ca="1">ABS($J55-$D55)</f>
        <v>19.368574987535908</v>
      </c>
      <c r="H55" s="166"/>
      <c r="I55" s="166"/>
      <c r="J55" s="131">
        <f t="array" aca="1" ref="J55" ca="1">INDEX(INDIRECT("'"&amp;$B55&amp;"'!$F$23:$AJ$39"),MATCH($C55,INDIRECT("'"&amp;$B55&amp;"'!$F$23:$F$39"),0),MATCH($B$44&amp;$C$44&amp;J$44&amp;"Cost",INDIRECT("'"&amp;$B55&amp;"'!$F$23:$AJ$23")&amp;INDIRECT("'"&amp;$B55&amp;"'!$F$24:$AJ$24")&amp;INDIRECT("'"&amp;$B55&amp;"'!$F$25:$AJ$25")&amp;INDIRECT("'"&amp;$B55&amp;"'!$F$30:$AJ$30"),0))</f>
        <v>87.407325012464099</v>
      </c>
      <c r="K55" s="320">
        <f ca="1">J55-D55</f>
        <v>-19.368574987535908</v>
      </c>
      <c r="L55" s="316">
        <f t="shared" ca="1" si="0"/>
        <v>-0.18139463106877027</v>
      </c>
      <c r="M55" s="13"/>
      <c r="N55" s="13"/>
      <c r="O55" s="13"/>
    </row>
    <row r="56" spans="1:19" x14ac:dyDescent="0.25">
      <c r="A56" s="64"/>
      <c r="B56" s="93" t="str">
        <f t="shared" ref="B56:B57" si="2">B55</f>
        <v>Endeavour</v>
      </c>
      <c r="C56" s="3" t="s">
        <v>168</v>
      </c>
      <c r="D56" s="131">
        <f t="array" aca="1" ref="D56" ca="1">INDEX(INDIRECT("'"&amp;$B56&amp;"'!$F$23:$AJ$39"),MATCH($C56,INDIRECT("'"&amp;$B56&amp;"'!$F$23:$F$39"),0),MATCH($B$44&amp;$C$44&amp;D$44&amp;"Cost",INDIRECT("'"&amp;$B56&amp;"'!$F$23:$AJ$23")&amp;INDIRECT("'"&amp;$B56&amp;"'!$F$24:$AJ$24")&amp;INDIRECT("'"&amp;$B56&amp;"'!$F$25:$AJ$25")&amp;INDIRECT("'"&amp;$B56&amp;"'!$F$30:$AJ$30"),0))</f>
        <v>268.94377382400006</v>
      </c>
      <c r="E56" s="166"/>
      <c r="F56" s="166"/>
      <c r="G56" s="166"/>
      <c r="H56" s="166">
        <f ca="1">ABS($J56-$D56)</f>
        <v>75.361887394102951</v>
      </c>
      <c r="I56" s="166"/>
      <c r="J56" s="131">
        <f t="array" aca="1" ref="J56" ca="1">INDEX(INDIRECT("'"&amp;$B56&amp;"'!$F$23:$AJ$39"),MATCH($C56,INDIRECT("'"&amp;$B56&amp;"'!$F$23:$F$39"),0),MATCH($B$44&amp;$C$44&amp;J$44&amp;"Cost",INDIRECT("'"&amp;$B56&amp;"'!$F$23:$AJ$23")&amp;INDIRECT("'"&amp;$B56&amp;"'!$F$24:$AJ$24")&amp;INDIRECT("'"&amp;$B56&amp;"'!$F$25:$AJ$25")&amp;INDIRECT("'"&amp;$B56&amp;"'!$F$30:$AJ$30"),0))</f>
        <v>344.30566121810301</v>
      </c>
      <c r="K56" s="320">
        <f ca="1">J56-D56</f>
        <v>75.361887394102951</v>
      </c>
      <c r="L56" s="316">
        <f t="shared" ca="1" si="0"/>
        <v>0.28021428539714271</v>
      </c>
      <c r="M56" s="13"/>
      <c r="N56" s="13"/>
      <c r="O56" s="13"/>
    </row>
    <row r="57" spans="1:19" x14ac:dyDescent="0.25">
      <c r="A57" s="64"/>
      <c r="B57" s="93" t="str">
        <f t="shared" si="2"/>
        <v>Endeavour</v>
      </c>
      <c r="C57" s="3" t="s">
        <v>210</v>
      </c>
      <c r="D57" s="131">
        <f t="array" aca="1" ref="D57" ca="1">INDEX(INDIRECT("'"&amp;$B57&amp;"'!$F$23:$AJ$39"),MATCH($C57,INDIRECT("'"&amp;$B57&amp;"'!$F$23:$F$39"),0),MATCH($B$44&amp;$C$44&amp;D$44&amp;"Cost",INDIRECT("'"&amp;$B57&amp;"'!$F$23:$AJ$23")&amp;INDIRECT("'"&amp;$B57&amp;"'!$F$24:$AJ$24")&amp;INDIRECT("'"&amp;$B57&amp;"'!$F$25:$AJ$25")&amp;INDIRECT("'"&amp;$B57&amp;"'!$F$30:$AJ$30"),0))</f>
        <v>133.39757734165369</v>
      </c>
      <c r="E57" s="166"/>
      <c r="F57" s="166"/>
      <c r="G57" s="166"/>
      <c r="H57" s="166"/>
      <c r="I57" s="166">
        <f ca="1">ABS($J57-$D57)</f>
        <v>11.284206151876788</v>
      </c>
      <c r="J57" s="131">
        <f t="array" aca="1" ref="J57" ca="1">INDEX(INDIRECT("'"&amp;$B57&amp;"'!$F$23:$AJ$39"),MATCH($C57,INDIRECT("'"&amp;$B57&amp;"'!$F$23:$F$39"),0),MATCH($B$44&amp;$C$44&amp;J$44&amp;"Cost",INDIRECT("'"&amp;$B57&amp;"'!$F$23:$AJ$23")&amp;INDIRECT("'"&amp;$B57&amp;"'!$F$24:$AJ$24")&amp;INDIRECT("'"&amp;$B57&amp;"'!$F$25:$AJ$25")&amp;INDIRECT("'"&amp;$B57&amp;"'!$F$30:$AJ$30"),0))</f>
        <v>144.68178349353047</v>
      </c>
      <c r="K57" s="320">
        <f ca="1">J57-D57</f>
        <v>11.284206151876788</v>
      </c>
      <c r="L57" s="316">
        <f t="shared" ca="1" si="0"/>
        <v>8.459078775453345E-2</v>
      </c>
      <c r="M57" s="13"/>
      <c r="N57" s="13"/>
      <c r="O57" s="199"/>
      <c r="R57" s="199"/>
    </row>
    <row r="58" spans="1:19" x14ac:dyDescent="0.25">
      <c r="A58" s="64"/>
      <c r="B58" s="94" t="str">
        <f>B56</f>
        <v>Endeavour</v>
      </c>
      <c r="C58" s="95" t="s">
        <v>117</v>
      </c>
      <c r="D58" s="167">
        <f ca="1">ROUND(SUM(D52:D57),0)</f>
        <v>2223</v>
      </c>
      <c r="E58" s="167"/>
      <c r="F58" s="167"/>
      <c r="G58" s="167"/>
      <c r="H58" s="167"/>
      <c r="I58" s="167"/>
      <c r="J58" s="167">
        <f ca="1">ROUND(SUM(J52:J57),0)</f>
        <v>2411</v>
      </c>
      <c r="K58" s="321">
        <f ca="1">+J58-D58</f>
        <v>188</v>
      </c>
      <c r="L58" s="316">
        <f t="shared" ca="1" si="0"/>
        <v>8.4570400359874037E-2</v>
      </c>
      <c r="M58" s="13"/>
      <c r="N58" s="13"/>
      <c r="O58" s="199"/>
      <c r="P58" s="124"/>
    </row>
    <row r="59" spans="1:19" x14ac:dyDescent="0.25">
      <c r="A59" s="64" t="str">
        <f>B59&amp;" "&amp;$B$44&amp;" "&amp;$C$44&amp;" $"</f>
        <v>Essential Residential without CL $</v>
      </c>
      <c r="B59" s="91" t="s">
        <v>3</v>
      </c>
      <c r="C59" s="92" t="s">
        <v>156</v>
      </c>
      <c r="D59" s="165">
        <v>0</v>
      </c>
      <c r="E59" s="165">
        <f ca="1">IF($K60&lt;0,SUM(D59:D64)+$K60,SUM(D59:D64))</f>
        <v>2512.537289442369</v>
      </c>
      <c r="F59" s="165">
        <f ca="1">IF($K61&lt;0,IF($K60&lt;0,E59+$K61,E59+$K60+$K61),IF($K60&lt;0,E59,E59+$K60))</f>
        <v>2606.4291985552045</v>
      </c>
      <c r="G59" s="165">
        <f ca="1">IF($K62&lt;0,IF($K61&lt;0,F59+$K62,F59+$K61+$K62),IF($K61&lt;0,F59,F59+$K61))</f>
        <v>2653.3836332041637</v>
      </c>
      <c r="H59" s="165">
        <f ca="1">IF($K63&lt;0,IF($K62&lt;0,G59+$K63,G59+$K62+$K63),IF($K62&lt;0,G59,G59+$K62))</f>
        <v>2653.3836332041637</v>
      </c>
      <c r="I59" s="165">
        <f ca="1">IF($K64&lt;0,IF($K63&lt;0,H59+$K64,H59+$K63+$K64),IF($K63&lt;0,H59,H59+$K63))</f>
        <v>2727.1172911912668</v>
      </c>
      <c r="J59" s="165">
        <v>0</v>
      </c>
      <c r="K59" s="322"/>
      <c r="L59" s="317"/>
      <c r="M59" s="13"/>
    </row>
    <row r="60" spans="1:19" x14ac:dyDescent="0.25">
      <c r="A60" s="64"/>
      <c r="B60" s="93" t="str">
        <f>B59</f>
        <v>Essential</v>
      </c>
      <c r="C60" s="3" t="s">
        <v>62</v>
      </c>
      <c r="D60" s="131">
        <f t="array" aca="1" ref="D60" ca="1">INDEX(INDIRECT("'"&amp;$B60&amp;"'!$F$23:$AJ$39"),MATCH($C60,INDIRECT("'"&amp;$B60&amp;"'!$F$23:$F$39"),0),MATCH($B$44&amp;$C$44&amp;D$44&amp;"Cost",INDIRECT("'"&amp;$B60&amp;"'!$F$23:$AJ$23")&amp;INDIRECT("'"&amp;$B60&amp;"'!$F$24:$AJ$24")&amp;INDIRECT("'"&amp;$B60&amp;"'!$F$25:$AJ$25")&amp;INDIRECT("'"&amp;$B60&amp;"'!$F$30:$AJ$30"),0))</f>
        <v>1155.0889558312551</v>
      </c>
      <c r="E60" s="166">
        <f ca="1">ABS($J60-$D60)</f>
        <v>93.891909112835265</v>
      </c>
      <c r="F60" s="166"/>
      <c r="G60" s="166"/>
      <c r="H60" s="166"/>
      <c r="I60" s="166"/>
      <c r="J60" s="131">
        <f t="array" aca="1" ref="J60" ca="1">INDEX(INDIRECT("'"&amp;$B60&amp;"'!$F$23:$AJ$39"),MATCH($C60,INDIRECT("'"&amp;$B60&amp;"'!$F$23:$F$39"),0),MATCH($B$44&amp;$C$44&amp;J$44&amp;"Cost",INDIRECT("'"&amp;$B60&amp;"'!$F$23:$AJ$23")&amp;INDIRECT("'"&amp;$B60&amp;"'!$F$24:$AJ$24")&amp;INDIRECT("'"&amp;$B60&amp;"'!$F$25:$AJ$25")&amp;INDIRECT("'"&amp;$B60&amp;"'!$F$30:$AJ$30"),0))</f>
        <v>1248.9808649440904</v>
      </c>
      <c r="K60" s="320">
        <f ca="1">J60-D60</f>
        <v>93.891909112835265</v>
      </c>
      <c r="L60" s="316">
        <f t="shared" ca="1" si="0"/>
        <v>8.1285435756994429E-2</v>
      </c>
      <c r="M60" s="13"/>
      <c r="N60" s="199"/>
      <c r="O60" s="13"/>
    </row>
    <row r="61" spans="1:19" x14ac:dyDescent="0.25">
      <c r="A61" s="64"/>
      <c r="B61" s="93" t="str">
        <f>B60</f>
        <v>Essential</v>
      </c>
      <c r="C61" s="3" t="s">
        <v>63</v>
      </c>
      <c r="D61" s="131">
        <f t="array" aca="1" ref="D61" ca="1">INDEX(INDIRECT("'"&amp;$B61&amp;"'!$F$23:$AJ$39"),MATCH($C61,INDIRECT("'"&amp;$B61&amp;"'!$F$23:$F$39"),0),MATCH($B$44&amp;$C$44&amp;D$44&amp;"Cost",INDIRECT("'"&amp;$B61&amp;"'!$F$23:$AJ$23")&amp;INDIRECT("'"&amp;$B61&amp;"'!$F$24:$AJ$24")&amp;INDIRECT("'"&amp;$B61&amp;"'!$F$25:$AJ$25")&amp;INDIRECT("'"&amp;$B61&amp;"'!$F$30:$AJ$30"),0))</f>
        <v>838.80785182857142</v>
      </c>
      <c r="E61" s="166"/>
      <c r="F61" s="166">
        <f ca="1">ABS($J61-$D61)</f>
        <v>64.644428081365618</v>
      </c>
      <c r="G61" s="166"/>
      <c r="H61" s="166"/>
      <c r="I61" s="166"/>
      <c r="J61" s="131">
        <f t="array" aca="1" ref="J61" ca="1">INDEX(INDIRECT("'"&amp;$B61&amp;"'!$F$23:$AJ$39"),MATCH($C61,INDIRECT("'"&amp;$B61&amp;"'!$F$23:$F$39"),0),MATCH($B$44&amp;$C$44&amp;J$44&amp;"Cost",INDIRECT("'"&amp;$B61&amp;"'!$F$23:$AJ$23")&amp;INDIRECT("'"&amp;$B61&amp;"'!$F$24:$AJ$24")&amp;INDIRECT("'"&amp;$B61&amp;"'!$F$25:$AJ$25")&amp;INDIRECT("'"&amp;$B61&amp;"'!$F$30:$AJ$30"),0))</f>
        <v>903.45227990993703</v>
      </c>
      <c r="K61" s="320">
        <f ca="1">J61-D61</f>
        <v>64.644428081365618</v>
      </c>
      <c r="L61" s="316">
        <f t="shared" ca="1" si="0"/>
        <v>7.7067027854404377E-2</v>
      </c>
      <c r="M61" s="13"/>
      <c r="N61" s="199"/>
      <c r="O61" s="199"/>
    </row>
    <row r="62" spans="1:19" x14ac:dyDescent="0.25">
      <c r="A62" s="64"/>
      <c r="B62" s="93" t="str">
        <f>B61</f>
        <v>Essential</v>
      </c>
      <c r="C62" s="3" t="s">
        <v>64</v>
      </c>
      <c r="D62" s="131">
        <f t="array" aca="1" ref="D62" ca="1">INDEX(INDIRECT("'"&amp;$B62&amp;"'!$F$23:$AJ$39"),MATCH($C62,INDIRECT("'"&amp;$B62&amp;"'!$F$23:$F$39"),0),MATCH($B$44&amp;$C$44&amp;D$44&amp;"Cost",INDIRECT("'"&amp;$B62&amp;"'!$F$23:$AJ$23")&amp;INDIRECT("'"&amp;$B62&amp;"'!$F$24:$AJ$24")&amp;INDIRECT("'"&amp;$B62&amp;"'!$F$25:$AJ$25")&amp;INDIRECT("'"&amp;$B62&amp;"'!$F$30:$AJ$30"),0))</f>
        <v>97.860399999999998</v>
      </c>
      <c r="E62" s="166"/>
      <c r="F62" s="166"/>
      <c r="G62" s="166">
        <f ca="1">ABS($J62-$D62)</f>
        <v>17.68999343240651</v>
      </c>
      <c r="H62" s="166"/>
      <c r="I62" s="166"/>
      <c r="J62" s="131">
        <f t="array" aca="1" ref="J62" ca="1">INDEX(INDIRECT("'"&amp;$B62&amp;"'!$F$23:$AJ$39"),MATCH($C62,INDIRECT("'"&amp;$B62&amp;"'!$F$23:$F$39"),0),MATCH($B$44&amp;$C$44&amp;J$44&amp;"Cost",INDIRECT("'"&amp;$B62&amp;"'!$F$23:$AJ$23")&amp;INDIRECT("'"&amp;$B62&amp;"'!$F$24:$AJ$24")&amp;INDIRECT("'"&amp;$B62&amp;"'!$F$25:$AJ$25")&amp;INDIRECT("'"&amp;$B62&amp;"'!$F$30:$AJ$30"),0))</f>
        <v>80.170406567593488</v>
      </c>
      <c r="K62" s="320">
        <f ca="1">J62-D62</f>
        <v>-17.68999343240651</v>
      </c>
      <c r="L62" s="316">
        <f t="shared" ca="1" si="0"/>
        <v>-0.18076763872216453</v>
      </c>
      <c r="M62" s="13"/>
      <c r="N62" s="13"/>
      <c r="O62" s="13"/>
    </row>
    <row r="63" spans="1:19" x14ac:dyDescent="0.25">
      <c r="A63" s="64"/>
      <c r="B63" s="93" t="str">
        <f t="shared" ref="B63:B64" si="3">B62</f>
        <v>Essential</v>
      </c>
      <c r="C63" s="3" t="s">
        <v>168</v>
      </c>
      <c r="D63" s="131">
        <f t="array" aca="1" ref="D63" ca="1">INDEX(INDIRECT("'"&amp;$B63&amp;"'!$F$23:$AJ$39"),MATCH($C63,INDIRECT("'"&amp;$B63&amp;"'!$F$23:$F$39"),0),MATCH($B$44&amp;$C$44&amp;D$44&amp;"Cost",INDIRECT("'"&amp;$B63&amp;"'!$F$23:$AJ$23")&amp;INDIRECT("'"&amp;$B63&amp;"'!$F$24:$AJ$24")&amp;INDIRECT("'"&amp;$B63&amp;"'!$F$25:$AJ$25")&amp;INDIRECT("'"&amp;$B63&amp;"'!$F$30:$AJ$30"),0))</f>
        <v>270.02784441600005</v>
      </c>
      <c r="E63" s="166"/>
      <c r="F63" s="166"/>
      <c r="G63" s="166"/>
      <c r="H63" s="166">
        <f ca="1">ABS($J63-$D63)</f>
        <v>73.733657987102845</v>
      </c>
      <c r="I63" s="166"/>
      <c r="J63" s="131">
        <f t="array" aca="1" ref="J63" ca="1">INDEX(INDIRECT("'"&amp;$B63&amp;"'!$F$23:$AJ$39"),MATCH($C63,INDIRECT("'"&amp;$B63&amp;"'!$F$23:$F$39"),0),MATCH($B$44&amp;$C$44&amp;J$44&amp;"Cost",INDIRECT("'"&amp;$B63&amp;"'!$F$23:$AJ$23")&amp;INDIRECT("'"&amp;$B63&amp;"'!$F$24:$AJ$24")&amp;INDIRECT("'"&amp;$B63&amp;"'!$F$25:$AJ$25")&amp;INDIRECT("'"&amp;$B63&amp;"'!$F$30:$AJ$30"),0))</f>
        <v>343.7615024031029</v>
      </c>
      <c r="K63" s="320">
        <f ca="1">J63-D63</f>
        <v>73.733657987102845</v>
      </c>
      <c r="L63" s="316">
        <f t="shared" ca="1" si="0"/>
        <v>0.27305946224386435</v>
      </c>
      <c r="M63" s="13"/>
      <c r="N63" s="13"/>
      <c r="O63" s="13"/>
    </row>
    <row r="64" spans="1:19" x14ac:dyDescent="0.25">
      <c r="A64" s="64"/>
      <c r="B64" s="93" t="str">
        <f t="shared" si="3"/>
        <v>Essential</v>
      </c>
      <c r="C64" s="3" t="s">
        <v>210</v>
      </c>
      <c r="D64" s="131">
        <f t="array" aca="1" ref="D64" ca="1">INDEX(INDIRECT("'"&amp;$B64&amp;"'!$F$23:$AJ$39"),MATCH($C64,INDIRECT("'"&amp;$B64&amp;"'!$F$23:$F$39"),0),MATCH($B$44&amp;$C$44&amp;D$44&amp;"Cost",INDIRECT("'"&amp;$B64&amp;"'!$F$23:$AJ$23")&amp;INDIRECT("'"&amp;$B64&amp;"'!$F$24:$AJ$24")&amp;INDIRECT("'"&amp;$B64&amp;"'!$F$25:$AJ$25")&amp;INDIRECT("'"&amp;$B64&amp;"'!$F$30:$AJ$30"),0))</f>
        <v>150.75223736654243</v>
      </c>
      <c r="E64" s="166"/>
      <c r="F64" s="166"/>
      <c r="G64" s="166"/>
      <c r="H64" s="166"/>
      <c r="I64" s="166">
        <f ca="1">ABS($J64-$D64)</f>
        <v>13.696595856312342</v>
      </c>
      <c r="J64" s="131">
        <f t="array" aca="1" ref="J64" ca="1">INDEX(INDIRECT("'"&amp;$B64&amp;"'!$F$23:$AJ$39"),MATCH($C64,INDIRECT("'"&amp;$B64&amp;"'!$F$23:$F$39"),0),MATCH($B$44&amp;$C$44&amp;J$44&amp;"Cost",INDIRECT("'"&amp;$B64&amp;"'!$F$23:$AJ$23")&amp;INDIRECT("'"&amp;$B64&amp;"'!$F$24:$AJ$24")&amp;INDIRECT("'"&amp;$B64&amp;"'!$F$25:$AJ$25")&amp;INDIRECT("'"&amp;$B64&amp;"'!$F$30:$AJ$30"),0))</f>
        <v>164.44883322285477</v>
      </c>
      <c r="K64" s="320">
        <f ca="1">J64-D64</f>
        <v>13.696595856312342</v>
      </c>
      <c r="L64" s="316">
        <f t="shared" ca="1" si="0"/>
        <v>9.0855008824911349E-2</v>
      </c>
      <c r="M64" s="13"/>
      <c r="N64" s="13"/>
      <c r="O64" s="199"/>
      <c r="R64" s="199"/>
    </row>
    <row r="65" spans="1:18" x14ac:dyDescent="0.25">
      <c r="A65" s="64"/>
      <c r="B65" s="94" t="str">
        <f>B63</f>
        <v>Essential</v>
      </c>
      <c r="C65" s="95" t="s">
        <v>117</v>
      </c>
      <c r="D65" s="167">
        <f ca="1">ROUND(SUM(D59:D64),0)</f>
        <v>2513</v>
      </c>
      <c r="E65" s="167"/>
      <c r="F65" s="167"/>
      <c r="G65" s="167"/>
      <c r="H65" s="167"/>
      <c r="I65" s="167"/>
      <c r="J65" s="167">
        <f ca="1">ROUND(SUM(J59:J64),0)</f>
        <v>2741</v>
      </c>
      <c r="K65" s="321">
        <f ca="1">+J65-D65</f>
        <v>228</v>
      </c>
      <c r="L65" s="316">
        <f t="shared" ca="1" si="0"/>
        <v>9.0728213290887386E-2</v>
      </c>
      <c r="M65" s="13"/>
      <c r="N65" s="13"/>
      <c r="O65" s="199"/>
      <c r="P65" s="124"/>
    </row>
    <row r="66" spans="1:18" x14ac:dyDescent="0.25">
      <c r="A66" s="64" t="str">
        <f>B66&amp;" "&amp;$B$44&amp;" "&amp;$C$44&amp;" $"</f>
        <v>Energex Residential without CL $</v>
      </c>
      <c r="B66" s="91" t="s">
        <v>0</v>
      </c>
      <c r="C66" s="92" t="s">
        <v>156</v>
      </c>
      <c r="D66" s="165">
        <v>0</v>
      </c>
      <c r="E66" s="165">
        <f ca="1">IF($K67&lt;0,SUM(D66:D71)+$K67,SUM(D66:D71))</f>
        <v>2065.6022302176293</v>
      </c>
      <c r="F66" s="165">
        <f ca="1">IF($K68&lt;0,IF($K67&lt;0,E66+$K68,E66+$K67+$K68),IF($K67&lt;0,E66,E66+$K67))</f>
        <v>2075.4890735632403</v>
      </c>
      <c r="G66" s="165">
        <f ca="1">IF($K69&lt;0,IF($K68&lt;0,F66+$K69,F66+$K68+$K69),IF($K68&lt;0,F66,F66+$K68))</f>
        <v>2052.1524919029393</v>
      </c>
      <c r="H66" s="165">
        <f ca="1">IF($K70&lt;0,IF($K69&lt;0,G66+$K70,G66+$K69+$K70),IF($K69&lt;0,G66,G66+$K69))</f>
        <v>2052.1524919029393</v>
      </c>
      <c r="I66" s="165">
        <f ca="1">IF($K71&lt;0,IF($K70&lt;0,H66+$K71,H66+$K70+$K71),IF($K70&lt;0,H66,H66+$K70))</f>
        <v>2137.9011581753516</v>
      </c>
      <c r="J66" s="165">
        <v>0</v>
      </c>
      <c r="K66" s="322"/>
      <c r="L66" s="317"/>
      <c r="M66" s="13"/>
    </row>
    <row r="67" spans="1:18" x14ac:dyDescent="0.25">
      <c r="A67" s="64"/>
      <c r="B67" s="93" t="str">
        <f>B66</f>
        <v>Energex</v>
      </c>
      <c r="C67" s="3" t="s">
        <v>62</v>
      </c>
      <c r="D67" s="131">
        <f t="array" aca="1" ref="D67" ca="1">INDEX(INDIRECT("'"&amp;$B67&amp;"'!$F$23:$AJ$39"),MATCH($C67,INDIRECT("'"&amp;$B67&amp;"'!$F$23:$F$39"),0),MATCH($B$44&amp;$C$44&amp;D$44&amp;"Cost",INDIRECT("'"&amp;$B67&amp;"'!$F$23:$AJ$23")&amp;INDIRECT("'"&amp;$B67&amp;"'!$F$24:$AJ$24")&amp;INDIRECT("'"&amp;$B67&amp;"'!$F$25:$AJ$25")&amp;INDIRECT("'"&amp;$B67&amp;"'!$F$30:$AJ$30"),0))</f>
        <v>767.70429999999988</v>
      </c>
      <c r="E67" s="166">
        <f ca="1">ABS($J67-$D67)</f>
        <v>10.745137006268465</v>
      </c>
      <c r="F67" s="166"/>
      <c r="G67" s="166"/>
      <c r="H67" s="166"/>
      <c r="I67" s="166"/>
      <c r="J67" s="131">
        <f t="array" aca="1" ref="J67" ca="1">INDEX(INDIRECT("'"&amp;$B67&amp;"'!$F$23:$AJ$39"),MATCH($C67,INDIRECT("'"&amp;$B67&amp;"'!$F$23:$F$39"),0),MATCH($B$44&amp;$C$44&amp;J$44&amp;"Cost",INDIRECT("'"&amp;$B67&amp;"'!$F$23:$AJ$23")&amp;INDIRECT("'"&amp;$B67&amp;"'!$F$24:$AJ$24")&amp;INDIRECT("'"&amp;$B67&amp;"'!$F$25:$AJ$25")&amp;INDIRECT("'"&amp;$B67&amp;"'!$F$30:$AJ$30"),0))</f>
        <v>778.44943700626834</v>
      </c>
      <c r="K67" s="320">
        <f ca="1">J67-D67</f>
        <v>10.745137006268465</v>
      </c>
      <c r="L67" s="316">
        <f t="shared" ca="1" si="0"/>
        <v>1.3996452809067849E-2</v>
      </c>
      <c r="M67" s="13"/>
      <c r="N67" s="199"/>
      <c r="O67" s="13"/>
    </row>
    <row r="68" spans="1:18" x14ac:dyDescent="0.25">
      <c r="A68" s="64"/>
      <c r="B68" s="93" t="str">
        <f>B67</f>
        <v>Energex</v>
      </c>
      <c r="C68" s="3" t="s">
        <v>63</v>
      </c>
      <c r="D68" s="131">
        <f t="array" aca="1" ref="D68" ca="1">INDEX(INDIRECT("'"&amp;$B68&amp;"'!$F$23:$AJ$39"),MATCH($C68,INDIRECT("'"&amp;$B68&amp;"'!$F$23:$F$39"),0),MATCH($B$44&amp;$C$44&amp;D$44&amp;"Cost",INDIRECT("'"&amp;$B68&amp;"'!$F$23:$AJ$23")&amp;INDIRECT("'"&amp;$B68&amp;"'!$F$24:$AJ$24")&amp;INDIRECT("'"&amp;$B68&amp;"'!$F$25:$AJ$25")&amp;INDIRECT("'"&amp;$B68&amp;"'!$F$30:$AJ$30"),0))</f>
        <v>847.86525182857145</v>
      </c>
      <c r="E68" s="166"/>
      <c r="F68" s="166">
        <f ca="1">ABS($J68-$D68)</f>
        <v>0.85829366065775048</v>
      </c>
      <c r="G68" s="166"/>
      <c r="H68" s="166"/>
      <c r="I68" s="166"/>
      <c r="J68" s="131">
        <f t="array" aca="1" ref="J68" ca="1">INDEX(INDIRECT("'"&amp;$B68&amp;"'!$F$23:$AJ$39"),MATCH($C68,INDIRECT("'"&amp;$B68&amp;"'!$F$23:$F$39"),0),MATCH($B$44&amp;$C$44&amp;J$44&amp;"Cost",INDIRECT("'"&amp;$B68&amp;"'!$F$23:$AJ$23")&amp;INDIRECT("'"&amp;$B68&amp;"'!$F$24:$AJ$24")&amp;INDIRECT("'"&amp;$B68&amp;"'!$F$25:$AJ$25")&amp;INDIRECT("'"&amp;$B68&amp;"'!$F$30:$AJ$30"),0))</f>
        <v>847.00695816791369</v>
      </c>
      <c r="K68" s="320">
        <f ca="1">J68-D68</f>
        <v>-0.85829366065775048</v>
      </c>
      <c r="L68" s="316">
        <f t="shared" ca="1" si="0"/>
        <v>-1.0122996063427394E-3</v>
      </c>
      <c r="M68" s="13"/>
      <c r="N68" s="199"/>
      <c r="O68" s="199"/>
    </row>
    <row r="69" spans="1:18" x14ac:dyDescent="0.25">
      <c r="A69" s="64"/>
      <c r="B69" s="93" t="str">
        <f>B68</f>
        <v>Energex</v>
      </c>
      <c r="C69" s="3" t="s">
        <v>64</v>
      </c>
      <c r="D69" s="131">
        <f t="array" aca="1" ref="D69" ca="1">INDEX(INDIRECT("'"&amp;$B69&amp;"'!$F$23:$AJ$39"),MATCH($C69,INDIRECT("'"&amp;$B69&amp;"'!$F$23:$F$39"),0),MATCH($B$44&amp;$C$44&amp;D$44&amp;"Cost",INDIRECT("'"&amp;$B69&amp;"'!$F$23:$AJ$23")&amp;INDIRECT("'"&amp;$B69&amp;"'!$F$24:$AJ$24")&amp;INDIRECT("'"&amp;$B69&amp;"'!$F$25:$AJ$25")&amp;INDIRECT("'"&amp;$B69&amp;"'!$F$30:$AJ$30"),0))</f>
        <v>83.641799999999989</v>
      </c>
      <c r="E69" s="166"/>
      <c r="F69" s="166"/>
      <c r="G69" s="166">
        <f ca="1">ABS($J69-$D69)</f>
        <v>23.336581660300773</v>
      </c>
      <c r="H69" s="166"/>
      <c r="I69" s="166"/>
      <c r="J69" s="131">
        <f t="array" aca="1" ref="J69" ca="1">INDEX(INDIRECT("'"&amp;$B69&amp;"'!$F$23:$AJ$39"),MATCH($C69,INDIRECT("'"&amp;$B69&amp;"'!$F$23:$F$39"),0),MATCH($B$44&amp;$C$44&amp;J$44&amp;"Cost",INDIRECT("'"&amp;$B69&amp;"'!$F$23:$AJ$23")&amp;INDIRECT("'"&amp;$B69&amp;"'!$F$24:$AJ$24")&amp;INDIRECT("'"&amp;$B69&amp;"'!$F$25:$AJ$25")&amp;INDIRECT("'"&amp;$B69&amp;"'!$F$30:$AJ$30"),0))</f>
        <v>60.305218339699216</v>
      </c>
      <c r="K69" s="320">
        <f ca="1">J69-D69</f>
        <v>-23.336581660300773</v>
      </c>
      <c r="L69" s="316">
        <f t="shared" ca="1" si="0"/>
        <v>-0.2790062105346941</v>
      </c>
      <c r="M69" s="13"/>
      <c r="N69" s="13"/>
      <c r="O69" s="13"/>
    </row>
    <row r="70" spans="1:18" x14ac:dyDescent="0.25">
      <c r="A70" s="64"/>
      <c r="B70" s="93" t="str">
        <f t="shared" ref="B70:B71" si="4">B69</f>
        <v>Energex</v>
      </c>
      <c r="C70" s="3" t="s">
        <v>168</v>
      </c>
      <c r="D70" s="131">
        <f t="array" aca="1" ref="D70" ca="1">INDEX(INDIRECT("'"&amp;$B70&amp;"'!$F$23:$AJ$39"),MATCH($C70,INDIRECT("'"&amp;$B70&amp;"'!$F$23:$F$39"),0),MATCH($B$44&amp;$C$44&amp;D$44&amp;"Cost",INDIRECT("'"&amp;$B70&amp;"'!$F$23:$AJ$23")&amp;INDIRECT("'"&amp;$B70&amp;"'!$F$24:$AJ$24")&amp;INDIRECT("'"&amp;$B70&amp;"'!$F$25:$AJ$25")&amp;INDIRECT("'"&amp;$B70&amp;"'!$F$30:$AJ$30"),0))</f>
        <v>242.45474457600002</v>
      </c>
      <c r="E70" s="166"/>
      <c r="F70" s="166"/>
      <c r="G70" s="166"/>
      <c r="H70" s="166">
        <f ca="1">ABS($J70-$D70)</f>
        <v>85.748666272412351</v>
      </c>
      <c r="I70" s="166"/>
      <c r="J70" s="131">
        <f t="array" aca="1" ref="J70" ca="1">INDEX(INDIRECT("'"&amp;$B70&amp;"'!$F$23:$AJ$39"),MATCH($C70,INDIRECT("'"&amp;$B70&amp;"'!$F$23:$F$39"),0),MATCH($B$44&amp;$C$44&amp;J$44&amp;"Cost",INDIRECT("'"&amp;$B70&amp;"'!$F$23:$AJ$23")&amp;INDIRECT("'"&amp;$B70&amp;"'!$F$24:$AJ$24")&amp;INDIRECT("'"&amp;$B70&amp;"'!$F$25:$AJ$25")&amp;INDIRECT("'"&amp;$B70&amp;"'!$F$30:$AJ$30"),0))</f>
        <v>328.20341084841237</v>
      </c>
      <c r="K70" s="320">
        <f ca="1">J70-D70</f>
        <v>85.748666272412351</v>
      </c>
      <c r="L70" s="316">
        <f t="shared" ca="1" si="0"/>
        <v>0.35366874928501768</v>
      </c>
      <c r="M70" s="13"/>
      <c r="N70" s="13"/>
      <c r="O70" s="13"/>
    </row>
    <row r="71" spans="1:18" x14ac:dyDescent="0.25">
      <c r="A71" s="64"/>
      <c r="B71" s="93" t="str">
        <f t="shared" si="4"/>
        <v>Energex</v>
      </c>
      <c r="C71" s="3" t="s">
        <v>210</v>
      </c>
      <c r="D71" s="131">
        <f t="array" aca="1" ref="D71" ca="1">INDEX(INDIRECT("'"&amp;$B71&amp;"'!$F$23:$AJ$39"),MATCH($C71,INDIRECT("'"&amp;$B71&amp;"'!$F$23:$F$39"),0),MATCH($B$44&amp;$C$44&amp;D$44&amp;"Cost",INDIRECT("'"&amp;$B71&amp;"'!$F$23:$AJ$23")&amp;INDIRECT("'"&amp;$B71&amp;"'!$F$24:$AJ$24")&amp;INDIRECT("'"&amp;$B71&amp;"'!$F$25:$AJ$25")&amp;INDIRECT("'"&amp;$B71&amp;"'!$F$30:$AJ$30"),0))</f>
        <v>123.93613381305795</v>
      </c>
      <c r="E71" s="166"/>
      <c r="F71" s="166"/>
      <c r="G71" s="166"/>
      <c r="H71" s="166"/>
      <c r="I71" s="166">
        <f ca="1">ABS($J71-$D71)</f>
        <v>4.6148251887907463</v>
      </c>
      <c r="J71" s="131">
        <f t="array" aca="1" ref="J71" ca="1">INDEX(INDIRECT("'"&amp;$B71&amp;"'!$F$23:$AJ$39"),MATCH($C71,INDIRECT("'"&amp;$B71&amp;"'!$F$23:$F$39"),0),MATCH($B$44&amp;$C$44&amp;J$44&amp;"Cost",INDIRECT("'"&amp;$B71&amp;"'!$F$23:$AJ$23")&amp;INDIRECT("'"&amp;$B71&amp;"'!$F$24:$AJ$24")&amp;INDIRECT("'"&amp;$B71&amp;"'!$F$25:$AJ$25")&amp;INDIRECT("'"&amp;$B71&amp;"'!$F$30:$AJ$30"),0))</f>
        <v>128.5509590018487</v>
      </c>
      <c r="K71" s="320">
        <f ca="1">J71-D71</f>
        <v>4.6148251887907463</v>
      </c>
      <c r="L71" s="316">
        <f t="shared" ca="1" si="0"/>
        <v>3.7235510313333067E-2</v>
      </c>
      <c r="M71" s="13"/>
      <c r="N71" s="13"/>
      <c r="O71" s="199"/>
      <c r="R71" s="199"/>
    </row>
    <row r="72" spans="1:18" x14ac:dyDescent="0.25">
      <c r="A72" s="64"/>
      <c r="B72" s="94" t="str">
        <f>B70</f>
        <v>Energex</v>
      </c>
      <c r="C72" s="95" t="s">
        <v>117</v>
      </c>
      <c r="D72" s="167">
        <f ca="1">ROUND(SUM(D66:D71),0)</f>
        <v>2066</v>
      </c>
      <c r="E72" s="167"/>
      <c r="F72" s="167"/>
      <c r="G72" s="167"/>
      <c r="H72" s="167"/>
      <c r="I72" s="167"/>
      <c r="J72" s="167">
        <f ca="1">ROUND(SUM(J66:J71),0)</f>
        <v>2143</v>
      </c>
      <c r="K72" s="321">
        <f ca="1">+J72-D72</f>
        <v>77</v>
      </c>
      <c r="L72" s="316">
        <f t="shared" ca="1" si="0"/>
        <v>3.7270087124878996E-2</v>
      </c>
      <c r="M72" s="13"/>
      <c r="N72" s="13"/>
      <c r="O72" s="199"/>
      <c r="P72" s="124"/>
    </row>
    <row r="73" spans="1:18" x14ac:dyDescent="0.25">
      <c r="A73" s="64" t="str">
        <f>B73&amp;" "&amp;$B$44&amp;" "&amp;$C$44&amp;" $"</f>
        <v>SAPN Residential without CL $</v>
      </c>
      <c r="B73" s="91" t="s">
        <v>5</v>
      </c>
      <c r="C73" s="92" t="s">
        <v>156</v>
      </c>
      <c r="D73" s="165">
        <v>0</v>
      </c>
      <c r="E73" s="165">
        <f ca="1">IF($K74&lt;0,SUM(D73:D78)+$K74,SUM(D73:D78))</f>
        <v>2204.6767336455869</v>
      </c>
      <c r="F73" s="165">
        <f ca="1">IF($K75&lt;0,IF($K74&lt;0,E73+$K75,E73+$K74+$K75),IF($K74&lt;0,E73,E73+$K74))</f>
        <v>2204.6767336455869</v>
      </c>
      <c r="G73" s="165">
        <f ca="1">IF($K76&lt;0,IF($K75&lt;0,F73+$K76,F73+$K75+$K76),IF($K75&lt;0,F73,F73+$K75))</f>
        <v>2232.4444357744374</v>
      </c>
      <c r="H73" s="165">
        <f ca="1">IF($K77&lt;0,IF($K76&lt;0,G73+$K77,G73+$K76+$K77),IF($K76&lt;0,G73,G73+$K76))</f>
        <v>2232.4444357744374</v>
      </c>
      <c r="I73" s="165">
        <f ca="1">IF($K78&lt;0,IF($K77&lt;0,H73+$K78,H73+$K77+$K78),IF($K77&lt;0,H73,H73+$K77))</f>
        <v>2296.313202812054</v>
      </c>
      <c r="J73" s="165">
        <v>0</v>
      </c>
      <c r="K73" s="322"/>
      <c r="L73" s="317"/>
      <c r="M73" s="13"/>
    </row>
    <row r="74" spans="1:18" x14ac:dyDescent="0.25">
      <c r="A74" s="64"/>
      <c r="B74" s="93" t="str">
        <f>B73</f>
        <v>SAPN</v>
      </c>
      <c r="C74" s="3" t="s">
        <v>62</v>
      </c>
      <c r="D74" s="131">
        <f t="array" aca="1" ref="D74" ca="1">INDEX(INDIRECT("'"&amp;$B74&amp;"'!$F$23:$AJ$39"),MATCH($C74,INDIRECT("'"&amp;$B74&amp;"'!$F$23:$F$39"),0),MATCH($B$44&amp;$C$44&amp;D$44&amp;"Cost",INDIRECT("'"&amp;$B74&amp;"'!$F$23:$AJ$23")&amp;INDIRECT("'"&amp;$B74&amp;"'!$F$24:$AJ$24")&amp;INDIRECT("'"&amp;$B74&amp;"'!$F$25:$AJ$25")&amp;INDIRECT("'"&amp;$B74&amp;"'!$F$30:$AJ$30"),0))</f>
        <v>922.34395000000006</v>
      </c>
      <c r="E74" s="166">
        <f ca="1">ABS($J74-$D74)</f>
        <v>25.352556001829498</v>
      </c>
      <c r="F74" s="166"/>
      <c r="G74" s="166"/>
      <c r="H74" s="166"/>
      <c r="I74" s="166"/>
      <c r="J74" s="131">
        <f t="array" aca="1" ref="J74" ca="1">INDEX(INDIRECT("'"&amp;$B74&amp;"'!$F$23:$AJ$39"),MATCH($C74,INDIRECT("'"&amp;$B74&amp;"'!$F$23:$F$39"),0),MATCH($B$44&amp;$C$44&amp;J$44&amp;"Cost",INDIRECT("'"&amp;$B74&amp;"'!$F$23:$AJ$23")&amp;INDIRECT("'"&amp;$B74&amp;"'!$F$24:$AJ$24")&amp;INDIRECT("'"&amp;$B74&amp;"'!$F$25:$AJ$25")&amp;INDIRECT("'"&amp;$B74&amp;"'!$F$30:$AJ$30"),0))</f>
        <v>896.99139399817057</v>
      </c>
      <c r="K74" s="320">
        <f ca="1">J74-D74</f>
        <v>-25.352556001829498</v>
      </c>
      <c r="L74" s="316">
        <f t="shared" ca="1" si="0"/>
        <v>-2.7487095244490407E-2</v>
      </c>
      <c r="M74" s="13"/>
      <c r="N74" s="199"/>
      <c r="O74" s="13"/>
    </row>
    <row r="75" spans="1:18" x14ac:dyDescent="0.25">
      <c r="A75" s="64"/>
      <c r="B75" s="93" t="str">
        <f>B74</f>
        <v>SAPN</v>
      </c>
      <c r="C75" s="3" t="s">
        <v>63</v>
      </c>
      <c r="D75" s="131">
        <f t="array" aca="1" ref="D75" ca="1">INDEX(INDIRECT("'"&amp;$B75&amp;"'!$F$23:$AJ$39"),MATCH($C75,INDIRECT("'"&amp;$B75&amp;"'!$F$23:$F$39"),0),MATCH($B$44&amp;$C$44&amp;D$44&amp;"Cost",INDIRECT("'"&amp;$B75&amp;"'!$F$23:$AJ$23")&amp;INDIRECT("'"&amp;$B75&amp;"'!$F$24:$AJ$24")&amp;INDIRECT("'"&amp;$B75&amp;"'!$F$25:$AJ$25")&amp;INDIRECT("'"&amp;$B75&amp;"'!$F$30:$AJ$30"),0))</f>
        <v>805.77435242857121</v>
      </c>
      <c r="E75" s="166"/>
      <c r="F75" s="166">
        <f ca="1">ABS($J75-$D75)</f>
        <v>53.024926424280579</v>
      </c>
      <c r="G75" s="166"/>
      <c r="H75" s="166"/>
      <c r="I75" s="166"/>
      <c r="J75" s="131">
        <f t="array" aca="1" ref="J75" ca="1">INDEX(INDIRECT("'"&amp;$B75&amp;"'!$F$23:$AJ$39"),MATCH($C75,INDIRECT("'"&amp;$B75&amp;"'!$F$23:$F$39"),0),MATCH($B$44&amp;$C$44&amp;J$44&amp;"Cost",INDIRECT("'"&amp;$B75&amp;"'!$F$23:$AJ$23")&amp;INDIRECT("'"&amp;$B75&amp;"'!$F$24:$AJ$24")&amp;INDIRECT("'"&amp;$B75&amp;"'!$F$25:$AJ$25")&amp;INDIRECT("'"&amp;$B75&amp;"'!$F$30:$AJ$30"),0))</f>
        <v>858.79927885285178</v>
      </c>
      <c r="K75" s="320">
        <f ca="1">J75-D75</f>
        <v>53.024926424280579</v>
      </c>
      <c r="L75" s="316">
        <f t="shared" ca="1" si="0"/>
        <v>6.5806172986848738E-2</v>
      </c>
      <c r="M75" s="13"/>
      <c r="N75" s="199"/>
      <c r="O75" s="199"/>
    </row>
    <row r="76" spans="1:18" x14ac:dyDescent="0.25">
      <c r="A76" s="64"/>
      <c r="B76" s="93" t="str">
        <f>B75</f>
        <v>SAPN</v>
      </c>
      <c r="C76" s="3" t="s">
        <v>64</v>
      </c>
      <c r="D76" s="131">
        <f t="array" aca="1" ref="D76" ca="1">INDEX(INDIRECT("'"&amp;$B76&amp;"'!$F$23:$AJ$39"),MATCH($C76,INDIRECT("'"&amp;$B76&amp;"'!$F$23:$F$39"),0),MATCH($B$44&amp;$C$44&amp;D$44&amp;"Cost",INDIRECT("'"&amp;$B76&amp;"'!$F$23:$AJ$23")&amp;INDIRECT("'"&amp;$B76&amp;"'!$F$24:$AJ$24")&amp;INDIRECT("'"&amp;$B76&amp;"'!$F$25:$AJ$25")&amp;INDIRECT("'"&amp;$B76&amp;"'!$F$30:$AJ$30"),0))</f>
        <v>97.504000000000005</v>
      </c>
      <c r="E76" s="166"/>
      <c r="F76" s="166"/>
      <c r="G76" s="166">
        <f ca="1">ABS($J76-$D76)</f>
        <v>25.257224295430106</v>
      </c>
      <c r="H76" s="166"/>
      <c r="I76" s="166"/>
      <c r="J76" s="131">
        <f t="array" aca="1" ref="J76" ca="1">INDEX(INDIRECT("'"&amp;$B76&amp;"'!$F$23:$AJ$39"),MATCH($C76,INDIRECT("'"&amp;$B76&amp;"'!$F$23:$F$39"),0),MATCH($B$44&amp;$C$44&amp;J$44&amp;"Cost",INDIRECT("'"&amp;$B76&amp;"'!$F$23:$AJ$23")&amp;INDIRECT("'"&amp;$B76&amp;"'!$F$24:$AJ$24")&amp;INDIRECT("'"&amp;$B76&amp;"'!$F$25:$AJ$25")&amp;INDIRECT("'"&amp;$B76&amp;"'!$F$30:$AJ$30"),0))</f>
        <v>72.246775704569899</v>
      </c>
      <c r="K76" s="320">
        <f ca="1">J76-D76</f>
        <v>-25.257224295430106</v>
      </c>
      <c r="L76" s="316">
        <f t="shared" ca="1" si="0"/>
        <v>-0.25903782711919621</v>
      </c>
      <c r="M76" s="13"/>
      <c r="N76" s="13"/>
      <c r="O76" s="13"/>
    </row>
    <row r="77" spans="1:18" x14ac:dyDescent="0.25">
      <c r="A77" s="64"/>
      <c r="B77" s="93" t="str">
        <f t="shared" ref="B77:B78" si="5">B76</f>
        <v>SAPN</v>
      </c>
      <c r="C77" s="3" t="s">
        <v>168</v>
      </c>
      <c r="D77" s="131">
        <f t="array" aca="1" ref="D77" ca="1">INDEX(INDIRECT("'"&amp;$B77&amp;"'!$F$23:$AJ$39"),MATCH($C77,INDIRECT("'"&amp;$B77&amp;"'!$F$23:$F$39"),0),MATCH($B$44&amp;$C$44&amp;D$44&amp;"Cost",INDIRECT("'"&amp;$B77&amp;"'!$F$23:$AJ$23")&amp;INDIRECT("'"&amp;$B77&amp;"'!$F$24:$AJ$24")&amp;INDIRECT("'"&amp;$B77&amp;"'!$F$25:$AJ$25")&amp;INDIRECT("'"&amp;$B77&amp;"'!$F$30:$AJ$30"),0))</f>
        <v>270.60522984000005</v>
      </c>
      <c r="E77" s="166"/>
      <c r="F77" s="166"/>
      <c r="G77" s="166"/>
      <c r="H77" s="166">
        <f ca="1">ABS($J77-$D77)</f>
        <v>63.868767037616749</v>
      </c>
      <c r="I77" s="166"/>
      <c r="J77" s="131">
        <f t="array" aca="1" ref="J77" ca="1">INDEX(INDIRECT("'"&amp;$B77&amp;"'!$F$23:$AJ$39"),MATCH($C77,INDIRECT("'"&amp;$B77&amp;"'!$F$23:$F$39"),0),MATCH($B$44&amp;$C$44&amp;J$44&amp;"Cost",INDIRECT("'"&amp;$B77&amp;"'!$F$23:$AJ$23")&amp;INDIRECT("'"&amp;$B77&amp;"'!$F$24:$AJ$24")&amp;INDIRECT("'"&amp;$B77&amp;"'!$F$25:$AJ$25")&amp;INDIRECT("'"&amp;$B77&amp;"'!$F$30:$AJ$30"),0))</f>
        <v>334.4739968776168</v>
      </c>
      <c r="K77" s="320">
        <f ca="1">J77-D77</f>
        <v>63.868767037616749</v>
      </c>
      <c r="L77" s="316">
        <f t="shared" ca="1" si="0"/>
        <v>0.23602192417116344</v>
      </c>
      <c r="M77" s="13"/>
      <c r="N77" s="13"/>
      <c r="O77" s="13"/>
    </row>
    <row r="78" spans="1:18" x14ac:dyDescent="0.25">
      <c r="A78" s="64"/>
      <c r="B78" s="93" t="str">
        <f t="shared" si="5"/>
        <v>SAPN</v>
      </c>
      <c r="C78" s="3" t="s">
        <v>210</v>
      </c>
      <c r="D78" s="131">
        <f t="array" aca="1" ref="D78" ca="1">INDEX(INDIRECT("'"&amp;$B78&amp;"'!$F$23:$AJ$39"),MATCH($C78,INDIRECT("'"&amp;$B78&amp;"'!$F$23:$F$39"),0),MATCH($B$44&amp;$C$44&amp;D$44&amp;"Cost",INDIRECT("'"&amp;$B78&amp;"'!$F$23:$AJ$23")&amp;INDIRECT("'"&amp;$B78&amp;"'!$F$24:$AJ$24")&amp;INDIRECT("'"&amp;$B78&amp;"'!$F$25:$AJ$25")&amp;INDIRECT("'"&amp;$B78&amp;"'!$F$30:$AJ$30"),0))</f>
        <v>133.8017573788452</v>
      </c>
      <c r="E78" s="166"/>
      <c r="F78" s="166"/>
      <c r="G78" s="166"/>
      <c r="H78" s="166"/>
      <c r="I78" s="166">
        <f ca="1">ABS($J78-$D78)</f>
        <v>4.2308880743385089</v>
      </c>
      <c r="J78" s="131">
        <f t="array" aca="1" ref="J78" ca="1">INDEX(INDIRECT("'"&amp;$B78&amp;"'!$F$23:$AJ$39"),MATCH($C78,INDIRECT("'"&amp;$B78&amp;"'!$F$23:$F$39"),0),MATCH($B$44&amp;$C$44&amp;J$44&amp;"Cost",INDIRECT("'"&amp;$B78&amp;"'!$F$23:$AJ$23")&amp;INDIRECT("'"&amp;$B78&amp;"'!$F$24:$AJ$24")&amp;INDIRECT("'"&amp;$B78&amp;"'!$F$25:$AJ$25")&amp;INDIRECT("'"&amp;$B78&amp;"'!$F$30:$AJ$30"),0))</f>
        <v>138.0326454531837</v>
      </c>
      <c r="K78" s="320">
        <f ca="1">J78-D78</f>
        <v>4.2308880743385089</v>
      </c>
      <c r="L78" s="316">
        <f t="shared" ca="1" si="0"/>
        <v>3.1620571786357091E-2</v>
      </c>
      <c r="M78" s="13"/>
      <c r="N78" s="13"/>
      <c r="O78" s="199"/>
      <c r="R78" s="199"/>
    </row>
    <row r="79" spans="1:18" x14ac:dyDescent="0.25">
      <c r="A79" s="64"/>
      <c r="B79" s="94" t="str">
        <f>B77</f>
        <v>SAPN</v>
      </c>
      <c r="C79" s="95" t="s">
        <v>117</v>
      </c>
      <c r="D79" s="167">
        <f ca="1">ROUND(SUM(D73:D78),0)</f>
        <v>2230</v>
      </c>
      <c r="E79" s="167"/>
      <c r="F79" s="167"/>
      <c r="G79" s="167"/>
      <c r="H79" s="167"/>
      <c r="I79" s="167"/>
      <c r="J79" s="167">
        <f ca="1">ROUND(SUM(J73:J78),0)</f>
        <v>2301</v>
      </c>
      <c r="K79" s="321">
        <f ca="1">+J79-D79</f>
        <v>71</v>
      </c>
      <c r="L79" s="318">
        <f t="shared" ca="1" si="0"/>
        <v>3.1838565022421522E-2</v>
      </c>
      <c r="M79" s="103"/>
      <c r="N79" s="13"/>
      <c r="O79" s="199"/>
      <c r="P79" s="124"/>
    </row>
  </sheetData>
  <sheetProtection algorithmName="SHA-256" hashValue="HRAVOQbm0r6yAxN7MDOUgQwbKdAINuqzDRCpAvDMkYg=" saltValue="WEAn6qEYMC4MQYoIcb5nIA==" spinCount="100000" sheet="1" formatCells="0" formatColumns="0" formatRows="0" insertColumns="0" insertRows="0" insertHyperlinks="0" deleteColumns="0" deleteRows="0" sort="0" autoFilter="0" pivotTables="0"/>
  <mergeCells count="2">
    <mergeCell ref="A1:B1"/>
    <mergeCell ref="K44:L44"/>
  </mergeCells>
  <conditionalFormatting sqref="B45:L79">
    <cfRule type="expression" dxfId="351" priority="1">
      <formula>MOD(ROW(),2)=0</formula>
    </cfRule>
  </conditionalFormatting>
  <conditionalFormatting sqref="M79">
    <cfRule type="cellIs" dxfId="350" priority="14" operator="equal">
      <formula>FALSE</formula>
    </cfRule>
    <cfRule type="cellIs" dxfId="349" priority="15" operator="equal">
      <formula>TRUE</formula>
    </cfRule>
  </conditionalFormatting>
  <hyperlinks>
    <hyperlink ref="A1" location="Index!A1" display="&lt;&lt;Back to Index" xr:uid="{00000000-0004-0000-0700-000000000000}"/>
  </hyperlinks>
  <pageMargins left="0.7" right="0.7" top="0.75" bottom="0.75" header="0.3" footer="0.3"/>
  <pageSetup paperSize="9" orientation="portrait" r:id="rId1"/>
  <headerFooter>
    <oddHeader>&amp;C&amp;"Calibri"&amp;10&amp;KFF0000 OFFICIAL SENSITIVE&amp;1#_x000D_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D565F-99F7-424D-BA06-3B3A31201898}">
  <sheetPr>
    <tabColor rgb="FFC06C7C"/>
  </sheetPr>
  <dimension ref="A1:S81"/>
  <sheetViews>
    <sheetView zoomScaleNormal="100" workbookViewId="0">
      <selection sqref="A1:B1"/>
    </sheetView>
  </sheetViews>
  <sheetFormatPr defaultColWidth="8.85546875" defaultRowHeight="15" x14ac:dyDescent="0.25"/>
  <cols>
    <col min="1" max="1" width="3.140625" style="3" customWidth="1"/>
    <col min="2" max="2" width="10.140625" style="3" bestFit="1" customWidth="1"/>
    <col min="3" max="3" width="17.42578125" style="3" bestFit="1" customWidth="1"/>
    <col min="4" max="4" width="9.85546875" style="3" customWidth="1"/>
    <col min="5" max="5" width="14.140625" style="3" bestFit="1" customWidth="1"/>
    <col min="6" max="6" width="16" style="3" bestFit="1" customWidth="1"/>
    <col min="7" max="7" width="19.5703125" style="3" bestFit="1" customWidth="1"/>
    <col min="8" max="8" width="11.42578125" style="3" bestFit="1" customWidth="1"/>
    <col min="9" max="9" width="16.42578125" style="3" bestFit="1" customWidth="1"/>
    <col min="10" max="10" width="9" style="3" bestFit="1" customWidth="1"/>
    <col min="11" max="11" width="10.42578125" style="3" customWidth="1"/>
    <col min="12" max="24" width="10.85546875" style="3" customWidth="1"/>
    <col min="25" max="25" width="12" style="3" customWidth="1"/>
    <col min="26" max="16384" width="8.85546875" style="3"/>
  </cols>
  <sheetData>
    <row r="1" spans="1:2" ht="10.35" customHeight="1" x14ac:dyDescent="0.25">
      <c r="A1" s="430" t="s">
        <v>18</v>
      </c>
      <c r="B1" s="431"/>
    </row>
    <row r="2" spans="1:2" s="14" customFormat="1" ht="22.5" customHeight="1" x14ac:dyDescent="0.25">
      <c r="A2" s="15" t="s">
        <v>232</v>
      </c>
      <c r="B2" s="15"/>
    </row>
    <row r="3" spans="1:2" x14ac:dyDescent="0.25">
      <c r="B3" s="89" t="s">
        <v>129</v>
      </c>
    </row>
    <row r="41" spans="1:19" x14ac:dyDescent="0.25">
      <c r="B41" s="98"/>
    </row>
    <row r="44" spans="1:19" s="5" customFormat="1" x14ac:dyDescent="0.25">
      <c r="B44" s="96" t="s">
        <v>6</v>
      </c>
      <c r="C44" s="97" t="s">
        <v>128</v>
      </c>
      <c r="D44" s="164" t="str">
        <f>PY</f>
        <v>2024-25</v>
      </c>
      <c r="E44" s="164" t="s">
        <v>62</v>
      </c>
      <c r="F44" s="164" t="s">
        <v>63</v>
      </c>
      <c r="G44" s="164" t="s">
        <v>64</v>
      </c>
      <c r="H44" s="164" t="s">
        <v>168</v>
      </c>
      <c r="I44" s="164" t="s">
        <v>210</v>
      </c>
      <c r="J44" s="164" t="str">
        <f>FY</f>
        <v>2025-26</v>
      </c>
      <c r="K44" s="463" t="s">
        <v>20</v>
      </c>
      <c r="L44" s="464"/>
      <c r="M44" s="102"/>
    </row>
    <row r="45" spans="1:19" x14ac:dyDescent="0.25">
      <c r="A45" s="64" t="str">
        <f>B45&amp;" "&amp;$B$44&amp;" "&amp;$C$44&amp;" $"</f>
        <v>Ausgrid Residential with CL $</v>
      </c>
      <c r="B45" s="91" t="s">
        <v>2</v>
      </c>
      <c r="C45" s="92" t="s">
        <v>156</v>
      </c>
      <c r="D45" s="165">
        <v>0</v>
      </c>
      <c r="E45" s="165">
        <f ca="1">IF($K46&lt;0,SUM(D45:D50)+$K46,SUM(D45:D50))</f>
        <v>2509.3093435180558</v>
      </c>
      <c r="F45" s="165">
        <f ca="1">IF($K47&lt;0,IF($K46&lt;0,E45+$K47,E45+$K46+$K47),IF($K46&lt;0,E45,E45+$K46))</f>
        <v>2579.6823893044129</v>
      </c>
      <c r="G45" s="165">
        <f ca="1">IF($K48&lt;0,IF($K47&lt;0,F45+$K48,F45+$K47+$K48),IF($K47&lt;0,F45,F45+$K47))</f>
        <v>2640.1706823480881</v>
      </c>
      <c r="H45" s="165">
        <f ca="1">IF($K49&lt;0,IF($K48&lt;0,G45+$K49,G45+$K48+$K49),IF($K48&lt;0,G45,G45+$K48))</f>
        <v>2640.1706823480881</v>
      </c>
      <c r="I45" s="165">
        <f ca="1">IF($K50&lt;0,IF($K49&lt;0,H45+$K50,H45+$K49+$K50),IF($K49&lt;0,H45,H45+$K49))</f>
        <v>2704.5136767011195</v>
      </c>
      <c r="J45" s="165">
        <v>0</v>
      </c>
      <c r="K45" s="314"/>
      <c r="L45" s="315"/>
      <c r="M45" s="13"/>
      <c r="N45" s="13"/>
      <c r="O45" s="13"/>
      <c r="P45" s="13"/>
      <c r="Q45" s="13"/>
      <c r="R45" s="13"/>
      <c r="S45" s="13"/>
    </row>
    <row r="46" spans="1:19" x14ac:dyDescent="0.25">
      <c r="A46" s="64"/>
      <c r="B46" s="93" t="str">
        <f>B45</f>
        <v>Ausgrid</v>
      </c>
      <c r="C46" s="3" t="s">
        <v>62</v>
      </c>
      <c r="D46" s="131" cm="1">
        <f t="array" aca="1" ref="D46" ca="1">INDEX(INDIRECT("'"&amp;$B46&amp;"'!$F$23:$AJ$39"),MATCH($C46,INDIRECT("'"&amp;$B46&amp;"'!$F$23:$F$39"),0),MATCH($B$44&amp;$C$44&amp;D$44&amp;"Cost",INDIRECT("'"&amp;$B46&amp;"'!$F$23:$AJ$23")&amp;INDIRECT("'"&amp;$B46&amp;"'!$F$24:$AJ$24")&amp;INDIRECT("'"&amp;$B46&amp;"'!$F$25:$AJ$25")&amp;INDIRECT("'"&amp;$B46&amp;"'!$F$30:$AJ$30"),0))</f>
        <v>854.75665134240103</v>
      </c>
      <c r="E46" s="166">
        <f ca="1">ABS($J46-$D46)</f>
        <v>70.373045786357011</v>
      </c>
      <c r="F46" s="166"/>
      <c r="G46" s="166"/>
      <c r="H46" s="166"/>
      <c r="I46" s="166"/>
      <c r="J46" s="131">
        <f t="array" aca="1" ref="J46" ca="1">INDEX(INDIRECT("'"&amp;$B46&amp;"'!$F$23:$AJ$39"),MATCH($C46,INDIRECT("'"&amp;$B46&amp;"'!$F$23:$F$39"),0),MATCH($B$44&amp;$C$44&amp;J$44&amp;"Cost",INDIRECT("'"&amp;$B46&amp;"'!$F$23:$AJ$23")&amp;INDIRECT("'"&amp;$B46&amp;"'!$F$24:$AJ$24")&amp;INDIRECT("'"&amp;$B46&amp;"'!$F$25:$AJ$25")&amp;INDIRECT("'"&amp;$B46&amp;"'!$F$30:$AJ$30"),0))</f>
        <v>925.12969712875804</v>
      </c>
      <c r="K46" s="320">
        <f ca="1">J46-D46</f>
        <v>70.373045786357011</v>
      </c>
      <c r="L46" s="316">
        <f ca="1">+K46/D46</f>
        <v>8.2331088826083629E-2</v>
      </c>
      <c r="M46" s="13"/>
      <c r="N46" s="199"/>
      <c r="O46" s="13"/>
      <c r="P46" s="13"/>
      <c r="Q46" s="13"/>
      <c r="R46" s="13"/>
      <c r="S46" s="13"/>
    </row>
    <row r="47" spans="1:19" x14ac:dyDescent="0.25">
      <c r="A47" s="64"/>
      <c r="B47" s="93" t="str">
        <f>B46</f>
        <v>Ausgrid</v>
      </c>
      <c r="C47" s="3" t="s">
        <v>63</v>
      </c>
      <c r="D47" s="131" cm="1">
        <f t="array" aca="1" ref="D47" ca="1">INDEX(INDIRECT("'"&amp;$B47&amp;"'!$F$23:$AJ$39"),MATCH($C47,INDIRECT("'"&amp;$B47&amp;"'!$F$23:$F$39"),0),MATCH($B$44&amp;$C$44&amp;D$44&amp;"Cost",INDIRECT("'"&amp;$B47&amp;"'!$F$23:$AJ$23")&amp;INDIRECT("'"&amp;$B47&amp;"'!$F$24:$AJ$24")&amp;INDIRECT("'"&amp;$B47&amp;"'!$F$25:$AJ$25")&amp;INDIRECT("'"&amp;$B47&amp;"'!$F$30:$AJ$30"),0))</f>
        <v>1108.6752496285712</v>
      </c>
      <c r="E47" s="166"/>
      <c r="F47" s="166">
        <f ca="1">ABS($J47-$D47)</f>
        <v>88.495356822251551</v>
      </c>
      <c r="G47" s="166"/>
      <c r="H47" s="166"/>
      <c r="I47" s="166"/>
      <c r="J47" s="131">
        <f t="array" aca="1" ref="J47" ca="1">INDEX(INDIRECT("'"&amp;$B47&amp;"'!$F$23:$AJ$39"),MATCH($C47,INDIRECT("'"&amp;$B47&amp;"'!$F$23:$F$39"),0),MATCH($B$44&amp;$C$44&amp;J$44&amp;"Cost",INDIRECT("'"&amp;$B47&amp;"'!$F$23:$AJ$23")&amp;INDIRECT("'"&amp;$B47&amp;"'!$F$24:$AJ$24")&amp;INDIRECT("'"&amp;$B47&amp;"'!$F$25:$AJ$25")&amp;INDIRECT("'"&amp;$B47&amp;"'!$F$30:$AJ$30"),0))</f>
        <v>1197.1706064508228</v>
      </c>
      <c r="K47" s="320">
        <f ca="1">J47-D47</f>
        <v>88.495356822251551</v>
      </c>
      <c r="L47" s="316">
        <f t="shared" ref="L47:L79" ca="1" si="0">+K47/D47</f>
        <v>7.9820810333683642E-2</v>
      </c>
      <c r="M47" s="13"/>
      <c r="N47" s="199"/>
      <c r="O47" s="199"/>
      <c r="P47" s="13"/>
      <c r="Q47" s="13"/>
      <c r="R47" s="13"/>
      <c r="S47" s="13"/>
    </row>
    <row r="48" spans="1:19" x14ac:dyDescent="0.25">
      <c r="A48" s="64"/>
      <c r="B48" s="93" t="str">
        <f>B47</f>
        <v>Ausgrid</v>
      </c>
      <c r="C48" s="3" t="s">
        <v>64</v>
      </c>
      <c r="D48" s="131" cm="1">
        <f t="array" aca="1" ref="D48" ca="1">INDEX(INDIRECT("'"&amp;$B48&amp;"'!$F$23:$AJ$39"),MATCH($C48,INDIRECT("'"&amp;$B48&amp;"'!$F$23:$F$39"),0),MATCH($B$44&amp;$C$44&amp;D$44&amp;"Cost",INDIRECT("'"&amp;$B48&amp;"'!$F$23:$AJ$23")&amp;INDIRECT("'"&amp;$B48&amp;"'!$F$24:$AJ$24")&amp;INDIRECT("'"&amp;$B48&amp;"'!$F$25:$AJ$25")&amp;INDIRECT("'"&amp;$B48&amp;"'!$F$30:$AJ$30"),0))</f>
        <v>147.14919999999998</v>
      </c>
      <c r="E48" s="166"/>
      <c r="F48" s="166"/>
      <c r="G48" s="166">
        <f ca="1">ABS($J48-$D48)</f>
        <v>28.007063778576764</v>
      </c>
      <c r="H48" s="166"/>
      <c r="I48" s="166"/>
      <c r="J48" s="131">
        <f t="array" aca="1" ref="J48" ca="1">INDEX(INDIRECT("'"&amp;$B48&amp;"'!$F$23:$AJ$39"),MATCH($C48,INDIRECT("'"&amp;$B48&amp;"'!$F$23:$F$39"),0),MATCH($B$44&amp;$C$44&amp;J$44&amp;"Cost",INDIRECT("'"&amp;$B48&amp;"'!$F$23:$AJ$23")&amp;INDIRECT("'"&amp;$B48&amp;"'!$F$24:$AJ$24")&amp;INDIRECT("'"&amp;$B48&amp;"'!$F$25:$AJ$25")&amp;INDIRECT("'"&amp;$B48&amp;"'!$F$30:$AJ$30"),0))</f>
        <v>119.14213622142321</v>
      </c>
      <c r="K48" s="320">
        <f ca="1">J48-D48</f>
        <v>-28.007063778576764</v>
      </c>
      <c r="L48" s="316">
        <f t="shared" ca="1" si="0"/>
        <v>-0.19033106383573115</v>
      </c>
      <c r="M48" s="13"/>
      <c r="N48" s="13"/>
      <c r="O48" s="13"/>
      <c r="P48" s="13"/>
      <c r="Q48" s="13"/>
      <c r="R48" s="13"/>
      <c r="S48" s="13"/>
    </row>
    <row r="49" spans="1:19" x14ac:dyDescent="0.25">
      <c r="A49" s="64"/>
      <c r="B49" s="93" t="str">
        <f t="shared" ref="B49:B50" si="1">B48</f>
        <v>Ausgrid</v>
      </c>
      <c r="C49" s="3" t="s">
        <v>168</v>
      </c>
      <c r="D49" s="131">
        <f t="array" aca="1" ref="D49" ca="1">INDEX(INDIRECT("'"&amp;$B49&amp;"'!$F$23:$AJ$39"),MATCH($C49,INDIRECT("'"&amp;$B49&amp;"'!$F$23:$F$39"),0),MATCH($B$44&amp;$C$44&amp;D$44&amp;"Cost",INDIRECT("'"&amp;$B49&amp;"'!$F$23:$AJ$23")&amp;INDIRECT("'"&amp;$B49&amp;"'!$F$24:$AJ$24")&amp;INDIRECT("'"&amp;$B49&amp;"'!$F$25:$AJ$25")&amp;INDIRECT("'"&amp;$B49&amp;"'!$F$30:$AJ$30"),0))</f>
        <v>248.16968193600002</v>
      </c>
      <c r="E49" s="166"/>
      <c r="F49" s="166"/>
      <c r="G49" s="166"/>
      <c r="H49" s="166">
        <f ca="1">ABS($J49-$D49)</f>
        <v>64.342994353031258</v>
      </c>
      <c r="I49" s="166"/>
      <c r="J49" s="131">
        <f t="array" aca="1" ref="J49" ca="1">INDEX(INDIRECT("'"&amp;$B49&amp;"'!$F$23:$AJ$39"),MATCH($C49,INDIRECT("'"&amp;$B49&amp;"'!$F$23:$F$39"),0),MATCH($B$44&amp;$C$44&amp;J$44&amp;"Cost",INDIRECT("'"&amp;$B49&amp;"'!$F$23:$AJ$23")&amp;INDIRECT("'"&amp;$B49&amp;"'!$F$24:$AJ$24")&amp;INDIRECT("'"&amp;$B49&amp;"'!$F$25:$AJ$25")&amp;INDIRECT("'"&amp;$B49&amp;"'!$F$30:$AJ$30"),0))</f>
        <v>312.51267628903128</v>
      </c>
      <c r="K49" s="320">
        <f ca="1">J49-D49</f>
        <v>64.342994353031258</v>
      </c>
      <c r="L49" s="316">
        <f t="shared" ca="1" si="0"/>
        <v>0.2592701648770479</v>
      </c>
      <c r="M49" s="13"/>
      <c r="N49" s="13"/>
      <c r="O49" s="13"/>
      <c r="P49" s="13"/>
      <c r="Q49" s="13"/>
      <c r="R49" s="13"/>
      <c r="S49" s="13"/>
    </row>
    <row r="50" spans="1:19" x14ac:dyDescent="0.25">
      <c r="A50" s="64"/>
      <c r="B50" s="93" t="str">
        <f t="shared" si="1"/>
        <v>Ausgrid</v>
      </c>
      <c r="C50" s="3" t="s">
        <v>210</v>
      </c>
      <c r="D50" s="131">
        <f t="array" aca="1" ref="D50" ca="1">INDEX(INDIRECT("'"&amp;$B50&amp;"'!$F$23:$AJ$39"),MATCH($C50,INDIRECT("'"&amp;$B50&amp;"'!$F$23:$F$39"),0),MATCH($B$44&amp;$C$44&amp;D$44&amp;"Cost",INDIRECT("'"&amp;$B50&amp;"'!$F$23:$AJ$23")&amp;INDIRECT("'"&amp;$B50&amp;"'!$F$24:$AJ$24")&amp;INDIRECT("'"&amp;$B50&amp;"'!$F$25:$AJ$25")&amp;INDIRECT("'"&amp;$B50&amp;"'!$F$30:$AJ$30"),0))</f>
        <v>150.55856061108352</v>
      </c>
      <c r="E50" s="166"/>
      <c r="F50" s="166"/>
      <c r="G50" s="166"/>
      <c r="H50" s="166"/>
      <c r="I50" s="166">
        <f ca="1">ABS($J50-$D50)</f>
        <v>12.459851054238243</v>
      </c>
      <c r="J50" s="131">
        <f t="array" aca="1" ref="J50" ca="1">INDEX(INDIRECT("'"&amp;$B50&amp;"'!$F$23:$AJ$39"),MATCH($C50,INDIRECT("'"&amp;$B50&amp;"'!$F$23:$F$39"),0),MATCH($B$44&amp;$C$44&amp;J$44&amp;"Cost",INDIRECT("'"&amp;$B50&amp;"'!$F$23:$AJ$23")&amp;INDIRECT("'"&amp;$B50&amp;"'!$F$24:$AJ$24")&amp;INDIRECT("'"&amp;$B50&amp;"'!$F$25:$AJ$25")&amp;INDIRECT("'"&amp;$B50&amp;"'!$F$30:$AJ$30"),0))</f>
        <v>163.01841166532176</v>
      </c>
      <c r="K50" s="320">
        <f ca="1">J50-D50</f>
        <v>12.459851054238243</v>
      </c>
      <c r="L50" s="316">
        <f t="shared" ca="1" si="0"/>
        <v>8.2757506472342021E-2</v>
      </c>
      <c r="M50" s="13"/>
      <c r="N50" s="13"/>
      <c r="O50" s="199"/>
      <c r="P50" s="13"/>
      <c r="Q50" s="13"/>
      <c r="R50" s="13"/>
      <c r="S50" s="13"/>
    </row>
    <row r="51" spans="1:19" x14ac:dyDescent="0.25">
      <c r="A51" s="64"/>
      <c r="B51" s="94" t="str">
        <f>B49</f>
        <v>Ausgrid</v>
      </c>
      <c r="C51" s="95" t="s">
        <v>117</v>
      </c>
      <c r="D51" s="167">
        <f ca="1">ROUND(SUM(D45:D50),0)</f>
        <v>2509</v>
      </c>
      <c r="E51" s="167"/>
      <c r="F51" s="167"/>
      <c r="G51" s="167"/>
      <c r="H51" s="167"/>
      <c r="I51" s="167"/>
      <c r="J51" s="167">
        <f ca="1">ROUND(SUM(J45:J50),0)</f>
        <v>2717</v>
      </c>
      <c r="K51" s="321">
        <f ca="1">+J51-D51</f>
        <v>208</v>
      </c>
      <c r="L51" s="316">
        <f t="shared" ca="1" si="0"/>
        <v>8.2901554404145081E-2</v>
      </c>
      <c r="M51" s="13"/>
      <c r="N51" s="13"/>
      <c r="O51" s="199"/>
      <c r="P51" s="124"/>
      <c r="Q51" s="13"/>
      <c r="R51" s="13"/>
      <c r="S51" s="13"/>
    </row>
    <row r="52" spans="1:19" x14ac:dyDescent="0.25">
      <c r="A52" s="64" t="str">
        <f>B52&amp;" "&amp;$B$44&amp;" "&amp;$C$44&amp;" $"</f>
        <v>Endeavour Residential with CL $</v>
      </c>
      <c r="B52" s="91" t="s">
        <v>4</v>
      </c>
      <c r="C52" s="92" t="s">
        <v>156</v>
      </c>
      <c r="D52" s="165">
        <v>0</v>
      </c>
      <c r="E52" s="165">
        <f ca="1">IF($K53&lt;0,SUM(D52:D57)+$K53,SUM(D52:D57))</f>
        <v>2800.934566651672</v>
      </c>
      <c r="F52" s="165">
        <f ca="1">IF($K54&lt;0,IF($K53&lt;0,E52+$K54,E52+$K53+$K54),IF($K53&lt;0,E52,E52+$K53))</f>
        <v>2904.3441542516721</v>
      </c>
      <c r="G52" s="165">
        <f ca="1">IF($K55&lt;0,IF($K54&lt;0,F52+$K55,F52+$K54+$K55),IF($K54&lt;0,F52,F52+$K54))</f>
        <v>2980.5204508016423</v>
      </c>
      <c r="H52" s="165">
        <f ca="1">IF($K56&lt;0,IF($K55&lt;0,G52+$K56,G52+$K55+$K56),IF($K55&lt;0,G52,G52+$K55))</f>
        <v>2980.5204508016423</v>
      </c>
      <c r="I52" s="165">
        <f ca="1">IF($K57&lt;0,IF($K56&lt;0,H52+$K57,H52+$K56+$K57),IF($K56&lt;0,H52,H52+$K56))</f>
        <v>3055.8823381957454</v>
      </c>
      <c r="J52" s="165">
        <v>0</v>
      </c>
      <c r="K52" s="322"/>
      <c r="L52" s="317"/>
      <c r="M52" s="13"/>
    </row>
    <row r="53" spans="1:19" x14ac:dyDescent="0.25">
      <c r="A53" s="64"/>
      <c r="B53" s="93" t="str">
        <f>B52</f>
        <v>Endeavour</v>
      </c>
      <c r="C53" s="3" t="s">
        <v>62</v>
      </c>
      <c r="D53" s="131">
        <f t="array" aca="1" ref="D53" ca="1">INDEX(INDIRECT("'"&amp;$B53&amp;"'!$F$23:$AJ$39"),MATCH($C53,INDIRECT("'"&amp;$B53&amp;"'!$F$23:$F$39"),0),MATCH($B$44&amp;$C$44&amp;D$44&amp;"Cost",INDIRECT("'"&amp;$B53&amp;"'!$F$23:$AJ$23")&amp;INDIRECT("'"&amp;$B53&amp;"'!$F$24:$AJ$24")&amp;INDIRECT("'"&amp;$B53&amp;"'!$F$25:$AJ$25")&amp;INDIRECT("'"&amp;$B53&amp;"'!$F$30:$AJ$30"),0))</f>
        <v>934.1436698</v>
      </c>
      <c r="E53" s="166">
        <f ca="1">ABS($J53-$D53)</f>
        <v>103.4095875999999</v>
      </c>
      <c r="F53" s="166"/>
      <c r="G53" s="166"/>
      <c r="H53" s="166"/>
      <c r="I53" s="166"/>
      <c r="J53" s="131">
        <f t="array" aca="1" ref="J53" ca="1">INDEX(INDIRECT("'"&amp;$B53&amp;"'!$F$23:$AJ$39"),MATCH($C53,INDIRECT("'"&amp;$B53&amp;"'!$F$23:$F$39"),0),MATCH($B$44&amp;$C$44&amp;J$44&amp;"Cost",INDIRECT("'"&amp;$B53&amp;"'!$F$23:$AJ$23")&amp;INDIRECT("'"&amp;$B53&amp;"'!$F$24:$AJ$24")&amp;INDIRECT("'"&amp;$B53&amp;"'!$F$25:$AJ$25")&amp;INDIRECT("'"&amp;$B53&amp;"'!$F$30:$AJ$30"),0))</f>
        <v>1037.5532573999999</v>
      </c>
      <c r="K53" s="320">
        <f ca="1">J53-D53</f>
        <v>103.4095875999999</v>
      </c>
      <c r="L53" s="316">
        <f t="shared" ca="1" si="0"/>
        <v>0.11069987512963597</v>
      </c>
      <c r="M53" s="13"/>
      <c r="N53" s="199"/>
      <c r="O53" s="13"/>
    </row>
    <row r="54" spans="1:19" x14ac:dyDescent="0.25">
      <c r="A54" s="64"/>
      <c r="B54" s="93" t="str">
        <f>B53</f>
        <v>Endeavour</v>
      </c>
      <c r="C54" s="3" t="s">
        <v>63</v>
      </c>
      <c r="D54" s="131">
        <f t="array" aca="1" ref="D54" ca="1">INDEX(INDIRECT("'"&amp;$B54&amp;"'!$F$23:$AJ$39"),MATCH($C54,INDIRECT("'"&amp;$B54&amp;"'!$F$23:$F$39"),0),MATCH($B$44&amp;$C$44&amp;D$44&amp;"Cost",INDIRECT("'"&amp;$B54&amp;"'!$F$23:$AJ$23")&amp;INDIRECT("'"&amp;$B54&amp;"'!$F$24:$AJ$24")&amp;INDIRECT("'"&amp;$B54&amp;"'!$F$25:$AJ$25")&amp;INDIRECT("'"&amp;$B54&amp;"'!$F$30:$AJ$30"),0))</f>
        <v>1268.5376490285714</v>
      </c>
      <c r="E54" s="166"/>
      <c r="F54" s="166">
        <f ca="1">ABS($J54-$D54)</f>
        <v>105.42679755155473</v>
      </c>
      <c r="G54" s="166"/>
      <c r="H54" s="166"/>
      <c r="I54" s="166"/>
      <c r="J54" s="131">
        <f t="array" aca="1" ref="J54" ca="1">INDEX(INDIRECT("'"&amp;$B54&amp;"'!$F$23:$AJ$39"),MATCH($C54,INDIRECT("'"&amp;$B54&amp;"'!$F$23:$F$39"),0),MATCH($B$44&amp;$C$44&amp;J$44&amp;"Cost",INDIRECT("'"&amp;$B54&amp;"'!$F$23:$AJ$23")&amp;INDIRECT("'"&amp;$B54&amp;"'!$F$24:$AJ$24")&amp;INDIRECT("'"&amp;$B54&amp;"'!$F$25:$AJ$25")&amp;INDIRECT("'"&amp;$B54&amp;"'!$F$30:$AJ$30"),0))</f>
        <v>1373.9644465801262</v>
      </c>
      <c r="K54" s="320">
        <f ca="1">J54-D54</f>
        <v>105.42679755155473</v>
      </c>
      <c r="L54" s="316">
        <f t="shared" ca="1" si="0"/>
        <v>8.3108922807524951E-2</v>
      </c>
      <c r="M54" s="13"/>
      <c r="N54" s="199"/>
      <c r="O54" s="199"/>
    </row>
    <row r="55" spans="1:19" x14ac:dyDescent="0.25">
      <c r="A55" s="64"/>
      <c r="B55" s="93" t="str">
        <f>B54</f>
        <v>Endeavour</v>
      </c>
      <c r="C55" s="3" t="s">
        <v>64</v>
      </c>
      <c r="D55" s="131">
        <f t="array" aca="1" ref="D55" ca="1">INDEX(INDIRECT("'"&amp;$B55&amp;"'!$F$23:$AJ$39"),MATCH($C55,INDIRECT("'"&amp;$B55&amp;"'!$F$23:$F$39"),0),MATCH($B$44&amp;$C$44&amp;D$44&amp;"Cost",INDIRECT("'"&amp;$B55&amp;"'!$F$23:$AJ$23")&amp;INDIRECT("'"&amp;$B55&amp;"'!$F$24:$AJ$24")&amp;INDIRECT("'"&amp;$B55&amp;"'!$F$25:$AJ$25")&amp;INDIRECT("'"&amp;$B55&amp;"'!$F$30:$AJ$30"),0))</f>
        <v>161.2534</v>
      </c>
      <c r="E55" s="166"/>
      <c r="F55" s="166"/>
      <c r="G55" s="166">
        <f ca="1">ABS($J55-$D55)</f>
        <v>29.250501001584809</v>
      </c>
      <c r="H55" s="166"/>
      <c r="I55" s="166"/>
      <c r="J55" s="131">
        <f t="array" aca="1" ref="J55" ca="1">INDEX(INDIRECT("'"&amp;$B55&amp;"'!$F$23:$AJ$39"),MATCH($C55,INDIRECT("'"&amp;$B55&amp;"'!$F$23:$F$39"),0),MATCH($B$44&amp;$C$44&amp;J$44&amp;"Cost",INDIRECT("'"&amp;$B55&amp;"'!$F$23:$AJ$23")&amp;INDIRECT("'"&amp;$B55&amp;"'!$F$24:$AJ$24")&amp;INDIRECT("'"&amp;$B55&amp;"'!$F$25:$AJ$25")&amp;INDIRECT("'"&amp;$B55&amp;"'!$F$30:$AJ$30"),0))</f>
        <v>132.00289899841519</v>
      </c>
      <c r="K55" s="320">
        <f ca="1">J55-D55</f>
        <v>-29.250501001584809</v>
      </c>
      <c r="L55" s="316">
        <f t="shared" ca="1" si="0"/>
        <v>-0.18139463106877007</v>
      </c>
      <c r="M55" s="13"/>
      <c r="N55" s="13"/>
      <c r="O55" s="13"/>
    </row>
    <row r="56" spans="1:19" x14ac:dyDescent="0.25">
      <c r="A56" s="64"/>
      <c r="B56" s="93" t="str">
        <f t="shared" ref="B56:B57" si="2">B55</f>
        <v>Endeavour</v>
      </c>
      <c r="C56" s="3" t="s">
        <v>168</v>
      </c>
      <c r="D56" s="131">
        <f t="array" aca="1" ref="D56" ca="1">INDEX(INDIRECT("'"&amp;$B56&amp;"'!$F$23:$AJ$39"),MATCH($C56,INDIRECT("'"&amp;$B56&amp;"'!$F$23:$F$39"),0),MATCH($B$44&amp;$C$44&amp;D$44&amp;"Cost",INDIRECT("'"&amp;$B56&amp;"'!$F$23:$AJ$23")&amp;INDIRECT("'"&amp;$B56&amp;"'!$F$24:$AJ$24")&amp;INDIRECT("'"&amp;$B56&amp;"'!$F$25:$AJ$25")&amp;INDIRECT("'"&amp;$B56&amp;"'!$F$30:$AJ$30"),0))</f>
        <v>268.94377382400006</v>
      </c>
      <c r="E56" s="166"/>
      <c r="F56" s="166"/>
      <c r="G56" s="166"/>
      <c r="H56" s="166">
        <f ca="1">ABS($J56-$D56)</f>
        <v>75.361887394102951</v>
      </c>
      <c r="I56" s="166"/>
      <c r="J56" s="131">
        <f t="array" aca="1" ref="J56" ca="1">INDEX(INDIRECT("'"&amp;$B56&amp;"'!$F$23:$AJ$39"),MATCH($C56,INDIRECT("'"&amp;$B56&amp;"'!$F$23:$F$39"),0),MATCH($B$44&amp;$C$44&amp;J$44&amp;"Cost",INDIRECT("'"&amp;$B56&amp;"'!$F$23:$AJ$23")&amp;INDIRECT("'"&amp;$B56&amp;"'!$F$24:$AJ$24")&amp;INDIRECT("'"&amp;$B56&amp;"'!$F$25:$AJ$25")&amp;INDIRECT("'"&amp;$B56&amp;"'!$F$30:$AJ$30"),0))</f>
        <v>344.30566121810301</v>
      </c>
      <c r="K56" s="320">
        <f ca="1">J56-D56</f>
        <v>75.361887394102951</v>
      </c>
      <c r="L56" s="316">
        <f t="shared" ca="1" si="0"/>
        <v>0.28021428539714271</v>
      </c>
      <c r="M56" s="13"/>
      <c r="N56" s="13"/>
      <c r="O56" s="13"/>
    </row>
    <row r="57" spans="1:19" x14ac:dyDescent="0.25">
      <c r="A57" s="64"/>
      <c r="B57" s="93" t="str">
        <f t="shared" si="2"/>
        <v>Endeavour</v>
      </c>
      <c r="C57" s="3" t="s">
        <v>210</v>
      </c>
      <c r="D57" s="131">
        <f t="array" aca="1" ref="D57" ca="1">INDEX(INDIRECT("'"&amp;$B57&amp;"'!$F$23:$AJ$39"),MATCH($C57,INDIRECT("'"&amp;$B57&amp;"'!$F$23:$F$39"),0),MATCH($B$44&amp;$C$44&amp;D$44&amp;"Cost",INDIRECT("'"&amp;$B57&amp;"'!$F$23:$AJ$23")&amp;INDIRECT("'"&amp;$B57&amp;"'!$F$24:$AJ$24")&amp;INDIRECT("'"&amp;$B57&amp;"'!$F$25:$AJ$25")&amp;INDIRECT("'"&amp;$B57&amp;"'!$F$30:$AJ$30"),0))</f>
        <v>168.05607399910059</v>
      </c>
      <c r="E57" s="166"/>
      <c r="F57" s="166"/>
      <c r="G57" s="166"/>
      <c r="H57" s="166"/>
      <c r="I57" s="166">
        <f ca="1">ABS($J57-$D57)</f>
        <v>16.273262013451131</v>
      </c>
      <c r="J57" s="131">
        <f t="array" aca="1" ref="J57" ca="1">INDEX(INDIRECT("'"&amp;$B57&amp;"'!$F$23:$AJ$39"),MATCH($C57,INDIRECT("'"&amp;$B57&amp;"'!$F$23:$F$39"),0),MATCH($B$44&amp;$C$44&amp;J$44&amp;"Cost",INDIRECT("'"&amp;$B57&amp;"'!$F$23:$AJ$23")&amp;INDIRECT("'"&amp;$B57&amp;"'!$F$24:$AJ$24")&amp;INDIRECT("'"&amp;$B57&amp;"'!$F$25:$AJ$25")&amp;INDIRECT("'"&amp;$B57&amp;"'!$F$30:$AJ$30"),0))</f>
        <v>184.32933601255172</v>
      </c>
      <c r="K57" s="320">
        <f ca="1">J57-D57</f>
        <v>16.273262013451131</v>
      </c>
      <c r="L57" s="316">
        <f t="shared" ca="1" si="0"/>
        <v>9.683233474523642E-2</v>
      </c>
      <c r="M57" s="13"/>
      <c r="N57" s="13"/>
      <c r="O57" s="199"/>
    </row>
    <row r="58" spans="1:19" x14ac:dyDescent="0.25">
      <c r="A58" s="64"/>
      <c r="B58" s="94" t="str">
        <f>B56</f>
        <v>Endeavour</v>
      </c>
      <c r="C58" s="95" t="s">
        <v>117</v>
      </c>
      <c r="D58" s="167">
        <f ca="1">ROUND(SUM(D52:D57),0)</f>
        <v>2801</v>
      </c>
      <c r="E58" s="167"/>
      <c r="F58" s="167"/>
      <c r="G58" s="167"/>
      <c r="H58" s="167"/>
      <c r="I58" s="167"/>
      <c r="J58" s="167">
        <f ca="1">ROUND(SUM(J52:J57),0)</f>
        <v>3072</v>
      </c>
      <c r="K58" s="321">
        <f ca="1">+J58-D58</f>
        <v>271</v>
      </c>
      <c r="L58" s="316">
        <f t="shared" ca="1" si="0"/>
        <v>9.6751160299892891E-2</v>
      </c>
      <c r="M58" s="13"/>
      <c r="N58" s="13"/>
      <c r="O58" s="199"/>
      <c r="P58" s="124"/>
    </row>
    <row r="59" spans="1:19" x14ac:dyDescent="0.25">
      <c r="A59" s="64" t="str">
        <f>B59&amp;" "&amp;$B$44&amp;" "&amp;$C$44&amp;" $"</f>
        <v>Essential Residential with CL $</v>
      </c>
      <c r="B59" s="91" t="s">
        <v>3</v>
      </c>
      <c r="C59" s="92" t="s">
        <v>156</v>
      </c>
      <c r="D59" s="165">
        <v>0</v>
      </c>
      <c r="E59" s="165">
        <f ca="1">IF($K60&lt;0,SUM(D59:D64)+$K60,SUM(D59:D64))</f>
        <v>2931.4555503568636</v>
      </c>
      <c r="F59" s="165">
        <f ca="1">IF($K61&lt;0,IF($K60&lt;0,E59+$K61,E59+$K60+$K61),IF($K60&lt;0,E59,E59+$K60))</f>
        <v>3038.3405184022804</v>
      </c>
      <c r="G59" s="165">
        <f ca="1">IF($K62&lt;0,IF($K61&lt;0,F59+$K62,F59+$K61+$K62),IF($K61&lt;0,F59,F59+$K61))</f>
        <v>3120.2086000702461</v>
      </c>
      <c r="H59" s="165">
        <f ca="1">IF($K63&lt;0,IF($K62&lt;0,G59+$K63,G59+$K62+$K63),IF($K62&lt;0,G59,G59+$K62))</f>
        <v>3120.2086000702461</v>
      </c>
      <c r="I59" s="165">
        <f ca="1">IF($K64&lt;0,IF($K63&lt;0,H59+$K64,H59+$K63+$K64),IF($K63&lt;0,H59,H59+$K63))</f>
        <v>3193.9422580573491</v>
      </c>
      <c r="J59" s="165">
        <v>0</v>
      </c>
      <c r="K59" s="322"/>
      <c r="L59" s="317"/>
      <c r="M59" s="13"/>
    </row>
    <row r="60" spans="1:19" x14ac:dyDescent="0.25">
      <c r="A60" s="64"/>
      <c r="B60" s="93" t="str">
        <f>B59</f>
        <v>Essential</v>
      </c>
      <c r="C60" s="3" t="s">
        <v>62</v>
      </c>
      <c r="D60" s="131">
        <f t="array" aca="1" ref="D60" ca="1">INDEX(INDIRECT("'"&amp;$B60&amp;"'!$F$23:$AJ$39"),MATCH($C60,INDIRECT("'"&amp;$B60&amp;"'!$F$23:$F$39"),0),MATCH($B$44&amp;$C$44&amp;D$44&amp;"Cost",INDIRECT("'"&amp;$B60&amp;"'!$F$23:$AJ$23")&amp;INDIRECT("'"&amp;$B60&amp;"'!$F$24:$AJ$24")&amp;INDIRECT("'"&amp;$B60&amp;"'!$F$25:$AJ$25")&amp;INDIRECT("'"&amp;$B60&amp;"'!$F$30:$AJ$30"),0))</f>
        <v>1276.3711230908807</v>
      </c>
      <c r="E60" s="166">
        <f ca="1">ABS($J60-$D60)</f>
        <v>106.88496804541705</v>
      </c>
      <c r="F60" s="166"/>
      <c r="G60" s="166"/>
      <c r="H60" s="166"/>
      <c r="I60" s="166"/>
      <c r="J60" s="131">
        <f t="array" aca="1" ref="J60" ca="1">INDEX(INDIRECT("'"&amp;$B60&amp;"'!$F$23:$AJ$39"),MATCH($C60,INDIRECT("'"&amp;$B60&amp;"'!$F$23:$F$39"),0),MATCH($B$44&amp;$C$44&amp;J$44&amp;"Cost",INDIRECT("'"&amp;$B60&amp;"'!$F$23:$AJ$23")&amp;INDIRECT("'"&amp;$B60&amp;"'!$F$24:$AJ$24")&amp;INDIRECT("'"&amp;$B60&amp;"'!$F$25:$AJ$25")&amp;INDIRECT("'"&amp;$B60&amp;"'!$F$30:$AJ$30"),0))</f>
        <v>1383.2560911362978</v>
      </c>
      <c r="K60" s="320">
        <f ca="1">J60-D60</f>
        <v>106.88496804541705</v>
      </c>
      <c r="L60" s="316">
        <f t="shared" ca="1" si="0"/>
        <v>8.3741292882420201E-2</v>
      </c>
      <c r="M60" s="13"/>
      <c r="N60" s="199"/>
      <c r="O60" s="13"/>
    </row>
    <row r="61" spans="1:19" x14ac:dyDescent="0.25">
      <c r="A61" s="64"/>
      <c r="B61" s="93" t="str">
        <f>B60</f>
        <v>Essential</v>
      </c>
      <c r="C61" s="3" t="s">
        <v>63</v>
      </c>
      <c r="D61" s="131">
        <f t="array" aca="1" ref="D61" ca="1">INDEX(INDIRECT("'"&amp;$B61&amp;"'!$F$23:$AJ$39"),MATCH($C61,INDIRECT("'"&amp;$B61&amp;"'!$F$23:$F$39"),0),MATCH($B$44&amp;$C$44&amp;D$44&amp;"Cost",INDIRECT("'"&amp;$B61&amp;"'!$F$23:$AJ$23")&amp;INDIRECT("'"&amp;$B61&amp;"'!$F$24:$AJ$24")&amp;INDIRECT("'"&amp;$B61&amp;"'!$F$25:$AJ$25")&amp;INDIRECT("'"&amp;$B61&amp;"'!$F$30:$AJ$30"),0))</f>
        <v>1068.7608498285715</v>
      </c>
      <c r="E61" s="166"/>
      <c r="F61" s="166">
        <f ca="1">ABS($J61-$D61)</f>
        <v>107.24937659272268</v>
      </c>
      <c r="G61" s="166"/>
      <c r="H61" s="166"/>
      <c r="I61" s="166"/>
      <c r="J61" s="131">
        <f t="array" aca="1" ref="J61" ca="1">INDEX(INDIRECT("'"&amp;$B61&amp;"'!$F$23:$AJ$39"),MATCH($C61,INDIRECT("'"&amp;$B61&amp;"'!$F$23:$F$39"),0),MATCH($B$44&amp;$C$44&amp;J$44&amp;"Cost",INDIRECT("'"&amp;$B61&amp;"'!$F$23:$AJ$23")&amp;INDIRECT("'"&amp;$B61&amp;"'!$F$24:$AJ$24")&amp;INDIRECT("'"&amp;$B61&amp;"'!$F$25:$AJ$25")&amp;INDIRECT("'"&amp;$B61&amp;"'!$F$30:$AJ$30"),0))</f>
        <v>1176.0102264212942</v>
      </c>
      <c r="K61" s="320">
        <f ca="1">J61-D61</f>
        <v>107.24937659272268</v>
      </c>
      <c r="L61" s="316">
        <f t="shared" ca="1" si="0"/>
        <v>0.10034927515348771</v>
      </c>
      <c r="M61" s="13"/>
      <c r="N61" s="199"/>
      <c r="O61" s="199"/>
    </row>
    <row r="62" spans="1:19" x14ac:dyDescent="0.25">
      <c r="A62" s="64"/>
      <c r="B62" s="93" t="str">
        <f>B61</f>
        <v>Essential</v>
      </c>
      <c r="C62" s="3" t="s">
        <v>64</v>
      </c>
      <c r="D62" s="131">
        <f t="array" aca="1" ref="D62" ca="1">INDEX(INDIRECT("'"&amp;$B62&amp;"'!$F$23:$AJ$39"),MATCH($C62,INDIRECT("'"&amp;$B62&amp;"'!$F$23:$F$39"),0),MATCH($B$44&amp;$C$44&amp;D$44&amp;"Cost",INDIRECT("'"&amp;$B62&amp;"'!$F$23:$AJ$23")&amp;INDIRECT("'"&amp;$B62&amp;"'!$F$24:$AJ$24")&amp;INDIRECT("'"&amp;$B62&amp;"'!$F$25:$AJ$25")&amp;INDIRECT("'"&amp;$B62&amp;"'!$F$30:$AJ$30"),0))</f>
        <v>140.4084</v>
      </c>
      <c r="E62" s="166"/>
      <c r="F62" s="166"/>
      <c r="G62" s="166">
        <f ca="1">ABS($J62-$D62)</f>
        <v>25.381294924757171</v>
      </c>
      <c r="H62" s="166"/>
      <c r="I62" s="166"/>
      <c r="J62" s="131">
        <f t="array" aca="1" ref="J62" ca="1">INDEX(INDIRECT("'"&amp;$B62&amp;"'!$F$23:$AJ$39"),MATCH($C62,INDIRECT("'"&amp;$B62&amp;"'!$F$23:$F$39"),0),MATCH($B$44&amp;$C$44&amp;J$44&amp;"Cost",INDIRECT("'"&amp;$B62&amp;"'!$F$23:$AJ$23")&amp;INDIRECT("'"&amp;$B62&amp;"'!$F$24:$AJ$24")&amp;INDIRECT("'"&amp;$B62&amp;"'!$F$25:$AJ$25")&amp;INDIRECT("'"&amp;$B62&amp;"'!$F$30:$AJ$30"),0))</f>
        <v>115.02710507524283</v>
      </c>
      <c r="K62" s="320">
        <f ca="1">J62-D62</f>
        <v>-25.381294924757171</v>
      </c>
      <c r="L62" s="316">
        <f t="shared" ca="1" si="0"/>
        <v>-0.18076763872216456</v>
      </c>
      <c r="M62" s="13"/>
      <c r="N62" s="13"/>
      <c r="O62" s="13"/>
    </row>
    <row r="63" spans="1:19" x14ac:dyDescent="0.25">
      <c r="A63" s="64"/>
      <c r="B63" s="93" t="str">
        <f t="shared" ref="B63:B64" si="3">B62</f>
        <v>Essential</v>
      </c>
      <c r="C63" s="3" t="s">
        <v>168</v>
      </c>
      <c r="D63" s="131">
        <f t="array" aca="1" ref="D63" ca="1">INDEX(INDIRECT("'"&amp;$B63&amp;"'!$F$23:$AJ$39"),MATCH($C63,INDIRECT("'"&amp;$B63&amp;"'!$F$23:$F$39"),0),MATCH($B$44&amp;$C$44&amp;D$44&amp;"Cost",INDIRECT("'"&amp;$B63&amp;"'!$F$23:$AJ$23")&amp;INDIRECT("'"&amp;$B63&amp;"'!$F$24:$AJ$24")&amp;INDIRECT("'"&amp;$B63&amp;"'!$F$25:$AJ$25")&amp;INDIRECT("'"&amp;$B63&amp;"'!$F$30:$AJ$30"),0))</f>
        <v>270.02784441600005</v>
      </c>
      <c r="E63" s="166"/>
      <c r="F63" s="166"/>
      <c r="G63" s="166"/>
      <c r="H63" s="166">
        <f ca="1">ABS($J63-$D63)</f>
        <v>73.733657987102845</v>
      </c>
      <c r="I63" s="166"/>
      <c r="J63" s="131">
        <f t="array" aca="1" ref="J63" ca="1">INDEX(INDIRECT("'"&amp;$B63&amp;"'!$F$23:$AJ$39"),MATCH($C63,INDIRECT("'"&amp;$B63&amp;"'!$F$23:$F$39"),0),MATCH($B$44&amp;$C$44&amp;J$44&amp;"Cost",INDIRECT("'"&amp;$B63&amp;"'!$F$23:$AJ$23")&amp;INDIRECT("'"&amp;$B63&amp;"'!$F$24:$AJ$24")&amp;INDIRECT("'"&amp;$B63&amp;"'!$F$25:$AJ$25")&amp;INDIRECT("'"&amp;$B63&amp;"'!$F$30:$AJ$30"),0))</f>
        <v>343.7615024031029</v>
      </c>
      <c r="K63" s="320">
        <f ca="1">J63-D63</f>
        <v>73.733657987102845</v>
      </c>
      <c r="L63" s="316">
        <f t="shared" ca="1" si="0"/>
        <v>0.27305946224386435</v>
      </c>
      <c r="M63" s="13"/>
      <c r="N63" s="13"/>
      <c r="O63" s="13"/>
    </row>
    <row r="64" spans="1:19" x14ac:dyDescent="0.25">
      <c r="A64" s="64"/>
      <c r="B64" s="93" t="str">
        <f t="shared" si="3"/>
        <v>Essential</v>
      </c>
      <c r="C64" s="3" t="s">
        <v>210</v>
      </c>
      <c r="D64" s="131">
        <f t="array" aca="1" ref="D64" ca="1">INDEX(INDIRECT("'"&amp;$B64&amp;"'!$F$23:$AJ$39"),MATCH($C64,INDIRECT("'"&amp;$B64&amp;"'!$F$23:$F$39"),0),MATCH($B$44&amp;$C$44&amp;D$44&amp;"Cost",INDIRECT("'"&amp;$B64&amp;"'!$F$23:$AJ$23")&amp;INDIRECT("'"&amp;$B64&amp;"'!$F$24:$AJ$24")&amp;INDIRECT("'"&amp;$B64&amp;"'!$F$25:$AJ$25")&amp;INDIRECT("'"&amp;$B64&amp;"'!$F$30:$AJ$30"),0))</f>
        <v>175.88733302141191</v>
      </c>
      <c r="E64" s="166"/>
      <c r="F64" s="166"/>
      <c r="G64" s="166"/>
      <c r="H64" s="166"/>
      <c r="I64" s="166">
        <f ca="1">ABS($J64-$D64)</f>
        <v>16.754470704286177</v>
      </c>
      <c r="J64" s="131">
        <f t="array" aca="1" ref="J64" ca="1">INDEX(INDIRECT("'"&amp;$B64&amp;"'!$F$23:$AJ$39"),MATCH($C64,INDIRECT("'"&amp;$B64&amp;"'!$F$23:$F$39"),0),MATCH($B$44&amp;$C$44&amp;J$44&amp;"Cost",INDIRECT("'"&amp;$B64&amp;"'!$F$23:$AJ$23")&amp;INDIRECT("'"&amp;$B64&amp;"'!$F$24:$AJ$24")&amp;INDIRECT("'"&amp;$B64&amp;"'!$F$25:$AJ$25")&amp;INDIRECT("'"&amp;$B64&amp;"'!$F$30:$AJ$30"),0))</f>
        <v>192.64180372569808</v>
      </c>
      <c r="K64" s="320">
        <f ca="1">J64-D64</f>
        <v>16.754470704286177</v>
      </c>
      <c r="L64" s="316">
        <f t="shared" ca="1" si="0"/>
        <v>9.5256835250589353E-2</v>
      </c>
      <c r="M64" s="13"/>
      <c r="N64" s="13"/>
      <c r="O64" s="199"/>
    </row>
    <row r="65" spans="1:16" x14ac:dyDescent="0.25">
      <c r="A65" s="64"/>
      <c r="B65" s="94" t="str">
        <f>B63</f>
        <v>Essential</v>
      </c>
      <c r="C65" s="95" t="s">
        <v>117</v>
      </c>
      <c r="D65" s="167">
        <f ca="1">ROUND(SUM(D59:D64),0)</f>
        <v>2931</v>
      </c>
      <c r="E65" s="167"/>
      <c r="F65" s="167"/>
      <c r="G65" s="167"/>
      <c r="H65" s="167"/>
      <c r="I65" s="167"/>
      <c r="J65" s="167">
        <f ca="1">ROUND(SUM(J59:J64),0)</f>
        <v>3211</v>
      </c>
      <c r="K65" s="321">
        <f ca="1">+J65-D65</f>
        <v>280</v>
      </c>
      <c r="L65" s="316">
        <f t="shared" ca="1" si="0"/>
        <v>9.5530535653360629E-2</v>
      </c>
      <c r="M65" s="13"/>
      <c r="N65" s="13"/>
      <c r="O65" s="199"/>
      <c r="P65" s="124"/>
    </row>
    <row r="66" spans="1:16" x14ac:dyDescent="0.25">
      <c r="A66" s="64" t="str">
        <f>B66&amp;" "&amp;$B$44&amp;" "&amp;$C$44&amp;" $"</f>
        <v>Energex Residential with CL $</v>
      </c>
      <c r="B66" s="91" t="s">
        <v>0</v>
      </c>
      <c r="C66" s="92" t="s">
        <v>156</v>
      </c>
      <c r="D66" s="165">
        <v>0</v>
      </c>
      <c r="E66" s="165">
        <f ca="1">IF($K67&lt;0,SUM(D66:D71)+$K67,SUM(D66:D71))</f>
        <v>2354.7266987558128</v>
      </c>
      <c r="F66" s="165">
        <f ca="1">IF($K68&lt;0,IF($K67&lt;0,E66+$K68,E66+$K67+$K68),IF($K67&lt;0,E66,E66+$K67))</f>
        <v>2354.7266987558128</v>
      </c>
      <c r="G66" s="165">
        <f ca="1">IF($K69&lt;0,IF($K68&lt;0,F66+$K69,F66+$K68+$K69),IF($K68&lt;0,F66,F66+$K68))</f>
        <v>2338.3470285637291</v>
      </c>
      <c r="H66" s="165">
        <f ca="1">IF($K70&lt;0,IF($K69&lt;0,G66+$K70,G66+$K69+$K70),IF($K69&lt;0,G66,G66+$K69))</f>
        <v>2338.3470285637291</v>
      </c>
      <c r="I66" s="165">
        <f ca="1">IF($K71&lt;0,IF($K70&lt;0,H66+$K71,H66+$K70+$K71),IF($K70&lt;0,H66,H66+$K70))</f>
        <v>2424.0956948361413</v>
      </c>
      <c r="J66" s="165">
        <v>0</v>
      </c>
      <c r="K66" s="322"/>
      <c r="L66" s="317"/>
      <c r="M66" s="13"/>
    </row>
    <row r="67" spans="1:16" x14ac:dyDescent="0.25">
      <c r="A67" s="64"/>
      <c r="B67" s="93" t="str">
        <f>B66</f>
        <v>Energex</v>
      </c>
      <c r="C67" s="3" t="s">
        <v>62</v>
      </c>
      <c r="D67" s="131">
        <f t="array" aca="1" ref="D67" ca="1">INDEX(INDIRECT("'"&amp;$B67&amp;"'!$F$23:$AJ$39"),MATCH($C67,INDIRECT("'"&amp;$B67&amp;"'!$F$23:$F$39"),0),MATCH($B$44&amp;$C$44&amp;D$44&amp;"Cost",INDIRECT("'"&amp;$B67&amp;"'!$F$23:$AJ$23")&amp;INDIRECT("'"&amp;$B67&amp;"'!$F$24:$AJ$24")&amp;INDIRECT("'"&amp;$B67&amp;"'!$F$25:$AJ$25")&amp;INDIRECT("'"&amp;$B67&amp;"'!$F$30:$AJ$30"),0))</f>
        <v>870.27213900000015</v>
      </c>
      <c r="E67" s="166">
        <f ca="1">ABS($J67-$D67)</f>
        <v>59.192301993731803</v>
      </c>
      <c r="F67" s="166"/>
      <c r="G67" s="166"/>
      <c r="H67" s="166"/>
      <c r="I67" s="166"/>
      <c r="J67" s="131">
        <f t="array" aca="1" ref="J67" ca="1">INDEX(INDIRECT("'"&amp;$B67&amp;"'!$F$23:$AJ$39"),MATCH($C67,INDIRECT("'"&amp;$B67&amp;"'!$F$23:$F$39"),0),MATCH($B$44&amp;$C$44&amp;J$44&amp;"Cost",INDIRECT("'"&amp;$B67&amp;"'!$F$23:$AJ$23")&amp;INDIRECT("'"&amp;$B67&amp;"'!$F$24:$AJ$24")&amp;INDIRECT("'"&amp;$B67&amp;"'!$F$25:$AJ$25")&amp;INDIRECT("'"&amp;$B67&amp;"'!$F$30:$AJ$30"),0))</f>
        <v>811.07983700626835</v>
      </c>
      <c r="K67" s="320">
        <f ca="1">J67-D67</f>
        <v>-59.192301993731803</v>
      </c>
      <c r="L67" s="316">
        <f t="shared" ca="1" si="0"/>
        <v>-6.8015853135029281E-2</v>
      </c>
      <c r="M67" s="13"/>
      <c r="N67" s="199"/>
      <c r="O67" s="13"/>
    </row>
    <row r="68" spans="1:16" x14ac:dyDescent="0.25">
      <c r="A68" s="64"/>
      <c r="B68" s="93" t="str">
        <f>B67</f>
        <v>Energex</v>
      </c>
      <c r="C68" s="3" t="s">
        <v>63</v>
      </c>
      <c r="D68" s="131">
        <f t="array" aca="1" ref="D68" ca="1">INDEX(INDIRECT("'"&amp;$B68&amp;"'!$F$23:$AJ$39"),MATCH($C68,INDIRECT("'"&amp;$B68&amp;"'!$F$23:$F$39"),0),MATCH($B$44&amp;$C$44&amp;D$44&amp;"Cost",INDIRECT("'"&amp;$B68&amp;"'!$F$23:$AJ$23")&amp;INDIRECT("'"&amp;$B68&amp;"'!$F$24:$AJ$24")&amp;INDIRECT("'"&amp;$B68&amp;"'!$F$25:$AJ$25")&amp;INDIRECT("'"&amp;$B68&amp;"'!$F$30:$AJ$30"),0))</f>
        <v>1041.8040771285714</v>
      </c>
      <c r="E68" s="166"/>
      <c r="F68" s="166">
        <f ca="1">ABS($J68-$D68)</f>
        <v>15.581300342675831</v>
      </c>
      <c r="G68" s="166"/>
      <c r="H68" s="166"/>
      <c r="I68" s="166"/>
      <c r="J68" s="131">
        <f t="array" aca="1" ref="J68" ca="1">INDEX(INDIRECT("'"&amp;$B68&amp;"'!$F$23:$AJ$39"),MATCH($C68,INDIRECT("'"&amp;$B68&amp;"'!$F$23:$F$39"),0),MATCH($B$44&amp;$C$44&amp;J$44&amp;"Cost",INDIRECT("'"&amp;$B68&amp;"'!$F$23:$AJ$23")&amp;INDIRECT("'"&amp;$B68&amp;"'!$F$24:$AJ$24")&amp;INDIRECT("'"&amp;$B68&amp;"'!$F$25:$AJ$25")&amp;INDIRECT("'"&amp;$B68&amp;"'!$F$30:$AJ$30"),0))</f>
        <v>1057.3853774712472</v>
      </c>
      <c r="K68" s="320">
        <f ca="1">J68-D68</f>
        <v>15.581300342675831</v>
      </c>
      <c r="L68" s="316">
        <f t="shared" ca="1" si="0"/>
        <v>1.4956075412587302E-2</v>
      </c>
      <c r="M68" s="13"/>
      <c r="N68" s="199"/>
      <c r="O68" s="199"/>
    </row>
    <row r="69" spans="1:16" x14ac:dyDescent="0.25">
      <c r="A69" s="64"/>
      <c r="B69" s="93" t="str">
        <f>B68</f>
        <v>Energex</v>
      </c>
      <c r="C69" s="3" t="s">
        <v>64</v>
      </c>
      <c r="D69" s="131">
        <f t="array" aca="1" ref="D69" ca="1">INDEX(INDIRECT("'"&amp;$B69&amp;"'!$F$23:$AJ$39"),MATCH($C69,INDIRECT("'"&amp;$B69&amp;"'!$F$23:$F$39"),0),MATCH($B$44&amp;$C$44&amp;D$44&amp;"Cost",INDIRECT("'"&amp;$B69&amp;"'!$F$23:$AJ$23")&amp;INDIRECT("'"&amp;$B69&amp;"'!$F$24:$AJ$24")&amp;INDIRECT("'"&amp;$B69&amp;"'!$F$25:$AJ$25")&amp;INDIRECT("'"&amp;$B69&amp;"'!$F$30:$AJ$30"),0))</f>
        <v>114.55289999999999</v>
      </c>
      <c r="E69" s="166"/>
      <c r="F69" s="166"/>
      <c r="G69" s="166">
        <f ca="1">ABS($J69-$D69)</f>
        <v>31.960970534759767</v>
      </c>
      <c r="H69" s="166"/>
      <c r="I69" s="166"/>
      <c r="J69" s="131">
        <f t="array" aca="1" ref="J69" ca="1">INDEX(INDIRECT("'"&amp;$B69&amp;"'!$F$23:$AJ$39"),MATCH($C69,INDIRECT("'"&amp;$B69&amp;"'!$F$23:$F$39"),0),MATCH($B$44&amp;$C$44&amp;J$44&amp;"Cost",INDIRECT("'"&amp;$B69&amp;"'!$F$23:$AJ$23")&amp;INDIRECT("'"&amp;$B69&amp;"'!$F$24:$AJ$24")&amp;INDIRECT("'"&amp;$B69&amp;"'!$F$25:$AJ$25")&amp;INDIRECT("'"&amp;$B69&amp;"'!$F$30:$AJ$30"),0))</f>
        <v>82.591929465240227</v>
      </c>
      <c r="K69" s="320">
        <f ca="1">J69-D69</f>
        <v>-31.960970534759767</v>
      </c>
      <c r="L69" s="316">
        <f t="shared" ca="1" si="0"/>
        <v>-0.27900621053469415</v>
      </c>
      <c r="M69" s="13"/>
      <c r="N69" s="13"/>
      <c r="O69" s="13"/>
    </row>
    <row r="70" spans="1:16" x14ac:dyDescent="0.25">
      <c r="A70" s="64"/>
      <c r="B70" s="93" t="str">
        <f t="shared" ref="B70:B71" si="4">B69</f>
        <v>Energex</v>
      </c>
      <c r="C70" s="3" t="s">
        <v>168</v>
      </c>
      <c r="D70" s="131">
        <f t="array" aca="1" ref="D70" ca="1">INDEX(INDIRECT("'"&amp;$B70&amp;"'!$F$23:$AJ$39"),MATCH($C70,INDIRECT("'"&amp;$B70&amp;"'!$F$23:$F$39"),0),MATCH($B$44&amp;$C$44&amp;D$44&amp;"Cost",INDIRECT("'"&amp;$B70&amp;"'!$F$23:$AJ$23")&amp;INDIRECT("'"&amp;$B70&amp;"'!$F$24:$AJ$24")&amp;INDIRECT("'"&amp;$B70&amp;"'!$F$25:$AJ$25")&amp;INDIRECT("'"&amp;$B70&amp;"'!$F$30:$AJ$30"),0))</f>
        <v>242.45474457600002</v>
      </c>
      <c r="E70" s="166"/>
      <c r="F70" s="166"/>
      <c r="G70" s="166"/>
      <c r="H70" s="166">
        <f ca="1">ABS($J70-$D70)</f>
        <v>85.748666272412351</v>
      </c>
      <c r="I70" s="166"/>
      <c r="J70" s="131">
        <f t="array" aca="1" ref="J70" ca="1">INDEX(INDIRECT("'"&amp;$B70&amp;"'!$F$23:$AJ$39"),MATCH($C70,INDIRECT("'"&amp;$B70&amp;"'!$F$23:$F$39"),0),MATCH($B$44&amp;$C$44&amp;J$44&amp;"Cost",INDIRECT("'"&amp;$B70&amp;"'!$F$23:$AJ$23")&amp;INDIRECT("'"&amp;$B70&amp;"'!$F$24:$AJ$24")&amp;INDIRECT("'"&amp;$B70&amp;"'!$F$25:$AJ$25")&amp;INDIRECT("'"&amp;$B70&amp;"'!$F$30:$AJ$30"),0))</f>
        <v>328.20341084841237</v>
      </c>
      <c r="K70" s="320">
        <f ca="1">J70-D70</f>
        <v>85.748666272412351</v>
      </c>
      <c r="L70" s="316">
        <f t="shared" ca="1" si="0"/>
        <v>0.35366874928501768</v>
      </c>
      <c r="M70" s="13"/>
      <c r="N70" s="13"/>
      <c r="O70" s="13"/>
    </row>
    <row r="71" spans="1:16" x14ac:dyDescent="0.25">
      <c r="A71" s="64"/>
      <c r="B71" s="93" t="str">
        <f t="shared" si="4"/>
        <v>Energex</v>
      </c>
      <c r="C71" s="3" t="s">
        <v>210</v>
      </c>
      <c r="D71" s="131">
        <f t="array" aca="1" ref="D71" ca="1">INDEX(INDIRECT("'"&amp;$B71&amp;"'!$F$23:$AJ$39"),MATCH($C71,INDIRECT("'"&amp;$B71&amp;"'!$F$23:$F$39"),0),MATCH($B$44&amp;$C$44&amp;D$44&amp;"Cost",INDIRECT("'"&amp;$B71&amp;"'!$F$23:$AJ$23")&amp;INDIRECT("'"&amp;$B71&amp;"'!$F$24:$AJ$24")&amp;INDIRECT("'"&amp;$B71&amp;"'!$F$25:$AJ$25")&amp;INDIRECT("'"&amp;$B71&amp;"'!$F$30:$AJ$30"),0))</f>
        <v>144.83514004497283</v>
      </c>
      <c r="E71" s="166"/>
      <c r="F71" s="166"/>
      <c r="G71" s="166"/>
      <c r="H71" s="166"/>
      <c r="I71" s="166">
        <f ca="1">ABS($J71-$D71)</f>
        <v>0.64957621829353229</v>
      </c>
      <c r="J71" s="131">
        <f t="array" aca="1" ref="J71" ca="1">INDEX(INDIRECT("'"&amp;$B71&amp;"'!$F$23:$AJ$39"),MATCH($C71,INDIRECT("'"&amp;$B71&amp;"'!$F$23:$F$39"),0),MATCH($B$44&amp;$C$44&amp;J$44&amp;"Cost",INDIRECT("'"&amp;$B71&amp;"'!$F$23:$AJ$23")&amp;INDIRECT("'"&amp;$B71&amp;"'!$F$24:$AJ$24")&amp;INDIRECT("'"&amp;$B71&amp;"'!$F$25:$AJ$25")&amp;INDIRECT("'"&amp;$B71&amp;"'!$F$30:$AJ$30"),0))</f>
        <v>145.48471626326636</v>
      </c>
      <c r="K71" s="320">
        <f ca="1">J71-D71</f>
        <v>0.64957621829353229</v>
      </c>
      <c r="L71" s="316">
        <f t="shared" ca="1" si="0"/>
        <v>4.4849352035136779E-3</v>
      </c>
      <c r="M71" s="13"/>
      <c r="N71" s="13"/>
      <c r="O71" s="199"/>
    </row>
    <row r="72" spans="1:16" x14ac:dyDescent="0.25">
      <c r="A72" s="64"/>
      <c r="B72" s="94" t="str">
        <f>B70</f>
        <v>Energex</v>
      </c>
      <c r="C72" s="95" t="s">
        <v>117</v>
      </c>
      <c r="D72" s="167">
        <f ca="1">ROUND(SUM(D66:D71),0)</f>
        <v>2414</v>
      </c>
      <c r="E72" s="167"/>
      <c r="F72" s="167"/>
      <c r="G72" s="167"/>
      <c r="H72" s="167"/>
      <c r="I72" s="167"/>
      <c r="J72" s="167">
        <f ca="1">ROUND(SUM(J66:J71),0)</f>
        <v>2425</v>
      </c>
      <c r="K72" s="321">
        <f ca="1">+J72-D72</f>
        <v>11</v>
      </c>
      <c r="L72" s="316">
        <f t="shared" ca="1" si="0"/>
        <v>4.5567522783761388E-3</v>
      </c>
      <c r="M72" s="13"/>
      <c r="N72" s="13"/>
      <c r="O72" s="199"/>
      <c r="P72" s="124"/>
    </row>
    <row r="73" spans="1:16" x14ac:dyDescent="0.25">
      <c r="A73" s="64" t="str">
        <f>B73&amp;" "&amp;$B$44&amp;" "&amp;$C$44&amp;" $"</f>
        <v>SAPN Residential with CL $</v>
      </c>
      <c r="B73" s="91" t="s">
        <v>5</v>
      </c>
      <c r="C73" s="92" t="s">
        <v>156</v>
      </c>
      <c r="D73" s="165">
        <v>0</v>
      </c>
      <c r="E73" s="165">
        <f ca="1">IF($K74&lt;0,SUM(D73:D78)+$K74,SUM(D73:D78))</f>
        <v>2727.1460506668627</v>
      </c>
      <c r="F73" s="165">
        <f ca="1">IF($K75&lt;0,IF($K74&lt;0,E73+$K75,E73+$K74+$K75),IF($K74&lt;0,E73,E73+$K74))</f>
        <v>2727.1460506668627</v>
      </c>
      <c r="G73" s="165">
        <f ca="1">IF($K76&lt;0,IF($K75&lt;0,F73+$K76,F73+$K75+$K76),IF($K75&lt;0,F73,F73+$K75))</f>
        <v>2756.1737938549222</v>
      </c>
      <c r="H73" s="165">
        <f ca="1">IF($K77&lt;0,IF($K76&lt;0,G73+$K77,G73+$K76+$K77),IF($K76&lt;0,G73,G73+$K76))</f>
        <v>2756.1737938549222</v>
      </c>
      <c r="I73" s="165">
        <f ca="1">IF($K78&lt;0,IF($K77&lt;0,H73+$K78,H73+$K77+$K78),IF($K77&lt;0,H73,H73+$K77))</f>
        <v>2820.0425608925389</v>
      </c>
      <c r="J73" s="165">
        <v>0</v>
      </c>
      <c r="K73" s="322"/>
      <c r="L73" s="317"/>
      <c r="M73" s="13"/>
    </row>
    <row r="74" spans="1:16" x14ac:dyDescent="0.25">
      <c r="A74" s="64"/>
      <c r="B74" s="93" t="str">
        <f>B73</f>
        <v>SAPN</v>
      </c>
      <c r="C74" s="3" t="s">
        <v>62</v>
      </c>
      <c r="D74" s="131">
        <f t="array" aca="1" ref="D74" ca="1">INDEX(INDIRECT("'"&amp;$B74&amp;"'!$F$23:$AJ$39"),MATCH($C74,INDIRECT("'"&amp;$B74&amp;"'!$F$23:$F$39"),0),MATCH($B$44&amp;$C$44&amp;D$44&amp;"Cost",INDIRECT("'"&amp;$B74&amp;"'!$F$23:$AJ$23")&amp;INDIRECT("'"&amp;$B74&amp;"'!$F$24:$AJ$24")&amp;INDIRECT("'"&amp;$B74&amp;"'!$F$25:$AJ$25")&amp;INDIRECT("'"&amp;$B74&amp;"'!$F$30:$AJ$30"),0))</f>
        <v>1105.11995</v>
      </c>
      <c r="E74" s="166">
        <f ca="1">ABS($J74-$D74)</f>
        <v>32.458556001829493</v>
      </c>
      <c r="F74" s="166"/>
      <c r="G74" s="166"/>
      <c r="H74" s="166"/>
      <c r="I74" s="166"/>
      <c r="J74" s="131">
        <f t="array" aca="1" ref="J74" ca="1">INDEX(INDIRECT("'"&amp;$B74&amp;"'!$F$23:$AJ$39"),MATCH($C74,INDIRECT("'"&amp;$B74&amp;"'!$F$23:$F$39"),0),MATCH($B$44&amp;$C$44&amp;J$44&amp;"Cost",INDIRECT("'"&amp;$B74&amp;"'!$F$23:$AJ$23")&amp;INDIRECT("'"&amp;$B74&amp;"'!$F$24:$AJ$24")&amp;INDIRECT("'"&amp;$B74&amp;"'!$F$25:$AJ$25")&amp;INDIRECT("'"&amp;$B74&amp;"'!$F$30:$AJ$30"),0))</f>
        <v>1072.6613939981705</v>
      </c>
      <c r="K74" s="320">
        <f ca="1">J74-D74</f>
        <v>-32.458556001829493</v>
      </c>
      <c r="L74" s="316">
        <f t="shared" ca="1" si="0"/>
        <v>-2.9371070535673068E-2</v>
      </c>
      <c r="M74" s="13"/>
      <c r="N74" s="199"/>
      <c r="O74" s="13"/>
    </row>
    <row r="75" spans="1:16" x14ac:dyDescent="0.25">
      <c r="A75" s="64"/>
      <c r="B75" s="93" t="str">
        <f>B74</f>
        <v>SAPN</v>
      </c>
      <c r="C75" s="3" t="s">
        <v>63</v>
      </c>
      <c r="D75" s="131">
        <f t="array" aca="1" ref="D75" ca="1">INDEX(INDIRECT("'"&amp;$B75&amp;"'!$F$23:$AJ$39"),MATCH($C75,INDIRECT("'"&amp;$B75&amp;"'!$F$23:$F$39"),0),MATCH($B$44&amp;$C$44&amp;D$44&amp;"Cost",INDIRECT("'"&amp;$B75&amp;"'!$F$23:$AJ$23")&amp;INDIRECT("'"&amp;$B75&amp;"'!$F$24:$AJ$24")&amp;INDIRECT("'"&amp;$B75&amp;"'!$F$25:$AJ$25")&amp;INDIRECT("'"&amp;$B75&amp;"'!$F$30:$AJ$30"),0))</f>
        <v>1072.0471504285711</v>
      </c>
      <c r="E75" s="166"/>
      <c r="F75" s="166">
        <f ca="1">ABS($J75-$D75)</f>
        <v>66.913579631205039</v>
      </c>
      <c r="G75" s="166"/>
      <c r="H75" s="166"/>
      <c r="I75" s="166"/>
      <c r="J75" s="131">
        <f t="array" aca="1" ref="J75" ca="1">INDEX(INDIRECT("'"&amp;$B75&amp;"'!$F$23:$AJ$39"),MATCH($C75,INDIRECT("'"&amp;$B75&amp;"'!$F$23:$F$39"),0),MATCH($B$44&amp;$C$44&amp;J$44&amp;"Cost",INDIRECT("'"&amp;$B75&amp;"'!$F$23:$AJ$23")&amp;INDIRECT("'"&amp;$B75&amp;"'!$F$24:$AJ$24")&amp;INDIRECT("'"&amp;$B75&amp;"'!$F$25:$AJ$25")&amp;INDIRECT("'"&amp;$B75&amp;"'!$F$30:$AJ$30"),0))</f>
        <v>1138.9607300597761</v>
      </c>
      <c r="K75" s="320">
        <f ca="1">J75-D75</f>
        <v>66.913579631205039</v>
      </c>
      <c r="L75" s="316">
        <f t="shared" ca="1" si="0"/>
        <v>6.2416638675318596E-2</v>
      </c>
      <c r="M75" s="13"/>
      <c r="N75" s="199"/>
      <c r="O75" s="199"/>
    </row>
    <row r="76" spans="1:16" x14ac:dyDescent="0.25">
      <c r="A76" s="64"/>
      <c r="B76" s="93" t="str">
        <f>B75</f>
        <v>SAPN</v>
      </c>
      <c r="C76" s="3" t="s">
        <v>64</v>
      </c>
      <c r="D76" s="131">
        <f t="array" aca="1" ref="D76" ca="1">INDEX(INDIRECT("'"&amp;$B76&amp;"'!$F$23:$AJ$39"),MATCH($C76,INDIRECT("'"&amp;$B76&amp;"'!$F$23:$F$39"),0),MATCH($B$44&amp;$C$44&amp;D$44&amp;"Cost",INDIRECT("'"&amp;$B76&amp;"'!$F$23:$AJ$23")&amp;INDIRECT("'"&amp;$B76&amp;"'!$F$24:$AJ$24")&amp;INDIRECT("'"&amp;$B76&amp;"'!$F$25:$AJ$25")&amp;INDIRECT("'"&amp;$B76&amp;"'!$F$30:$AJ$30"),0))</f>
        <v>146.256</v>
      </c>
      <c r="E76" s="166"/>
      <c r="F76" s="166"/>
      <c r="G76" s="166">
        <f ca="1">ABS($J76-$D76)</f>
        <v>37.885836443145166</v>
      </c>
      <c r="H76" s="166"/>
      <c r="I76" s="166"/>
      <c r="J76" s="131">
        <f t="array" aca="1" ref="J76" ca="1">INDEX(INDIRECT("'"&amp;$B76&amp;"'!$F$23:$AJ$39"),MATCH($C76,INDIRECT("'"&amp;$B76&amp;"'!$F$23:$F$39"),0),MATCH($B$44&amp;$C$44&amp;J$44&amp;"Cost",INDIRECT("'"&amp;$B76&amp;"'!$F$23:$AJ$23")&amp;INDIRECT("'"&amp;$B76&amp;"'!$F$24:$AJ$24")&amp;INDIRECT("'"&amp;$B76&amp;"'!$F$25:$AJ$25")&amp;INDIRECT("'"&amp;$B76&amp;"'!$F$30:$AJ$30"),0))</f>
        <v>108.37016355685483</v>
      </c>
      <c r="K76" s="320">
        <f ca="1">J76-D76</f>
        <v>-37.885836443145166</v>
      </c>
      <c r="L76" s="316">
        <f t="shared" ca="1" si="0"/>
        <v>-0.25903782711919626</v>
      </c>
      <c r="M76" s="13"/>
      <c r="N76" s="13"/>
      <c r="O76" s="13"/>
    </row>
    <row r="77" spans="1:16" x14ac:dyDescent="0.25">
      <c r="A77" s="64"/>
      <c r="B77" s="93" t="str">
        <f t="shared" ref="B77:B78" si="5">B76</f>
        <v>SAPN</v>
      </c>
      <c r="C77" s="3" t="s">
        <v>168</v>
      </c>
      <c r="D77" s="131">
        <f t="array" aca="1" ref="D77" ca="1">INDEX(INDIRECT("'"&amp;$B77&amp;"'!$F$23:$AJ$39"),MATCH($C77,INDIRECT("'"&amp;$B77&amp;"'!$F$23:$F$39"),0),MATCH($B$44&amp;$C$44&amp;D$44&amp;"Cost",INDIRECT("'"&amp;$B77&amp;"'!$F$23:$AJ$23")&amp;INDIRECT("'"&amp;$B77&amp;"'!$F$24:$AJ$24")&amp;INDIRECT("'"&amp;$B77&amp;"'!$F$25:$AJ$25")&amp;INDIRECT("'"&amp;$B77&amp;"'!$F$30:$AJ$30"),0))</f>
        <v>270.60522984000005</v>
      </c>
      <c r="E77" s="166"/>
      <c r="F77" s="166"/>
      <c r="G77" s="166"/>
      <c r="H77" s="166">
        <f ca="1">ABS($J77-$D77)</f>
        <v>63.868767037616749</v>
      </c>
      <c r="I77" s="166"/>
      <c r="J77" s="131">
        <f t="array" aca="1" ref="J77" ca="1">INDEX(INDIRECT("'"&amp;$B77&amp;"'!$F$23:$AJ$39"),MATCH($C77,INDIRECT("'"&amp;$B77&amp;"'!$F$23:$F$39"),0),MATCH($B$44&amp;$C$44&amp;J$44&amp;"Cost",INDIRECT("'"&amp;$B77&amp;"'!$F$23:$AJ$23")&amp;INDIRECT("'"&amp;$B77&amp;"'!$F$24:$AJ$24")&amp;INDIRECT("'"&amp;$B77&amp;"'!$F$25:$AJ$25")&amp;INDIRECT("'"&amp;$B77&amp;"'!$F$30:$AJ$30"),0))</f>
        <v>334.4739968776168</v>
      </c>
      <c r="K77" s="320">
        <f ca="1">J77-D77</f>
        <v>63.868767037616749</v>
      </c>
      <c r="L77" s="316">
        <f t="shared" ca="1" si="0"/>
        <v>0.23602192417116344</v>
      </c>
      <c r="M77" s="13"/>
      <c r="N77" s="13"/>
      <c r="O77" s="13"/>
    </row>
    <row r="78" spans="1:16" x14ac:dyDescent="0.25">
      <c r="A78" s="64"/>
      <c r="B78" s="93" t="str">
        <f t="shared" si="5"/>
        <v>SAPN</v>
      </c>
      <c r="C78" s="3" t="s">
        <v>210</v>
      </c>
      <c r="D78" s="131">
        <f t="array" aca="1" ref="D78" ca="1">INDEX(INDIRECT("'"&amp;$B78&amp;"'!$F$23:$AJ$39"),MATCH($C78,INDIRECT("'"&amp;$B78&amp;"'!$F$23:$F$39"),0),MATCH($B$44&amp;$C$44&amp;D$44&amp;"Cost",INDIRECT("'"&amp;$B78&amp;"'!$F$23:$AJ$23")&amp;INDIRECT("'"&amp;$B78&amp;"'!$F$24:$AJ$24")&amp;INDIRECT("'"&amp;$B78&amp;"'!$F$25:$AJ$25")&amp;INDIRECT("'"&amp;$B78&amp;"'!$F$30:$AJ$30"),0))</f>
        <v>165.57627640012151</v>
      </c>
      <c r="E78" s="166"/>
      <c r="F78" s="166"/>
      <c r="G78" s="166"/>
      <c r="H78" s="166"/>
      <c r="I78" s="166">
        <f ca="1">ABS($J78-$D78)</f>
        <v>3.8577417589690413</v>
      </c>
      <c r="J78" s="131">
        <f t="array" aca="1" ref="J78" ca="1">INDEX(INDIRECT("'"&amp;$B78&amp;"'!$F$23:$AJ$39"),MATCH($C78,INDIRECT("'"&amp;$B78&amp;"'!$F$23:$F$39"),0),MATCH($B$44&amp;$C$44&amp;J$44&amp;"Cost",INDIRECT("'"&amp;$B78&amp;"'!$F$23:$AJ$23")&amp;INDIRECT("'"&amp;$B78&amp;"'!$F$24:$AJ$24")&amp;INDIRECT("'"&amp;$B78&amp;"'!$F$25:$AJ$25")&amp;INDIRECT("'"&amp;$B78&amp;"'!$F$30:$AJ$30"),0))</f>
        <v>169.43401815909056</v>
      </c>
      <c r="K78" s="320">
        <f ca="1">J78-D78</f>
        <v>3.8577417589690413</v>
      </c>
      <c r="L78" s="316">
        <f t="shared" ca="1" si="0"/>
        <v>2.3298879784243113E-2</v>
      </c>
      <c r="M78" s="13"/>
      <c r="N78" s="13"/>
      <c r="O78" s="199"/>
    </row>
    <row r="79" spans="1:16" x14ac:dyDescent="0.25">
      <c r="A79" s="64"/>
      <c r="B79" s="94" t="str">
        <f>B77</f>
        <v>SAPN</v>
      </c>
      <c r="C79" s="95" t="s">
        <v>117</v>
      </c>
      <c r="D79" s="167">
        <f ca="1">ROUND(SUM(D73:D78),0)</f>
        <v>2760</v>
      </c>
      <c r="E79" s="286"/>
      <c r="F79" s="286"/>
      <c r="G79" s="286"/>
      <c r="H79" s="286"/>
      <c r="I79" s="286"/>
      <c r="J79" s="167">
        <f ca="1">ROUND(SUM(J73:J78),0)</f>
        <v>2824</v>
      </c>
      <c r="K79" s="321">
        <f ca="1">+J79-D79</f>
        <v>64</v>
      </c>
      <c r="L79" s="318">
        <f t="shared" ca="1" si="0"/>
        <v>2.318840579710145E-2</v>
      </c>
      <c r="M79" s="103"/>
      <c r="N79" s="13"/>
      <c r="O79" s="199"/>
      <c r="P79" s="124"/>
    </row>
    <row r="81" spans="4:4" x14ac:dyDescent="0.25">
      <c r="D81" s="221"/>
    </row>
  </sheetData>
  <sheetProtection algorithmName="SHA-256" hashValue="NfxqjxSYxDUs6R9OnNSfmwfx86GF5/b3M7CpxfE+jAo=" saltValue="qo3leBbXdyDfXTmogEH5nQ==" spinCount="100000" sheet="1" formatCells="0" formatColumns="0" formatRows="0" insertColumns="0" insertRows="0" insertHyperlinks="0" deleteColumns="0" deleteRows="0" sort="0" autoFilter="0" pivotTables="0"/>
  <mergeCells count="2">
    <mergeCell ref="A1:B1"/>
    <mergeCell ref="K44:L44"/>
  </mergeCells>
  <conditionalFormatting sqref="B45:L79">
    <cfRule type="expression" dxfId="348" priority="1">
      <formula>MOD(ROW(),2)=0</formula>
    </cfRule>
  </conditionalFormatting>
  <conditionalFormatting sqref="M79">
    <cfRule type="cellIs" dxfId="347" priority="15" operator="equal">
      <formula>FALSE</formula>
    </cfRule>
    <cfRule type="cellIs" dxfId="346" priority="16" operator="equal">
      <formula>TRUE</formula>
    </cfRule>
  </conditionalFormatting>
  <hyperlinks>
    <hyperlink ref="A1" location="Index!A1" display="&lt;&lt;Back to Index" xr:uid="{A681BB26-242E-4A29-A012-595523F25216}"/>
  </hyperlinks>
  <pageMargins left="0.7" right="0.7" top="0.75" bottom="0.75" header="0.3" footer="0.3"/>
  <pageSetup paperSize="9" orientation="portrait" r:id="rId1"/>
  <headerFooter>
    <oddHeader>&amp;C&amp;"Calibri"&amp;10&amp;KFF0000 OFFICIAL SENSITIVE&amp;1#_x000D_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1AF22-FB34-41B8-B03F-08376903D704}">
  <sheetPr>
    <tabColor rgb="FFC06C7C"/>
  </sheetPr>
  <dimension ref="A1:S79"/>
  <sheetViews>
    <sheetView zoomScaleNormal="100" workbookViewId="0">
      <selection sqref="A1:B1"/>
    </sheetView>
  </sheetViews>
  <sheetFormatPr defaultColWidth="8.85546875" defaultRowHeight="15" x14ac:dyDescent="0.25"/>
  <cols>
    <col min="1" max="1" width="3.140625" style="3" customWidth="1"/>
    <col min="2" max="2" width="10.140625" style="3" bestFit="1" customWidth="1"/>
    <col min="3" max="3" width="17.42578125" style="3" bestFit="1" customWidth="1"/>
    <col min="4" max="4" width="9" style="3" bestFit="1" customWidth="1"/>
    <col min="5" max="5" width="14.140625" style="3" bestFit="1" customWidth="1"/>
    <col min="6" max="6" width="16" style="3" bestFit="1" customWidth="1"/>
    <col min="7" max="7" width="19.5703125" style="3" bestFit="1" customWidth="1"/>
    <col min="8" max="8" width="11.42578125" style="3" bestFit="1" customWidth="1"/>
    <col min="9" max="9" width="16.42578125" style="3" bestFit="1" customWidth="1"/>
    <col min="10" max="10" width="9" style="3" bestFit="1" customWidth="1"/>
    <col min="11" max="11" width="9.85546875" style="3" customWidth="1"/>
    <col min="12" max="24" width="10.85546875" style="3" customWidth="1"/>
    <col min="25" max="25" width="12" style="3" customWidth="1"/>
    <col min="26" max="16384" width="8.85546875" style="3"/>
  </cols>
  <sheetData>
    <row r="1" spans="1:2" ht="10.35" customHeight="1" x14ac:dyDescent="0.25">
      <c r="A1" s="430" t="s">
        <v>18</v>
      </c>
      <c r="B1" s="431"/>
    </row>
    <row r="2" spans="1:2" s="14" customFormat="1" ht="22.5" customHeight="1" x14ac:dyDescent="0.25">
      <c r="A2" s="15" t="s">
        <v>337</v>
      </c>
      <c r="B2" s="15"/>
    </row>
    <row r="3" spans="1:2" x14ac:dyDescent="0.25">
      <c r="B3" s="89" t="s">
        <v>129</v>
      </c>
    </row>
    <row r="41" spans="1:19" x14ac:dyDescent="0.25">
      <c r="B41" s="98"/>
    </row>
    <row r="44" spans="1:19" s="5" customFormat="1" x14ac:dyDescent="0.25">
      <c r="B44" s="96" t="s">
        <v>77</v>
      </c>
      <c r="C44" s="97" t="s">
        <v>127</v>
      </c>
      <c r="D44" s="164" t="str">
        <f>PY</f>
        <v>2024-25</v>
      </c>
      <c r="E44" s="164" t="s">
        <v>62</v>
      </c>
      <c r="F44" s="164" t="s">
        <v>63</v>
      </c>
      <c r="G44" s="164" t="s">
        <v>64</v>
      </c>
      <c r="H44" s="164" t="s">
        <v>168</v>
      </c>
      <c r="I44" s="164" t="s">
        <v>210</v>
      </c>
      <c r="J44" s="164" t="str">
        <f>FY</f>
        <v>2025-26</v>
      </c>
      <c r="K44" s="463" t="s">
        <v>20</v>
      </c>
      <c r="L44" s="464"/>
      <c r="M44" s="102"/>
    </row>
    <row r="45" spans="1:19" x14ac:dyDescent="0.25">
      <c r="A45" s="64" t="str">
        <f>B45&amp;" "&amp;$B$44&amp;" "&amp;$C$44&amp;" $"</f>
        <v>Ausgrid Small Business without CL $</v>
      </c>
      <c r="B45" s="91" t="s">
        <v>2</v>
      </c>
      <c r="C45" s="92" t="s">
        <v>156</v>
      </c>
      <c r="D45" s="165">
        <v>0</v>
      </c>
      <c r="E45" s="165">
        <f ca="1">IF($K46&lt;0,SUM(D45:D50)+$K46,SUM(D45:D50))</f>
        <v>4611.8615329112563</v>
      </c>
      <c r="F45" s="165">
        <f ca="1">IF($K47&lt;0,IF($K46&lt;0,E45+$K47,E45+$K46+$K47),IF($K46&lt;0,E45,E45+$K46))</f>
        <v>4779.0076678332343</v>
      </c>
      <c r="G45" s="165">
        <f ca="1">IF($K48&lt;0,IF($K47&lt;0,F45+$K48,F45+$K47+$K48),IF($K47&lt;0,F45,F45+$K47))</f>
        <v>4841.6044283550473</v>
      </c>
      <c r="H45" s="165">
        <f ca="1">IF($K49&lt;0,IF($K48&lt;0,G45+$K49,G45+$K48+$K49),IF($K48&lt;0,G45,G45+$K48))</f>
        <v>4841.6044283550473</v>
      </c>
      <c r="I45" s="165">
        <f ca="1">IF($K50&lt;0,IF($K49&lt;0,H45+$K50,H45+$K49+$K50),IF($K49&lt;0,H45,H45+$K49))</f>
        <v>4937.2626746079404</v>
      </c>
      <c r="J45" s="165"/>
      <c r="K45" s="314"/>
      <c r="L45" s="315"/>
      <c r="M45" s="13"/>
      <c r="N45" s="13"/>
      <c r="O45" s="13"/>
      <c r="P45" s="13"/>
      <c r="Q45" s="13"/>
      <c r="R45" s="13"/>
      <c r="S45" s="13"/>
    </row>
    <row r="46" spans="1:19" x14ac:dyDescent="0.25">
      <c r="A46" s="64"/>
      <c r="B46" s="93" t="str">
        <f>B45</f>
        <v>Ausgrid</v>
      </c>
      <c r="C46" s="3" t="s">
        <v>62</v>
      </c>
      <c r="D46" s="131" cm="1">
        <f t="array" aca="1" ref="D46" ca="1">INDEX(INDIRECT("'"&amp;$B46&amp;"'!$F$23:$AJ$39"),MATCH($C46,INDIRECT("'"&amp;$B46&amp;"'!$F$23:$F$39"),0),MATCH($B$44&amp;$C$44&amp;D$44&amp;"Cost",INDIRECT("'"&amp;$B46&amp;"'!$F$23:$AJ$23")&amp;INDIRECT("'"&amp;$B46&amp;"'!$F$24:$AJ$24")&amp;INDIRECT("'"&amp;$B46&amp;"'!$F$25:$AJ$25")&amp;INDIRECT("'"&amp;$B46&amp;"'!$F$30:$AJ$30"),0))</f>
        <v>1756.1919530464475</v>
      </c>
      <c r="E46" s="166">
        <f ca="1">ABS($J46-$D46)</f>
        <v>167.14613492197782</v>
      </c>
      <c r="F46" s="166"/>
      <c r="G46" s="166"/>
      <c r="H46" s="166"/>
      <c r="I46" s="166"/>
      <c r="J46" s="131">
        <f t="array" aca="1" ref="J46" ca="1">INDEX(INDIRECT("'"&amp;$B46&amp;"'!$F$23:$AJ$39"),MATCH($C46,INDIRECT("'"&amp;$B46&amp;"'!$F$23:$F$39"),0),MATCH($B$44&amp;$C$44&amp;J$44&amp;"Cost",INDIRECT("'"&amp;$B46&amp;"'!$F$23:$AJ$23")&amp;INDIRECT("'"&amp;$B46&amp;"'!$F$24:$AJ$24")&amp;INDIRECT("'"&amp;$B46&amp;"'!$F$25:$AJ$25")&amp;INDIRECT("'"&amp;$B46&amp;"'!$F$30:$AJ$30"),0))</f>
        <v>1923.3380879684253</v>
      </c>
      <c r="K46" s="320">
        <f ca="1">J46-D46</f>
        <v>167.14613492197782</v>
      </c>
      <c r="L46" s="316">
        <f ca="1">+K46/D46</f>
        <v>9.5175322169100712E-2</v>
      </c>
      <c r="M46" s="13"/>
      <c r="N46" s="199"/>
      <c r="O46" s="13"/>
      <c r="P46" s="13"/>
      <c r="Q46" s="13"/>
      <c r="R46" s="13"/>
      <c r="S46" s="13"/>
    </row>
    <row r="47" spans="1:19" x14ac:dyDescent="0.25">
      <c r="A47" s="64"/>
      <c r="B47" s="93" t="str">
        <f>B46</f>
        <v>Ausgrid</v>
      </c>
      <c r="C47" s="3" t="s">
        <v>63</v>
      </c>
      <c r="D47" s="131" cm="1">
        <f t="array" aca="1" ref="D47" ca="1">INDEX(INDIRECT("'"&amp;$B47&amp;"'!$F$23:$AJ$39"),MATCH($C47,INDIRECT("'"&amp;$B47&amp;"'!$F$23:$F$39"),0),MATCH($B$44&amp;$C$44&amp;D$44&amp;"Cost",INDIRECT("'"&amp;$B47&amp;"'!$F$23:$AJ$23")&amp;INDIRECT("'"&amp;$B47&amp;"'!$F$24:$AJ$24")&amp;INDIRECT("'"&amp;$B47&amp;"'!$F$25:$AJ$25")&amp;INDIRECT("'"&amp;$B47&amp;"'!$F$30:$AJ$30"),0))</f>
        <v>1806.0313464285709</v>
      </c>
      <c r="E47" s="166"/>
      <c r="F47" s="166">
        <f ca="1">ABS($J47-$D47)</f>
        <v>103.42773666677886</v>
      </c>
      <c r="G47" s="166"/>
      <c r="H47" s="166"/>
      <c r="I47" s="166"/>
      <c r="J47" s="131">
        <f t="array" aca="1" ref="J47" ca="1">INDEX(INDIRECT("'"&amp;$B47&amp;"'!$F$23:$AJ$39"),MATCH($C47,INDIRECT("'"&amp;$B47&amp;"'!$F$23:$F$39"),0),MATCH($B$44&amp;$C$44&amp;J$44&amp;"Cost",INDIRECT("'"&amp;$B47&amp;"'!$F$23:$AJ$23")&amp;INDIRECT("'"&amp;$B47&amp;"'!$F$24:$AJ$24")&amp;INDIRECT("'"&amp;$B47&amp;"'!$F$25:$AJ$25")&amp;INDIRECT("'"&amp;$B47&amp;"'!$F$30:$AJ$30"),0))</f>
        <v>1909.4590830953498</v>
      </c>
      <c r="K47" s="320">
        <f ca="1">J47-D47</f>
        <v>103.42773666677886</v>
      </c>
      <c r="L47" s="316">
        <f t="shared" ref="L47:L79" ca="1" si="0">+K47/D47</f>
        <v>5.7267963189734955E-2</v>
      </c>
      <c r="M47" s="13"/>
      <c r="N47" s="199"/>
      <c r="O47" s="199"/>
      <c r="P47" s="13"/>
      <c r="Q47" s="13"/>
      <c r="R47" s="13"/>
      <c r="S47" s="13"/>
    </row>
    <row r="48" spans="1:19" x14ac:dyDescent="0.25">
      <c r="A48" s="64"/>
      <c r="B48" s="93" t="str">
        <f>B47</f>
        <v>Ausgrid</v>
      </c>
      <c r="C48" s="3" t="s">
        <v>64</v>
      </c>
      <c r="D48" s="131">
        <f t="array" aca="1" ref="D48" ca="1">INDEX(INDIRECT("'"&amp;$B48&amp;"'!$F$23:$AJ$39"),MATCH($C48,INDIRECT("'"&amp;$B48&amp;"'!$F$23:$F$39"),0),MATCH($B$44&amp;$C$44&amp;D$44&amp;"Cost",INDIRECT("'"&amp;$B48&amp;"'!$F$23:$AJ$23")&amp;INDIRECT("'"&amp;$B48&amp;"'!$F$24:$AJ$24")&amp;INDIRECT("'"&amp;$B48&amp;"'!$F$25:$AJ$25")&amp;INDIRECT("'"&amp;$B48&amp;"'!$F$30:$AJ$30"),0))</f>
        <v>216.04000000000002</v>
      </c>
      <c r="E48" s="166"/>
      <c r="F48" s="166"/>
      <c r="G48" s="166">
        <f ca="1">ABS($J48-$D48)</f>
        <v>40.830976144965859</v>
      </c>
      <c r="H48" s="166"/>
      <c r="I48" s="166"/>
      <c r="J48" s="131">
        <f t="array" aca="1" ref="J48" ca="1">INDEX(INDIRECT("'"&amp;$B48&amp;"'!$F$23:$AJ$39"),MATCH($C48,INDIRECT("'"&amp;$B48&amp;"'!$F$23:$F$39"),0),MATCH($B$44&amp;$C$44&amp;J$44&amp;"Cost",INDIRECT("'"&amp;$B48&amp;"'!$F$23:$AJ$23")&amp;INDIRECT("'"&amp;$B48&amp;"'!$F$24:$AJ$24")&amp;INDIRECT("'"&amp;$B48&amp;"'!$F$25:$AJ$25")&amp;INDIRECT("'"&amp;$B48&amp;"'!$F$30:$AJ$30"),0))</f>
        <v>175.20902385503416</v>
      </c>
      <c r="K48" s="320">
        <f ca="1">J48-D48</f>
        <v>-40.830976144965859</v>
      </c>
      <c r="L48" s="316">
        <f t="shared" ca="1" si="0"/>
        <v>-0.18899729746790342</v>
      </c>
      <c r="M48" s="13"/>
      <c r="N48" s="13"/>
      <c r="O48" s="13"/>
      <c r="P48" s="13"/>
      <c r="Q48" s="13"/>
      <c r="R48" s="13"/>
      <c r="S48" s="13"/>
    </row>
    <row r="49" spans="1:19" x14ac:dyDescent="0.25">
      <c r="A49" s="64"/>
      <c r="B49" s="93" t="str">
        <f t="shared" ref="B49:B50" si="1">B48</f>
        <v>Ausgrid</v>
      </c>
      <c r="C49" s="3" t="s">
        <v>168</v>
      </c>
      <c r="D49" s="131">
        <f t="array" aca="1" ref="D49" ca="1">INDEX(INDIRECT("'"&amp;$B49&amp;"'!$F$23:$AJ$39"),MATCH($C49,INDIRECT("'"&amp;$B49&amp;"'!$F$23:$F$39"),0),MATCH($B$44&amp;$C$44&amp;D$44&amp;"Cost",INDIRECT("'"&amp;$B49&amp;"'!$F$23:$AJ$23")&amp;INDIRECT("'"&amp;$B49&amp;"'!$F$24:$AJ$24")&amp;INDIRECT("'"&amp;$B49&amp;"'!$F$25:$AJ$25")&amp;INDIRECT("'"&amp;$B49&amp;"'!$F$30:$AJ$30"),0))</f>
        <v>326.29346481599998</v>
      </c>
      <c r="E49" s="166"/>
      <c r="F49" s="166"/>
      <c r="G49" s="166"/>
      <c r="H49" s="166">
        <f ca="1">ABS($J49-$D49)</f>
        <v>95.658246252893605</v>
      </c>
      <c r="I49" s="166"/>
      <c r="J49" s="131">
        <f t="array" aca="1" ref="J49" ca="1">INDEX(INDIRECT("'"&amp;$B49&amp;"'!$F$23:$AJ$39"),MATCH($C49,INDIRECT("'"&amp;$B49&amp;"'!$F$23:$F$39"),0),MATCH($B$44&amp;$C$44&amp;J$44&amp;"Cost",INDIRECT("'"&amp;$B49&amp;"'!$F$23:$AJ$23")&amp;INDIRECT("'"&amp;$B49&amp;"'!$F$24:$AJ$24")&amp;INDIRECT("'"&amp;$B49&amp;"'!$F$25:$AJ$25")&amp;INDIRECT("'"&amp;$B49&amp;"'!$F$30:$AJ$30"),0))</f>
        <v>421.95171106889359</v>
      </c>
      <c r="K49" s="320">
        <f ca="1">J49-D49</f>
        <v>95.658246252893605</v>
      </c>
      <c r="L49" s="316">
        <f t="shared" ca="1" si="0"/>
        <v>0.2931662952760522</v>
      </c>
      <c r="M49" s="13"/>
      <c r="N49" s="13"/>
      <c r="O49" s="13"/>
      <c r="P49" s="13"/>
      <c r="Q49" s="13"/>
      <c r="R49" s="13"/>
      <c r="S49" s="13"/>
    </row>
    <row r="50" spans="1:19" x14ac:dyDescent="0.25">
      <c r="A50" s="64"/>
      <c r="B50" s="93" t="str">
        <f t="shared" si="1"/>
        <v>Ausgrid</v>
      </c>
      <c r="C50" s="3" t="s">
        <v>210</v>
      </c>
      <c r="D50" s="131">
        <f t="array" aca="1" ref="D50" ca="1">INDEX(INDIRECT("'"&amp;$B50&amp;"'!$F$23:$AJ$39"),MATCH($C50,INDIRECT("'"&amp;$B50&amp;"'!$F$23:$F$39"),0),MATCH($B$44&amp;$C$44&amp;D$44&amp;"Cost",INDIRECT("'"&amp;$B50&amp;"'!$F$23:$AJ$23")&amp;INDIRECT("'"&amp;$B50&amp;"'!$F$24:$AJ$24")&amp;INDIRECT("'"&amp;$B50&amp;"'!$F$25:$AJ$25")&amp;INDIRECT("'"&amp;$B50&amp;"'!$F$30:$AJ$30"),0))</f>
        <v>507.30476862023806</v>
      </c>
      <c r="E50" s="166"/>
      <c r="F50" s="166"/>
      <c r="G50" s="166"/>
      <c r="H50" s="166"/>
      <c r="I50" s="166">
        <f ca="1">ABS($J50-$D50)</f>
        <v>40.218118636668805</v>
      </c>
      <c r="J50" s="131">
        <f t="array" aca="1" ref="J50" ca="1">INDEX(INDIRECT("'"&amp;$B50&amp;"'!$F$23:$AJ$39"),MATCH($C50,INDIRECT("'"&amp;$B50&amp;"'!$F$23:$F$39"),0),MATCH($B$44&amp;$C$44&amp;J$44&amp;"Cost",INDIRECT("'"&amp;$B50&amp;"'!$F$23:$AJ$23")&amp;INDIRECT("'"&amp;$B50&amp;"'!$F$24:$AJ$24")&amp;INDIRECT("'"&amp;$B50&amp;"'!$F$25:$AJ$25")&amp;INDIRECT("'"&amp;$B50&amp;"'!$F$30:$AJ$30"),0))</f>
        <v>547.52288725690687</v>
      </c>
      <c r="K50" s="320">
        <f ca="1">J50-D50</f>
        <v>40.218118636668805</v>
      </c>
      <c r="L50" s="316">
        <f t="shared" ca="1" si="0"/>
        <v>7.9278022057733863E-2</v>
      </c>
      <c r="M50" s="13"/>
      <c r="N50" s="13"/>
      <c r="O50" s="199"/>
      <c r="P50" s="13"/>
      <c r="Q50" s="13"/>
      <c r="R50" s="13"/>
      <c r="S50" s="13"/>
    </row>
    <row r="51" spans="1:19" x14ac:dyDescent="0.25">
      <c r="A51" s="64"/>
      <c r="B51" s="94" t="str">
        <f>B49</f>
        <v>Ausgrid</v>
      </c>
      <c r="C51" s="95" t="s">
        <v>117</v>
      </c>
      <c r="D51" s="167">
        <f ca="1">ROUND(SUM(D45:D50),0)</f>
        <v>4612</v>
      </c>
      <c r="E51" s="167"/>
      <c r="F51" s="167"/>
      <c r="G51" s="167"/>
      <c r="H51" s="167"/>
      <c r="I51" s="167"/>
      <c r="J51" s="167">
        <f ca="1">ROUND(SUM(J45:J50),0)</f>
        <v>4977</v>
      </c>
      <c r="K51" s="321">
        <f ca="1">+J51-D51</f>
        <v>365</v>
      </c>
      <c r="L51" s="316">
        <f t="shared" ca="1" si="0"/>
        <v>7.9141370338248043E-2</v>
      </c>
      <c r="M51" s="13"/>
      <c r="N51" s="13"/>
      <c r="O51" s="199"/>
      <c r="P51" s="124"/>
      <c r="Q51" s="13"/>
      <c r="R51" s="13"/>
      <c r="S51" s="13"/>
    </row>
    <row r="52" spans="1:19" x14ac:dyDescent="0.25">
      <c r="A52" s="64" t="str">
        <f>B52&amp;" "&amp;$B$44&amp;" "&amp;$C$44&amp;" $"</f>
        <v>Endeavour Small Business without CL $</v>
      </c>
      <c r="B52" s="91" t="s">
        <v>4</v>
      </c>
      <c r="C52" s="92" t="s">
        <v>156</v>
      </c>
      <c r="D52" s="165">
        <v>0</v>
      </c>
      <c r="E52" s="165">
        <f ca="1">IF($K53&lt;0,SUM(D52:D57)+$K53,SUM(D52:D57))</f>
        <v>4421.7532052006418</v>
      </c>
      <c r="F52" s="165">
        <f ca="1">IF($K54&lt;0,IF($K53&lt;0,E52+$K54,E52+$K53+$K54),IF($K53&lt;0,E52,E52+$K53))</f>
        <v>4565.3537172006418</v>
      </c>
      <c r="G52" s="165">
        <f ca="1">IF($K55&lt;0,IF($K54&lt;0,F52+$K55,F52+$K54+$K55),IF($K54&lt;0,F52,F52+$K54))</f>
        <v>4623.8200576178206</v>
      </c>
      <c r="H52" s="165">
        <f ca="1">IF($K56&lt;0,IF($K55&lt;0,G52+$K56,G52+$K55+$K56),IF($K55&lt;0,G52,G52+$K55))</f>
        <v>4623.8200576178206</v>
      </c>
      <c r="I52" s="165">
        <f ca="1">IF($K57&lt;0,IF($K56&lt;0,H52+$K57,H52+$K56+$K57),IF($K56&lt;0,H52,H52+$K56))</f>
        <v>4736.3538271408779</v>
      </c>
      <c r="J52" s="165">
        <v>0</v>
      </c>
      <c r="K52" s="322"/>
      <c r="L52" s="317"/>
      <c r="M52" s="13"/>
    </row>
    <row r="53" spans="1:19" x14ac:dyDescent="0.25">
      <c r="A53" s="64"/>
      <c r="B53" s="93" t="str">
        <f>B52</f>
        <v>Endeavour</v>
      </c>
      <c r="C53" s="3" t="s">
        <v>62</v>
      </c>
      <c r="D53" s="131">
        <f t="array" aca="1" ref="D53" ca="1">INDEX(INDIRECT("'"&amp;$B53&amp;"'!$F$23:$AJ$39"),MATCH($C53,INDIRECT("'"&amp;$B53&amp;"'!$F$23:$F$39"),0),MATCH($B$44&amp;$C$44&amp;D$44&amp;"Cost",INDIRECT("'"&amp;$B53&amp;"'!$F$23:$AJ$23")&amp;INDIRECT("'"&amp;$B53&amp;"'!$F$24:$AJ$24")&amp;INDIRECT("'"&amp;$B53&amp;"'!$F$25:$AJ$25")&amp;INDIRECT("'"&amp;$B53&amp;"'!$F$30:$AJ$30"),0))</f>
        <v>1453.9531930000001</v>
      </c>
      <c r="E53" s="166">
        <f ca="1">ABS($J53-$D53)</f>
        <v>143.60051199999975</v>
      </c>
      <c r="F53" s="166"/>
      <c r="G53" s="166"/>
      <c r="H53" s="166"/>
      <c r="I53" s="166"/>
      <c r="J53" s="131">
        <f t="array" aca="1" ref="J53" ca="1">INDEX(INDIRECT("'"&amp;$B53&amp;"'!$F$23:$AJ$39"),MATCH($C53,INDIRECT("'"&amp;$B53&amp;"'!$F$23:$F$39"),0),MATCH($B$44&amp;$C$44&amp;J$44&amp;"Cost",INDIRECT("'"&amp;$B53&amp;"'!$F$23:$AJ$23")&amp;INDIRECT("'"&amp;$B53&amp;"'!$F$24:$AJ$24")&amp;INDIRECT("'"&amp;$B53&amp;"'!$F$25:$AJ$25")&amp;INDIRECT("'"&amp;$B53&amp;"'!$F$30:$AJ$30"),0))</f>
        <v>1597.5537049999998</v>
      </c>
      <c r="K53" s="320">
        <f ca="1">J53-D53</f>
        <v>143.60051199999975</v>
      </c>
      <c r="L53" s="316">
        <f t="shared" ca="1" si="0"/>
        <v>9.8765567345192901E-2</v>
      </c>
      <c r="M53" s="13"/>
      <c r="N53" s="199"/>
      <c r="O53" s="13"/>
    </row>
    <row r="54" spans="1:19" x14ac:dyDescent="0.25">
      <c r="A54" s="64"/>
      <c r="B54" s="93" t="str">
        <f>B53</f>
        <v>Endeavour</v>
      </c>
      <c r="C54" s="3" t="s">
        <v>63</v>
      </c>
      <c r="D54" s="131">
        <f t="array" aca="1" ref="D54" ca="1">INDEX(INDIRECT("'"&amp;$B54&amp;"'!$F$23:$AJ$39"),MATCH($C54,INDIRECT("'"&amp;$B54&amp;"'!$F$23:$F$39"),0),MATCH($B$44&amp;$C$44&amp;D$44&amp;"Cost",INDIRECT("'"&amp;$B54&amp;"'!$F$23:$AJ$23")&amp;INDIRECT("'"&amp;$B54&amp;"'!$F$24:$AJ$24")&amp;INDIRECT("'"&amp;$B54&amp;"'!$F$25:$AJ$25")&amp;INDIRECT("'"&amp;$B54&amp;"'!$F$30:$AJ$30"),0))</f>
        <v>1923.8413464285716</v>
      </c>
      <c r="E54" s="166"/>
      <c r="F54" s="166">
        <f ca="1">ABS($J54-$D54)</f>
        <v>97.994044473374288</v>
      </c>
      <c r="G54" s="166"/>
      <c r="H54" s="166"/>
      <c r="I54" s="166"/>
      <c r="J54" s="131">
        <f t="array" aca="1" ref="J54" ca="1">INDEX(INDIRECT("'"&amp;$B54&amp;"'!$F$23:$AJ$39"),MATCH($C54,INDIRECT("'"&amp;$B54&amp;"'!$F$23:$F$39"),0),MATCH($B$44&amp;$C$44&amp;J$44&amp;"Cost",INDIRECT("'"&amp;$B54&amp;"'!$F$23:$AJ$23")&amp;INDIRECT("'"&amp;$B54&amp;"'!$F$24:$AJ$24")&amp;INDIRECT("'"&amp;$B54&amp;"'!$F$25:$AJ$25")&amp;INDIRECT("'"&amp;$B54&amp;"'!$F$30:$AJ$30"),0))</f>
        <v>2021.8353909019459</v>
      </c>
      <c r="K54" s="320">
        <f ca="1">J54-D54</f>
        <v>97.994044473374288</v>
      </c>
      <c r="L54" s="316">
        <f t="shared" ca="1" si="0"/>
        <v>5.0936655798198179E-2</v>
      </c>
      <c r="M54" s="13"/>
      <c r="N54" s="199"/>
      <c r="O54" s="199"/>
    </row>
    <row r="55" spans="1:19" x14ac:dyDescent="0.25">
      <c r="A55" s="64"/>
      <c r="B55" s="93" t="str">
        <f>B54</f>
        <v>Endeavour</v>
      </c>
      <c r="C55" s="3" t="s">
        <v>64</v>
      </c>
      <c r="D55" s="131">
        <f t="array" aca="1" ref="D55" ca="1">INDEX(INDIRECT("'"&amp;$B55&amp;"'!$F$23:$AJ$39"),MATCH($C55,INDIRECT("'"&amp;$B55&amp;"'!$F$23:$F$39"),0),MATCH($B$44&amp;$C$44&amp;D$44&amp;"Cost",INDIRECT("'"&amp;$B55&amp;"'!$F$23:$AJ$23")&amp;INDIRECT("'"&amp;$B55&amp;"'!$F$24:$AJ$24")&amp;INDIRECT("'"&amp;$B55&amp;"'!$F$25:$AJ$25")&amp;INDIRECT("'"&amp;$B55&amp;"'!$F$30:$AJ$30"),0))</f>
        <v>217.91</v>
      </c>
      <c r="E55" s="166"/>
      <c r="F55" s="166"/>
      <c r="G55" s="166">
        <f ca="1">ABS($J55-$D55)</f>
        <v>39.527704056195716</v>
      </c>
      <c r="H55" s="166"/>
      <c r="I55" s="166" t="s">
        <v>188</v>
      </c>
      <c r="J55" s="131">
        <f t="array" aca="1" ref="J55" ca="1">INDEX(INDIRECT("'"&amp;$B55&amp;"'!$F$23:$AJ$39"),MATCH($C55,INDIRECT("'"&amp;$B55&amp;"'!$F$23:$F$39"),0),MATCH($B$44&amp;$C$44&amp;J$44&amp;"Cost",INDIRECT("'"&amp;$B55&amp;"'!$F$23:$AJ$23")&amp;INDIRECT("'"&amp;$B55&amp;"'!$F$24:$AJ$24")&amp;INDIRECT("'"&amp;$B55&amp;"'!$F$25:$AJ$25")&amp;INDIRECT("'"&amp;$B55&amp;"'!$F$30:$AJ$30"),0))</f>
        <v>178.38229594380428</v>
      </c>
      <c r="K55" s="320">
        <f ca="1">J55-D55</f>
        <v>-39.527704056195716</v>
      </c>
      <c r="L55" s="316">
        <f t="shared" ca="1" si="0"/>
        <v>-0.18139463106877021</v>
      </c>
      <c r="M55" s="13"/>
      <c r="N55" s="13"/>
      <c r="O55" s="13"/>
    </row>
    <row r="56" spans="1:19" x14ac:dyDescent="0.25">
      <c r="A56" s="64"/>
      <c r="B56" s="93" t="str">
        <f t="shared" ref="B56:B57" si="2">B55</f>
        <v>Endeavour</v>
      </c>
      <c r="C56" s="3" t="s">
        <v>168</v>
      </c>
      <c r="D56" s="131">
        <f t="array" aca="1" ref="D56" ca="1">INDEX(INDIRECT("'"&amp;$B56&amp;"'!$F$23:$AJ$39"),MATCH($C56,INDIRECT("'"&amp;$B56&amp;"'!$F$23:$F$39"),0),MATCH($B$44&amp;$C$44&amp;D$44&amp;"Cost",INDIRECT("'"&amp;$B56&amp;"'!$F$23:$AJ$23")&amp;INDIRECT("'"&amp;$B56&amp;"'!$F$24:$AJ$24")&amp;INDIRECT("'"&amp;$B56&amp;"'!$F$25:$AJ$25")&amp;INDIRECT("'"&amp;$B56&amp;"'!$F$30:$AJ$30"),0))</f>
        <v>339.65581320000007</v>
      </c>
      <c r="E56" s="166"/>
      <c r="F56" s="166"/>
      <c r="G56" s="166"/>
      <c r="H56" s="166">
        <f ca="1">ABS($J56-$D56)</f>
        <v>112.5337695230574</v>
      </c>
      <c r="I56" s="166"/>
      <c r="J56" s="131">
        <f t="array" aca="1" ref="J56" ca="1">INDEX(INDIRECT("'"&amp;$B56&amp;"'!$F$23:$AJ$39"),MATCH($C56,INDIRECT("'"&amp;$B56&amp;"'!$F$23:$F$39"),0),MATCH($B$44&amp;$C$44&amp;J$44&amp;"Cost",INDIRECT("'"&amp;$B56&amp;"'!$F$23:$AJ$23")&amp;INDIRECT("'"&amp;$B56&amp;"'!$F$24:$AJ$24")&amp;INDIRECT("'"&amp;$B56&amp;"'!$F$25:$AJ$25")&amp;INDIRECT("'"&amp;$B56&amp;"'!$F$30:$AJ$30"),0))</f>
        <v>452.18958272305747</v>
      </c>
      <c r="K56" s="320">
        <f ca="1">J56-D56</f>
        <v>112.5337695230574</v>
      </c>
      <c r="L56" s="316">
        <f t="shared" ca="1" si="0"/>
        <v>0.33131707201723637</v>
      </c>
      <c r="M56" s="13"/>
      <c r="N56" s="13"/>
      <c r="O56" s="13"/>
    </row>
    <row r="57" spans="1:19" x14ac:dyDescent="0.25">
      <c r="A57" s="64"/>
      <c r="B57" s="93" t="str">
        <f t="shared" si="2"/>
        <v>Endeavour</v>
      </c>
      <c r="C57" s="3" t="s">
        <v>210</v>
      </c>
      <c r="D57" s="131">
        <f t="array" aca="1" ref="D57" ca="1">INDEX(INDIRECT("'"&amp;$B57&amp;"'!$F$23:$AJ$39"),MATCH($C57,INDIRECT("'"&amp;$B57&amp;"'!$F$23:$F$39"),0),MATCH($B$44&amp;$C$44&amp;D$44&amp;"Cost",INDIRECT("'"&amp;$B57&amp;"'!$F$23:$AJ$23")&amp;INDIRECT("'"&amp;$B57&amp;"'!$F$24:$AJ$24")&amp;INDIRECT("'"&amp;$B57&amp;"'!$F$25:$AJ$25")&amp;INDIRECT("'"&amp;$B57&amp;"'!$F$30:$AJ$30"),0))</f>
        <v>486.3928525720703</v>
      </c>
      <c r="E57" s="166"/>
      <c r="F57" s="166"/>
      <c r="G57" s="166"/>
      <c r="H57" s="166"/>
      <c r="I57" s="166">
        <f ca="1">ABS($J57-$D57)</f>
        <v>38.883222936434322</v>
      </c>
      <c r="J57" s="131">
        <f t="array" aca="1" ref="J57" ca="1">INDEX(INDIRECT("'"&amp;$B57&amp;"'!$F$23:$AJ$39"),MATCH($C57,INDIRECT("'"&amp;$B57&amp;"'!$F$23:$F$39"),0),MATCH($B$44&amp;$C$44&amp;J$44&amp;"Cost",INDIRECT("'"&amp;$B57&amp;"'!$F$23:$AJ$23")&amp;INDIRECT("'"&amp;$B57&amp;"'!$F$24:$AJ$24")&amp;INDIRECT("'"&amp;$B57&amp;"'!$F$25:$AJ$25")&amp;INDIRECT("'"&amp;$B57&amp;"'!$F$30:$AJ$30"),0))</f>
        <v>525.27607550850462</v>
      </c>
      <c r="K57" s="320">
        <f ca="1">J57-D57</f>
        <v>38.883222936434322</v>
      </c>
      <c r="L57" s="316">
        <f t="shared" ca="1" si="0"/>
        <v>7.994201134086952E-2</v>
      </c>
      <c r="M57" s="13"/>
      <c r="N57" s="13"/>
      <c r="O57" s="199"/>
    </row>
    <row r="58" spans="1:19" x14ac:dyDescent="0.25">
      <c r="A58" s="64"/>
      <c r="B58" s="94" t="str">
        <f>B56</f>
        <v>Endeavour</v>
      </c>
      <c r="C58" s="95" t="s">
        <v>117</v>
      </c>
      <c r="D58" s="167">
        <f ca="1">ROUND(SUM(D52:D57),0)</f>
        <v>4422</v>
      </c>
      <c r="E58" s="167"/>
      <c r="F58" s="167"/>
      <c r="G58" s="167"/>
      <c r="H58" s="167"/>
      <c r="I58" s="167"/>
      <c r="J58" s="167">
        <f ca="1">ROUND(SUM(J52:J57),0)</f>
        <v>4775</v>
      </c>
      <c r="K58" s="321">
        <f ca="1">+J58-D58</f>
        <v>353</v>
      </c>
      <c r="L58" s="316">
        <f t="shared" ca="1" si="0"/>
        <v>7.9828132066938035E-2</v>
      </c>
      <c r="M58" s="13"/>
      <c r="N58" s="13"/>
      <c r="O58" s="199"/>
      <c r="P58" s="124"/>
    </row>
    <row r="59" spans="1:19" x14ac:dyDescent="0.25">
      <c r="A59" s="64" t="str">
        <f>B59&amp;" "&amp;$B$44&amp;" "&amp;$C$44&amp;" $"</f>
        <v>Essential Small Business without CL $</v>
      </c>
      <c r="B59" s="91" t="s">
        <v>3</v>
      </c>
      <c r="C59" s="92" t="s">
        <v>156</v>
      </c>
      <c r="D59" s="165">
        <v>0</v>
      </c>
      <c r="E59" s="165">
        <f ca="1">IF($K60&lt;0,SUM(D59:D64)+$K60,SUM(D59:D64))</f>
        <v>5733.0916411639519</v>
      </c>
      <c r="F59" s="165">
        <f ca="1">IF($K61&lt;0,IF($K60&lt;0,E59+$K61,E59+$K60+$K61),IF($K60&lt;0,E59,E59+$K60))</f>
        <v>5949.4532922914595</v>
      </c>
      <c r="G59" s="165">
        <f ca="1">IF($K62&lt;0,IF($K61&lt;0,F59+$K62,F59+$K61+$K62),IF($K61&lt;0,F59,F59+$K61))</f>
        <v>6049.0366229534075</v>
      </c>
      <c r="H59" s="165">
        <f ca="1">IF($K63&lt;0,IF($K62&lt;0,G59+$K63,G59+$K62+$K63),IF($K62&lt;0,G59,G59+$K62))</f>
        <v>6049.0366229534075</v>
      </c>
      <c r="I59" s="165">
        <f ca="1">IF($K64&lt;0,IF($K63&lt;0,H59+$K64,H59+$K63+$K64),IF($K63&lt;0,H59,H59+$K63))</f>
        <v>6168.2751041009224</v>
      </c>
      <c r="J59" s="165">
        <v>0</v>
      </c>
      <c r="K59" s="322"/>
      <c r="L59" s="317"/>
      <c r="M59" s="13"/>
    </row>
    <row r="60" spans="1:19" x14ac:dyDescent="0.25">
      <c r="A60" s="64"/>
      <c r="B60" s="93" t="str">
        <f>B59</f>
        <v>Essential</v>
      </c>
      <c r="C60" s="3" t="s">
        <v>62</v>
      </c>
      <c r="D60" s="131">
        <f t="array" aca="1" ref="D60" ca="1">INDEX(INDIRECT("'"&amp;$B60&amp;"'!$F$23:$AJ$39"),MATCH($C60,INDIRECT("'"&amp;$B60&amp;"'!$F$23:$F$39"),0),MATCH($B$44&amp;$C$44&amp;D$44&amp;"Cost",INDIRECT("'"&amp;$B60&amp;"'!$F$23:$AJ$23")&amp;INDIRECT("'"&amp;$B60&amp;"'!$F$24:$AJ$24")&amp;INDIRECT("'"&amp;$B60&amp;"'!$F$25:$AJ$25")&amp;INDIRECT("'"&amp;$B60&amp;"'!$F$30:$AJ$30"),0))</f>
        <v>2742.7828040793461</v>
      </c>
      <c r="E60" s="166">
        <f ca="1">ABS($J60-$D60)</f>
        <v>216.36165112750768</v>
      </c>
      <c r="F60" s="166"/>
      <c r="G60" s="166"/>
      <c r="H60" s="166"/>
      <c r="I60" s="166"/>
      <c r="J60" s="131">
        <f t="array" aca="1" ref="J60" ca="1">INDEX(INDIRECT("'"&amp;$B60&amp;"'!$F$23:$AJ$39"),MATCH($C60,INDIRECT("'"&amp;$B60&amp;"'!$F$23:$F$39"),0),MATCH($B$44&amp;$C$44&amp;J$44&amp;"Cost",INDIRECT("'"&amp;$B60&amp;"'!$F$23:$AJ$23")&amp;INDIRECT("'"&amp;$B60&amp;"'!$F$24:$AJ$24")&amp;INDIRECT("'"&amp;$B60&amp;"'!$F$25:$AJ$25")&amp;INDIRECT("'"&amp;$B60&amp;"'!$F$30:$AJ$30"),0))</f>
        <v>2959.1444552068538</v>
      </c>
      <c r="K60" s="320">
        <f ca="1">J60-D60</f>
        <v>216.36165112750768</v>
      </c>
      <c r="L60" s="316">
        <f t="shared" ca="1" si="0"/>
        <v>7.8883989941060079E-2</v>
      </c>
      <c r="M60" s="13"/>
      <c r="N60" s="199"/>
      <c r="O60" s="13"/>
    </row>
    <row r="61" spans="1:19" x14ac:dyDescent="0.25">
      <c r="A61" s="64"/>
      <c r="B61" s="93" t="str">
        <f>B60</f>
        <v>Essential</v>
      </c>
      <c r="C61" s="3" t="s">
        <v>63</v>
      </c>
      <c r="D61" s="131">
        <f t="array" aca="1" ref="D61" ca="1">INDEX(INDIRECT("'"&amp;$B61&amp;"'!$F$23:$AJ$39"),MATCH($C61,INDIRECT("'"&amp;$B61&amp;"'!$F$23:$F$39"),0),MATCH($B$44&amp;$C$44&amp;D$44&amp;"Cost",INDIRECT("'"&amp;$B61&amp;"'!$F$23:$AJ$23")&amp;INDIRECT("'"&amp;$B61&amp;"'!$F$24:$AJ$24")&amp;INDIRECT("'"&amp;$B61&amp;"'!$F$25:$AJ$25")&amp;INDIRECT("'"&amp;$B61&amp;"'!$F$30:$AJ$30"),0))</f>
        <v>1808.1213464285713</v>
      </c>
      <c r="E61" s="166"/>
      <c r="F61" s="166">
        <f ca="1">ABS($J61-$D61)</f>
        <v>138.03983812370075</v>
      </c>
      <c r="G61" s="166"/>
      <c r="H61" s="166"/>
      <c r="I61" s="166"/>
      <c r="J61" s="131">
        <f t="array" aca="1" ref="J61" ca="1">INDEX(INDIRECT("'"&amp;$B61&amp;"'!$F$23:$AJ$39"),MATCH($C61,INDIRECT("'"&amp;$B61&amp;"'!$F$23:$F$39"),0),MATCH($B$44&amp;$C$44&amp;J$44&amp;"Cost",INDIRECT("'"&amp;$B61&amp;"'!$F$23:$AJ$23")&amp;INDIRECT("'"&amp;$B61&amp;"'!$F$24:$AJ$24")&amp;INDIRECT("'"&amp;$B61&amp;"'!$F$25:$AJ$25")&amp;INDIRECT("'"&amp;$B61&amp;"'!$F$30:$AJ$30"),0))</f>
        <v>1946.1611845522721</v>
      </c>
      <c r="K61" s="320">
        <f ca="1">J61-D61</f>
        <v>138.03983812370075</v>
      </c>
      <c r="L61" s="316">
        <f t="shared" ca="1" si="0"/>
        <v>7.6344344032196254E-2</v>
      </c>
      <c r="M61" s="13"/>
      <c r="N61" s="199"/>
      <c r="O61" s="199"/>
    </row>
    <row r="62" spans="1:19" x14ac:dyDescent="0.25">
      <c r="A62" s="64"/>
      <c r="B62" s="93" t="str">
        <f>B61</f>
        <v>Essential</v>
      </c>
      <c r="C62" s="3" t="s">
        <v>64</v>
      </c>
      <c r="D62" s="131">
        <f t="array" aca="1" ref="D62" ca="1">INDEX(INDIRECT("'"&amp;$B62&amp;"'!$F$23:$AJ$39"),MATCH($C62,INDIRECT("'"&amp;$B62&amp;"'!$F$23:$F$39"),0),MATCH($B$44&amp;$C$44&amp;D$44&amp;"Cost",INDIRECT("'"&amp;$B62&amp;"'!$F$23:$AJ$23")&amp;INDIRECT("'"&amp;$B62&amp;"'!$F$24:$AJ$24")&amp;INDIRECT("'"&amp;$B62&amp;"'!$F$25:$AJ$25")&amp;INDIRECT("'"&amp;$B62&amp;"'!$F$30:$AJ$30"),0))</f>
        <v>212.74</v>
      </c>
      <c r="E62" s="166"/>
      <c r="F62" s="166"/>
      <c r="G62" s="166">
        <f ca="1">ABS($J62-$D62)</f>
        <v>38.456507461753318</v>
      </c>
      <c r="H62" s="166"/>
      <c r="I62" s="166"/>
      <c r="J62" s="131">
        <f t="array" aca="1" ref="J62" ca="1">INDEX(INDIRECT("'"&amp;$B62&amp;"'!$F$23:$AJ$39"),MATCH($C62,INDIRECT("'"&amp;$B62&amp;"'!$F$23:$F$39"),0),MATCH($B$44&amp;$C$44&amp;J$44&amp;"Cost",INDIRECT("'"&amp;$B62&amp;"'!$F$23:$AJ$23")&amp;INDIRECT("'"&amp;$B62&amp;"'!$F$24:$AJ$24")&amp;INDIRECT("'"&amp;$B62&amp;"'!$F$25:$AJ$25")&amp;INDIRECT("'"&amp;$B62&amp;"'!$F$30:$AJ$30"),0))</f>
        <v>174.28349253824669</v>
      </c>
      <c r="K62" s="320">
        <f ca="1">J62-D62</f>
        <v>-38.456507461753318</v>
      </c>
      <c r="L62" s="316">
        <f t="shared" ca="1" si="0"/>
        <v>-0.1807676387221647</v>
      </c>
      <c r="M62" s="13"/>
      <c r="N62" s="13"/>
      <c r="O62" s="13"/>
    </row>
    <row r="63" spans="1:19" x14ac:dyDescent="0.25">
      <c r="A63" s="64"/>
      <c r="B63" s="93" t="str">
        <f t="shared" ref="B63:B64" si="3">B62</f>
        <v>Essential</v>
      </c>
      <c r="C63" s="3" t="s">
        <v>168</v>
      </c>
      <c r="D63" s="131">
        <f t="array" aca="1" ref="D63" ca="1">INDEX(INDIRECT("'"&amp;$B63&amp;"'!$F$23:$AJ$39"),MATCH($C63,INDIRECT("'"&amp;$B63&amp;"'!$F$23:$F$39"),0),MATCH($B$44&amp;$C$44&amp;D$44&amp;"Cost",INDIRECT("'"&amp;$B63&amp;"'!$F$23:$AJ$23")&amp;INDIRECT("'"&amp;$B63&amp;"'!$F$24:$AJ$24")&amp;INDIRECT("'"&amp;$B63&amp;"'!$F$25:$AJ$25")&amp;INDIRECT("'"&amp;$B63&amp;"'!$F$30:$AJ$30"),0))</f>
        <v>338.80741012800001</v>
      </c>
      <c r="E63" s="166"/>
      <c r="F63" s="166"/>
      <c r="G63" s="166"/>
      <c r="H63" s="166">
        <f ca="1">ABS($J63-$D63)</f>
        <v>119.23848114751507</v>
      </c>
      <c r="I63" s="166"/>
      <c r="J63" s="131">
        <f t="array" aca="1" ref="J63" ca="1">INDEX(INDIRECT("'"&amp;$B63&amp;"'!$F$23:$AJ$39"),MATCH($C63,INDIRECT("'"&amp;$B63&amp;"'!$F$23:$F$39"),0),MATCH($B$44&amp;$C$44&amp;J$44&amp;"Cost",INDIRECT("'"&amp;$B63&amp;"'!$F$23:$AJ$23")&amp;INDIRECT("'"&amp;$B63&amp;"'!$F$24:$AJ$24")&amp;INDIRECT("'"&amp;$B63&amp;"'!$F$25:$AJ$25")&amp;INDIRECT("'"&amp;$B63&amp;"'!$F$30:$AJ$30"),0))</f>
        <v>458.04589127551509</v>
      </c>
      <c r="K63" s="320">
        <f ca="1">J63-D63</f>
        <v>119.23848114751507</v>
      </c>
      <c r="L63" s="316">
        <f t="shared" ca="1" si="0"/>
        <v>0.35193587148069538</v>
      </c>
      <c r="M63" s="13"/>
      <c r="N63" s="13"/>
      <c r="O63" s="13"/>
    </row>
    <row r="64" spans="1:19" x14ac:dyDescent="0.25">
      <c r="A64" s="64"/>
      <c r="B64" s="93" t="str">
        <f t="shared" si="3"/>
        <v>Essential</v>
      </c>
      <c r="C64" s="3" t="s">
        <v>210</v>
      </c>
      <c r="D64" s="131">
        <f t="array" aca="1" ref="D64" ca="1">INDEX(INDIRECT("'"&amp;$B64&amp;"'!$F$23:$AJ$39"),MATCH($C64,INDIRECT("'"&amp;$B64&amp;"'!$F$23:$F$39"),0),MATCH($B$44&amp;$C$44&amp;D$44&amp;"Cost",INDIRECT("'"&amp;$B64&amp;"'!$F$23:$AJ$23")&amp;INDIRECT("'"&amp;$B64&amp;"'!$F$24:$AJ$24")&amp;INDIRECT("'"&amp;$B64&amp;"'!$F$25:$AJ$25")&amp;INDIRECT("'"&amp;$B64&amp;"'!$F$30:$AJ$30"),0))</f>
        <v>630.64008052803456</v>
      </c>
      <c r="E64" s="166"/>
      <c r="F64" s="166"/>
      <c r="G64" s="166"/>
      <c r="H64" s="166"/>
      <c r="I64" s="166">
        <f ca="1">ABS($J64-$D64)</f>
        <v>53.786720138276905</v>
      </c>
      <c r="J64" s="131">
        <f t="array" aca="1" ref="J64" ca="1">INDEX(INDIRECT("'"&amp;$B64&amp;"'!$F$23:$AJ$39"),MATCH($C64,INDIRECT("'"&amp;$B64&amp;"'!$F$23:$F$39"),0),MATCH($B$44&amp;$C$44&amp;J$44&amp;"Cost",INDIRECT("'"&amp;$B64&amp;"'!$F$23:$AJ$23")&amp;INDIRECT("'"&amp;$B64&amp;"'!$F$24:$AJ$24")&amp;INDIRECT("'"&amp;$B64&amp;"'!$F$25:$AJ$25")&amp;INDIRECT("'"&amp;$B64&amp;"'!$F$30:$AJ$30"),0))</f>
        <v>684.42680066631146</v>
      </c>
      <c r="K64" s="320">
        <f ca="1">J64-D64</f>
        <v>53.786720138276905</v>
      </c>
      <c r="L64" s="316">
        <f t="shared" ca="1" si="0"/>
        <v>8.5289092461806923E-2</v>
      </c>
      <c r="M64" s="13"/>
      <c r="N64" s="13"/>
      <c r="O64" s="199"/>
    </row>
    <row r="65" spans="1:16" x14ac:dyDescent="0.25">
      <c r="A65" s="64"/>
      <c r="B65" s="94" t="str">
        <f>B63</f>
        <v>Essential</v>
      </c>
      <c r="C65" s="95" t="s">
        <v>117</v>
      </c>
      <c r="D65" s="167">
        <f ca="1">ROUND(SUM(D59:D64),0)</f>
        <v>5733</v>
      </c>
      <c r="E65" s="167"/>
      <c r="F65" s="167"/>
      <c r="G65" s="167"/>
      <c r="H65" s="167"/>
      <c r="I65" s="167"/>
      <c r="J65" s="167">
        <f ca="1">ROUND(SUM(J59:J64),0)</f>
        <v>6222</v>
      </c>
      <c r="K65" s="321">
        <f ca="1">+J65-D65</f>
        <v>489</v>
      </c>
      <c r="L65" s="316">
        <f t="shared" ca="1" si="0"/>
        <v>8.5295656724228147E-2</v>
      </c>
      <c r="M65" s="13"/>
      <c r="N65" s="13"/>
      <c r="O65" s="199"/>
      <c r="P65" s="124"/>
    </row>
    <row r="66" spans="1:16" x14ac:dyDescent="0.25">
      <c r="A66" s="64" t="str">
        <f>B66&amp;" "&amp;$B$44&amp;" "&amp;$C$44&amp;" $"</f>
        <v>Energex Small Business without CL $</v>
      </c>
      <c r="B66" s="91" t="s">
        <v>0</v>
      </c>
      <c r="C66" s="92" t="s">
        <v>156</v>
      </c>
      <c r="D66" s="165">
        <v>0</v>
      </c>
      <c r="E66" s="165">
        <f ca="1">IF($K67&lt;0,SUM(D66:D71)+$K67,SUM(D66:D71))</f>
        <v>4260.6759265219907</v>
      </c>
      <c r="F66" s="165">
        <f ca="1">IF($K68&lt;0,IF($K67&lt;0,E66+$K68,E66+$K67+$K68),IF($K67&lt;0,E66,E66+$K67))</f>
        <v>4287.2981804736482</v>
      </c>
      <c r="G66" s="165">
        <f ca="1">IF($K69&lt;0,IF($K68&lt;0,F66+$K69,F66+$K68+$K69),IF($K68&lt;0,F66,F66+$K68))</f>
        <v>4236.5664812121249</v>
      </c>
      <c r="H66" s="165">
        <f ca="1">IF($K70&lt;0,IF($K69&lt;0,G66+$K70,G66+$K69+$K70),IF($K69&lt;0,G66,G66+$K69))</f>
        <v>4236.5664812121249</v>
      </c>
      <c r="I66" s="165">
        <f ca="1">IF($K71&lt;0,IF($K70&lt;0,H66+$K71,H66+$K70+$K71),IF($K70&lt;0,H66,H66+$K70))</f>
        <v>4290.2564973375011</v>
      </c>
      <c r="J66" s="165">
        <v>0</v>
      </c>
      <c r="K66" s="322"/>
      <c r="L66" s="317"/>
      <c r="M66" s="13"/>
    </row>
    <row r="67" spans="1:16" x14ac:dyDescent="0.25">
      <c r="A67" s="64"/>
      <c r="B67" s="93" t="str">
        <f>B66</f>
        <v>Energex</v>
      </c>
      <c r="C67" s="3" t="s">
        <v>62</v>
      </c>
      <c r="D67" s="131">
        <f t="array" aca="1" ref="D67" ca="1">INDEX(INDIRECT("'"&amp;$B67&amp;"'!$F$23:$AJ$39"),MATCH($C67,INDIRECT("'"&amp;$B67&amp;"'!$F$23:$F$39"),0),MATCH($B$44&amp;$C$44&amp;D$44&amp;"Cost",INDIRECT("'"&amp;$B67&amp;"'!$F$23:$AJ$23")&amp;INDIRECT("'"&amp;$B67&amp;"'!$F$24:$AJ$24")&amp;INDIRECT("'"&amp;$B67&amp;"'!$F$25:$AJ$25")&amp;INDIRECT("'"&amp;$B67&amp;"'!$F$30:$AJ$30"),0))</f>
        <v>1475.3915000000002</v>
      </c>
      <c r="E67" s="166">
        <f ca="1">ABS($J67-$D67)</f>
        <v>30.979637006268376</v>
      </c>
      <c r="F67" s="166"/>
      <c r="G67" s="166"/>
      <c r="H67" s="166"/>
      <c r="I67" s="166"/>
      <c r="J67" s="131">
        <f t="array" aca="1" ref="J67" ca="1">INDEX(INDIRECT("'"&amp;$B67&amp;"'!$F$23:$AJ$39"),MATCH($C67,INDIRECT("'"&amp;$B67&amp;"'!$F$23:$F$39"),0),MATCH($B$44&amp;$C$44&amp;J$44&amp;"Cost",INDIRECT("'"&amp;$B67&amp;"'!$F$23:$AJ$23")&amp;INDIRECT("'"&amp;$B67&amp;"'!$F$24:$AJ$24")&amp;INDIRECT("'"&amp;$B67&amp;"'!$F$25:$AJ$25")&amp;INDIRECT("'"&amp;$B67&amp;"'!$F$30:$AJ$30"),0))</f>
        <v>1506.3711370062686</v>
      </c>
      <c r="K67" s="320">
        <f ca="1">J67-D67</f>
        <v>30.979637006268376</v>
      </c>
      <c r="L67" s="316">
        <f t="shared" ca="1" si="0"/>
        <v>2.0997570479610581E-2</v>
      </c>
      <c r="M67" s="13"/>
      <c r="N67" s="199"/>
      <c r="O67" s="13"/>
    </row>
    <row r="68" spans="1:16" x14ac:dyDescent="0.25">
      <c r="A68" s="64"/>
      <c r="B68" s="93" t="str">
        <f>B67</f>
        <v>Energex</v>
      </c>
      <c r="C68" s="3" t="s">
        <v>63</v>
      </c>
      <c r="D68" s="131">
        <f t="array" aca="1" ref="D68" ca="1">INDEX(INDIRECT("'"&amp;$B68&amp;"'!$F$23:$AJ$39"),MATCH($C68,INDIRECT("'"&amp;$B68&amp;"'!$F$23:$F$39"),0),MATCH($B$44&amp;$C$44&amp;D$44&amp;"Cost",INDIRECT("'"&amp;$B68&amp;"'!$F$23:$AJ$23")&amp;INDIRECT("'"&amp;$B68&amp;"'!$F$24:$AJ$24")&amp;INDIRECT("'"&amp;$B68&amp;"'!$F$25:$AJ$25")&amp;INDIRECT("'"&amp;$B68&amp;"'!$F$30:$AJ$30"),0))</f>
        <v>1827.8113464285716</v>
      </c>
      <c r="E68" s="166"/>
      <c r="F68" s="166">
        <f ca="1">ABS($J68-$D68)</f>
        <v>4.3573830546110912</v>
      </c>
      <c r="G68" s="166"/>
      <c r="H68" s="166"/>
      <c r="I68" s="166"/>
      <c r="J68" s="131">
        <f t="array" aca="1" ref="J68" ca="1">INDEX(INDIRECT("'"&amp;$B68&amp;"'!$F$23:$AJ$39"),MATCH($C68,INDIRECT("'"&amp;$B68&amp;"'!$F$23:$F$39"),0),MATCH($B$44&amp;$C$44&amp;J$44&amp;"Cost",INDIRECT("'"&amp;$B68&amp;"'!$F$23:$AJ$23")&amp;INDIRECT("'"&amp;$B68&amp;"'!$F$24:$AJ$24")&amp;INDIRECT("'"&amp;$B68&amp;"'!$F$25:$AJ$25")&amp;INDIRECT("'"&amp;$B68&amp;"'!$F$30:$AJ$30"),0))</f>
        <v>1823.4539633739605</v>
      </c>
      <c r="K68" s="320">
        <f ca="1">J68-D68</f>
        <v>-4.3573830546110912</v>
      </c>
      <c r="L68" s="316">
        <f t="shared" ca="1" si="0"/>
        <v>-2.3839347879775138E-3</v>
      </c>
      <c r="M68" s="13"/>
      <c r="N68" s="199"/>
      <c r="O68" s="199"/>
    </row>
    <row r="69" spans="1:16" x14ac:dyDescent="0.25">
      <c r="A69" s="64"/>
      <c r="B69" s="93" t="str">
        <f>B68</f>
        <v>Energex</v>
      </c>
      <c r="C69" s="3" t="s">
        <v>64</v>
      </c>
      <c r="D69" s="131">
        <f t="array" aca="1" ref="D69" ca="1">INDEX(INDIRECT("'"&amp;$B69&amp;"'!$F$23:$AJ$39"),MATCH($C69,INDIRECT("'"&amp;$B69&amp;"'!$F$23:$F$39"),0),MATCH($B$44&amp;$C$44&amp;D$44&amp;"Cost",INDIRECT("'"&amp;$B69&amp;"'!$F$23:$AJ$23")&amp;INDIRECT("'"&amp;$B69&amp;"'!$F$24:$AJ$24")&amp;INDIRECT("'"&amp;$B69&amp;"'!$F$25:$AJ$25")&amp;INDIRECT("'"&amp;$B69&amp;"'!$F$30:$AJ$30"),0))</f>
        <v>181.83</v>
      </c>
      <c r="E69" s="166"/>
      <c r="F69" s="166"/>
      <c r="G69" s="166">
        <f ca="1">ABS($J69-$D69)</f>
        <v>50.73169926152346</v>
      </c>
      <c r="H69" s="166"/>
      <c r="I69" s="166"/>
      <c r="J69" s="131">
        <f t="array" aca="1" ref="J69" ca="1">INDEX(INDIRECT("'"&amp;$B69&amp;"'!$F$23:$AJ$39"),MATCH($C69,INDIRECT("'"&amp;$B69&amp;"'!$F$23:$F$39"),0),MATCH($B$44&amp;$C$44&amp;J$44&amp;"Cost",INDIRECT("'"&amp;$B69&amp;"'!$F$23:$AJ$23")&amp;INDIRECT("'"&amp;$B69&amp;"'!$F$24:$AJ$24")&amp;INDIRECT("'"&amp;$B69&amp;"'!$F$25:$AJ$25")&amp;INDIRECT("'"&amp;$B69&amp;"'!$F$30:$AJ$30"),0))</f>
        <v>131.09830073847655</v>
      </c>
      <c r="K69" s="320">
        <f ca="1">J69-D69</f>
        <v>-50.73169926152346</v>
      </c>
      <c r="L69" s="316">
        <f t="shared" ca="1" si="0"/>
        <v>-0.27900621053469427</v>
      </c>
      <c r="M69" s="13"/>
      <c r="N69" s="13"/>
      <c r="O69" s="13"/>
    </row>
    <row r="70" spans="1:16" x14ac:dyDescent="0.25">
      <c r="A70" s="64"/>
      <c r="B70" s="93" t="str">
        <f t="shared" ref="B70:B71" si="4">B69</f>
        <v>Energex</v>
      </c>
      <c r="C70" s="3" t="s">
        <v>168</v>
      </c>
      <c r="D70" s="131">
        <f t="array" aca="1" ref="D70" ca="1">INDEX(INDIRECT("'"&amp;$B70&amp;"'!$F$23:$AJ$39"),MATCH($C70,INDIRECT("'"&amp;$B70&amp;"'!$F$23:$F$39"),0),MATCH($B$44&amp;$C$44&amp;D$44&amp;"Cost",INDIRECT("'"&amp;$B70&amp;"'!$F$23:$AJ$23")&amp;INDIRECT("'"&amp;$B70&amp;"'!$F$24:$AJ$24")&amp;INDIRECT("'"&amp;$B70&amp;"'!$F$25:$AJ$25")&amp;INDIRECT("'"&amp;$B70&amp;"'!$F$30:$AJ$30"),0))</f>
        <v>306.96872817600007</v>
      </c>
      <c r="E70" s="166"/>
      <c r="F70" s="166"/>
      <c r="G70" s="166"/>
      <c r="H70" s="166">
        <f ca="1">ABS($J70-$D70)</f>
        <v>53.690016125376189</v>
      </c>
      <c r="I70" s="166"/>
      <c r="J70" s="131">
        <f t="array" aca="1" ref="J70" ca="1">INDEX(INDIRECT("'"&amp;$B70&amp;"'!$F$23:$AJ$39"),MATCH($C70,INDIRECT("'"&amp;$B70&amp;"'!$F$23:$F$39"),0),MATCH($B$44&amp;$C$44&amp;J$44&amp;"Cost",INDIRECT("'"&amp;$B70&amp;"'!$F$23:$AJ$23")&amp;INDIRECT("'"&amp;$B70&amp;"'!$F$24:$AJ$24")&amp;INDIRECT("'"&amp;$B70&amp;"'!$F$25:$AJ$25")&amp;INDIRECT("'"&amp;$B70&amp;"'!$F$30:$AJ$30"),0))</f>
        <v>360.65874430137626</v>
      </c>
      <c r="K70" s="320">
        <f ca="1">J70-D70</f>
        <v>53.690016125376189</v>
      </c>
      <c r="L70" s="316">
        <f t="shared" ca="1" si="0"/>
        <v>0.17490386217645304</v>
      </c>
      <c r="M70" s="13"/>
      <c r="N70" s="13"/>
      <c r="O70" s="13"/>
    </row>
    <row r="71" spans="1:16" x14ac:dyDescent="0.25">
      <c r="A71" s="64"/>
      <c r="B71" s="93" t="str">
        <f t="shared" si="4"/>
        <v>Energex</v>
      </c>
      <c r="C71" s="3" t="s">
        <v>210</v>
      </c>
      <c r="D71" s="131">
        <f t="array" aca="1" ref="D71" ca="1">INDEX(INDIRECT("'"&amp;$B71&amp;"'!$F$23:$AJ$39"),MATCH($C71,INDIRECT("'"&amp;$B71&amp;"'!$F$23:$F$39"),0),MATCH($B$44&amp;$C$44&amp;D$44&amp;"Cost",INDIRECT("'"&amp;$B71&amp;"'!$F$23:$AJ$23")&amp;INDIRECT("'"&amp;$B71&amp;"'!$F$24:$AJ$24")&amp;INDIRECT("'"&amp;$B71&amp;"'!$F$25:$AJ$25")&amp;INDIRECT("'"&amp;$B71&amp;"'!$F$30:$AJ$30"),0))</f>
        <v>468.67435191741879</v>
      </c>
      <c r="E71" s="166"/>
      <c r="F71" s="166"/>
      <c r="G71" s="166"/>
      <c r="H71" s="166"/>
      <c r="I71" s="166">
        <f ca="1">ABS($J71-$D71)</f>
        <v>3.6560256064117311</v>
      </c>
      <c r="J71" s="131">
        <f t="array" aca="1" ref="J71" ca="1">INDEX(INDIRECT("'"&amp;$B71&amp;"'!$F$23:$AJ$39"),MATCH($C71,INDIRECT("'"&amp;$B71&amp;"'!$F$23:$F$39"),0),MATCH($B$44&amp;$C$44&amp;J$44&amp;"Cost",INDIRECT("'"&amp;$B71&amp;"'!$F$23:$AJ$23")&amp;INDIRECT("'"&amp;$B71&amp;"'!$F$24:$AJ$24")&amp;INDIRECT("'"&amp;$B71&amp;"'!$F$25:$AJ$25")&amp;INDIRECT("'"&amp;$B71&amp;"'!$F$30:$AJ$30"),0))</f>
        <v>472.33037752383052</v>
      </c>
      <c r="K71" s="320">
        <f ca="1">J71-D71</f>
        <v>3.6560256064117311</v>
      </c>
      <c r="L71" s="316">
        <f t="shared" ca="1" si="0"/>
        <v>7.8007802036837914E-3</v>
      </c>
      <c r="M71" s="13"/>
      <c r="N71" s="13"/>
      <c r="O71" s="199"/>
    </row>
    <row r="72" spans="1:16" x14ac:dyDescent="0.25">
      <c r="A72" s="64"/>
      <c r="B72" s="94" t="str">
        <f>B70</f>
        <v>Energex</v>
      </c>
      <c r="C72" s="95" t="s">
        <v>117</v>
      </c>
      <c r="D72" s="167">
        <f ca="1">ROUND(SUM(D66:D71),0)</f>
        <v>4261</v>
      </c>
      <c r="E72" s="167"/>
      <c r="F72" s="167"/>
      <c r="G72" s="167"/>
      <c r="H72" s="167"/>
      <c r="I72" s="167"/>
      <c r="J72" s="167">
        <f ca="1">ROUND(SUM(J66:J71),0)</f>
        <v>4294</v>
      </c>
      <c r="K72" s="321">
        <f ca="1">+J72-D72</f>
        <v>33</v>
      </c>
      <c r="L72" s="316">
        <f t="shared" ca="1" si="0"/>
        <v>7.7446608777282325E-3</v>
      </c>
      <c r="M72" s="13"/>
      <c r="N72" s="13"/>
      <c r="O72" s="199"/>
      <c r="P72" s="124"/>
    </row>
    <row r="73" spans="1:16" x14ac:dyDescent="0.25">
      <c r="A73" s="64" t="str">
        <f>B73&amp;" "&amp;$B$44&amp;" "&amp;$C$44&amp;" $"</f>
        <v>SAPN Small Business without CL $</v>
      </c>
      <c r="B73" s="91" t="s">
        <v>5</v>
      </c>
      <c r="C73" s="92" t="s">
        <v>156</v>
      </c>
      <c r="D73" s="165">
        <v>0</v>
      </c>
      <c r="E73" s="165">
        <f ca="1">IF($K74&lt;0,SUM(D73:D78)+$K74,SUM(D73:D78))</f>
        <v>5351.9889687512032</v>
      </c>
      <c r="F73" s="165">
        <f ca="1">IF($K75&lt;0,IF($K74&lt;0,E73+$K75,E73+$K74+$K75),IF($K74&lt;0,E73,E73+$K74))</f>
        <v>5427.5155221959376</v>
      </c>
      <c r="G73" s="165">
        <f ca="1">IF($K76&lt;0,IF($K75&lt;0,F73+$K76,F73+$K75+$K76),IF($K75&lt;0,F73,F73+$K75))</f>
        <v>5493.7511593389991</v>
      </c>
      <c r="H73" s="165">
        <f ca="1">IF($K77&lt;0,IF($K76&lt;0,G73+$K77,G73+$K76+$K77),IF($K76&lt;0,G73,G73+$K76))</f>
        <v>5493.7511593389991</v>
      </c>
      <c r="I73" s="165">
        <f ca="1">IF($K78&lt;0,IF($K77&lt;0,H73+$K78,H73+$K77+$K78),IF($K77&lt;0,H73,H73+$K77))</f>
        <v>5520.2102801815172</v>
      </c>
      <c r="J73" s="165">
        <v>0</v>
      </c>
      <c r="K73" s="322"/>
      <c r="L73" s="317"/>
      <c r="M73" s="13"/>
    </row>
    <row r="74" spans="1:16" x14ac:dyDescent="0.25">
      <c r="A74" s="64"/>
      <c r="B74" s="93" t="str">
        <f>B73</f>
        <v>SAPN</v>
      </c>
      <c r="C74" s="3" t="s">
        <v>62</v>
      </c>
      <c r="D74" s="131">
        <f t="array" aca="1" ref="D74" ca="1">INDEX(INDIRECT("'"&amp;$B74&amp;"'!$F$23:$AJ$39"),MATCH($C74,INDIRECT("'"&amp;$B74&amp;"'!$F$23:$F$39"),0),MATCH($B$44&amp;$C$44&amp;D$44&amp;"Cost",INDIRECT("'"&amp;$B74&amp;"'!$F$23:$AJ$23")&amp;INDIRECT("'"&amp;$B74&amp;"'!$F$24:$AJ$24")&amp;INDIRECT("'"&amp;$B74&amp;"'!$F$25:$AJ$25")&amp;INDIRECT("'"&amp;$B74&amp;"'!$F$30:$AJ$30"),0))</f>
        <v>2206.44985</v>
      </c>
      <c r="E74" s="166">
        <f ca="1">ABS($J74-$D74)</f>
        <v>75.526553444733963</v>
      </c>
      <c r="F74" s="166"/>
      <c r="G74" s="166"/>
      <c r="H74" s="166"/>
      <c r="I74" s="166"/>
      <c r="J74" s="131">
        <f t="array" aca="1" ref="J74" ca="1">INDEX(INDIRECT("'"&amp;$B74&amp;"'!$F$23:$AJ$39"),MATCH($C74,INDIRECT("'"&amp;$B74&amp;"'!$F$23:$F$39"),0),MATCH($B$44&amp;$C$44&amp;J$44&amp;"Cost",INDIRECT("'"&amp;$B74&amp;"'!$F$23:$AJ$23")&amp;INDIRECT("'"&amp;$B74&amp;"'!$F$24:$AJ$24")&amp;INDIRECT("'"&amp;$B74&amp;"'!$F$25:$AJ$25")&amp;INDIRECT("'"&amp;$B74&amp;"'!$F$30:$AJ$30"),0))</f>
        <v>2281.9764034447339</v>
      </c>
      <c r="K74" s="320">
        <f ca="1">J74-D74</f>
        <v>75.526553444733963</v>
      </c>
      <c r="L74" s="316">
        <f t="shared" ca="1" si="0"/>
        <v>3.4229898062144472E-2</v>
      </c>
      <c r="M74" s="13"/>
      <c r="N74" s="199"/>
      <c r="O74" s="13"/>
    </row>
    <row r="75" spans="1:16" x14ac:dyDescent="0.25">
      <c r="A75" s="64"/>
      <c r="B75" s="93" t="str">
        <f>B74</f>
        <v>SAPN</v>
      </c>
      <c r="C75" s="3" t="s">
        <v>63</v>
      </c>
      <c r="D75" s="131">
        <f t="array" aca="1" ref="D75" ca="1">INDEX(INDIRECT("'"&amp;$B75&amp;"'!$F$23:$AJ$39"),MATCH($C75,INDIRECT("'"&amp;$B75&amp;"'!$F$23:$F$39"),0),MATCH($B$44&amp;$C$44&amp;D$44&amp;"Cost",INDIRECT("'"&amp;$B75&amp;"'!$F$23:$AJ$23")&amp;INDIRECT("'"&amp;$B75&amp;"'!$F$24:$AJ$24")&amp;INDIRECT("'"&amp;$B75&amp;"'!$F$25:$AJ$25")&amp;INDIRECT("'"&amp;$B75&amp;"'!$F$30:$AJ$30"),0))</f>
        <v>1994.7913464285712</v>
      </c>
      <c r="E75" s="166"/>
      <c r="F75" s="166">
        <f ca="1">ABS($J75-$D75)</f>
        <v>129.37869788163653</v>
      </c>
      <c r="G75" s="166"/>
      <c r="H75" s="166"/>
      <c r="I75" s="166"/>
      <c r="J75" s="131">
        <f t="array" aca="1" ref="J75" ca="1">INDEX(INDIRECT("'"&amp;$B75&amp;"'!$F$23:$AJ$39"),MATCH($C75,INDIRECT("'"&amp;$B75&amp;"'!$F$23:$F$39"),0),MATCH($B$44&amp;$C$44&amp;J$44&amp;"Cost",INDIRECT("'"&amp;$B75&amp;"'!$F$23:$AJ$23")&amp;INDIRECT("'"&amp;$B75&amp;"'!$F$24:$AJ$24")&amp;INDIRECT("'"&amp;$B75&amp;"'!$F$25:$AJ$25")&amp;INDIRECT("'"&amp;$B75&amp;"'!$F$30:$AJ$30"),0))</f>
        <v>2124.1700443102077</v>
      </c>
      <c r="K75" s="320">
        <f ca="1">J75-D75</f>
        <v>129.37869788163653</v>
      </c>
      <c r="L75" s="316">
        <f t="shared" ca="1" si="0"/>
        <v>6.4858261047338703E-2</v>
      </c>
      <c r="M75" s="13"/>
      <c r="N75" s="199"/>
      <c r="O75" s="199"/>
    </row>
    <row r="76" spans="1:16" x14ac:dyDescent="0.25">
      <c r="A76" s="64"/>
      <c r="B76" s="93" t="str">
        <f>B75</f>
        <v>SAPN</v>
      </c>
      <c r="C76" s="3" t="s">
        <v>64</v>
      </c>
      <c r="D76" s="131">
        <f t="array" aca="1" ref="D76" ca="1">INDEX(INDIRECT("'"&amp;$B76&amp;"'!$F$23:$AJ$39"),MATCH($C76,INDIRECT("'"&amp;$B76&amp;"'!$F$23:$F$39"),0),MATCH($B$44&amp;$C$44&amp;D$44&amp;"Cost",INDIRECT("'"&amp;$B76&amp;"'!$F$23:$AJ$23")&amp;INDIRECT("'"&amp;$B76&amp;"'!$F$24:$AJ$24")&amp;INDIRECT("'"&amp;$B76&amp;"'!$F$25:$AJ$25")&amp;INDIRECT("'"&amp;$B76&amp;"'!$F$30:$AJ$30"),0))</f>
        <v>243.76</v>
      </c>
      <c r="E76" s="166"/>
      <c r="F76" s="166"/>
      <c r="G76" s="166">
        <f ca="1">ABS($J76-$D76)</f>
        <v>63.143060738575258</v>
      </c>
      <c r="H76" s="166"/>
      <c r="I76" s="166"/>
      <c r="J76" s="131">
        <f t="array" aca="1" ref="J76" ca="1">INDEX(INDIRECT("'"&amp;$B76&amp;"'!$F$23:$AJ$39"),MATCH($C76,INDIRECT("'"&amp;$B76&amp;"'!$F$23:$F$39"),0),MATCH($B$44&amp;$C$44&amp;J$44&amp;"Cost",INDIRECT("'"&amp;$B76&amp;"'!$F$23:$AJ$23")&amp;INDIRECT("'"&amp;$B76&amp;"'!$F$24:$AJ$24")&amp;INDIRECT("'"&amp;$B76&amp;"'!$F$25:$AJ$25")&amp;INDIRECT("'"&amp;$B76&amp;"'!$F$30:$AJ$30"),0))</f>
        <v>180.61693926142473</v>
      </c>
      <c r="K76" s="320">
        <f ca="1">J76-D76</f>
        <v>-63.143060738575258</v>
      </c>
      <c r="L76" s="316">
        <f t="shared" ca="1" si="0"/>
        <v>-0.25903782711919615</v>
      </c>
      <c r="M76" s="13"/>
      <c r="N76" s="13"/>
      <c r="O76" s="13"/>
    </row>
    <row r="77" spans="1:16" x14ac:dyDescent="0.25">
      <c r="A77" s="64"/>
      <c r="B77" s="93" t="str">
        <f t="shared" ref="B77:B78" si="5">B76</f>
        <v>SAPN</v>
      </c>
      <c r="C77" s="3" t="s">
        <v>168</v>
      </c>
      <c r="D77" s="131">
        <f t="array" aca="1" ref="D77" ca="1">INDEX(INDIRECT("'"&amp;$B77&amp;"'!$F$23:$AJ$39"),MATCH($C77,INDIRECT("'"&amp;$B77&amp;"'!$F$23:$F$39"),0),MATCH($B$44&amp;$C$44&amp;D$44&amp;"Cost",INDIRECT("'"&amp;$B77&amp;"'!$F$23:$AJ$23")&amp;INDIRECT("'"&amp;$B77&amp;"'!$F$24:$AJ$24")&amp;INDIRECT("'"&amp;$B77&amp;"'!$F$25:$AJ$25")&amp;INDIRECT("'"&amp;$B77&amp;"'!$F$30:$AJ$30"),0))</f>
        <v>318.26898576000008</v>
      </c>
      <c r="E77" s="166"/>
      <c r="F77" s="166"/>
      <c r="G77" s="166"/>
      <c r="H77" s="166">
        <f ca="1">ABS($J77-$D77)</f>
        <v>26.459120842518132</v>
      </c>
      <c r="I77" s="166"/>
      <c r="J77" s="131">
        <f t="array" aca="1" ref="J77" ca="1">INDEX(INDIRECT("'"&amp;$B77&amp;"'!$F$23:$AJ$39"),MATCH($C77,INDIRECT("'"&amp;$B77&amp;"'!$F$23:$F$39"),0),MATCH($B$44&amp;$C$44&amp;J$44&amp;"Cost",INDIRECT("'"&amp;$B77&amp;"'!$F$23:$AJ$23")&amp;INDIRECT("'"&amp;$B77&amp;"'!$F$24:$AJ$24")&amp;INDIRECT("'"&amp;$B77&amp;"'!$F$25:$AJ$25")&amp;INDIRECT("'"&amp;$B77&amp;"'!$F$30:$AJ$30"),0))</f>
        <v>344.72810660251821</v>
      </c>
      <c r="K77" s="320">
        <f ca="1">J77-D77</f>
        <v>26.459120842518132</v>
      </c>
      <c r="L77" s="316">
        <f t="shared" ca="1" si="0"/>
        <v>8.3134461811715438E-2</v>
      </c>
      <c r="M77" s="13"/>
      <c r="N77" s="13"/>
      <c r="O77" s="13"/>
    </row>
    <row r="78" spans="1:16" x14ac:dyDescent="0.25">
      <c r="A78" s="64"/>
      <c r="B78" s="93" t="str">
        <f t="shared" si="5"/>
        <v>SAPN</v>
      </c>
      <c r="C78" s="3" t="s">
        <v>210</v>
      </c>
      <c r="D78" s="131">
        <f t="array" aca="1" ref="D78" ca="1">INDEX(INDIRECT("'"&amp;$B78&amp;"'!$F$23:$AJ$39"),MATCH($C78,INDIRECT("'"&amp;$B78&amp;"'!$F$23:$F$39"),0),MATCH($B$44&amp;$C$44&amp;D$44&amp;"Cost",INDIRECT("'"&amp;$B78&amp;"'!$F$23:$AJ$23")&amp;INDIRECT("'"&amp;$B78&amp;"'!$F$24:$AJ$24")&amp;INDIRECT("'"&amp;$B78&amp;"'!$F$25:$AJ$25")&amp;INDIRECT("'"&amp;$B78&amp;"'!$F$30:$AJ$30"),0))</f>
        <v>588.71878656263198</v>
      </c>
      <c r="E78" s="166"/>
      <c r="F78" s="166"/>
      <c r="G78" s="166"/>
      <c r="H78" s="166"/>
      <c r="I78" s="166">
        <f ca="1">ABS($J78-$D78)</f>
        <v>20.791398041948923</v>
      </c>
      <c r="J78" s="131">
        <f t="array" aca="1" ref="J78" ca="1">INDEX(INDIRECT("'"&amp;$B78&amp;"'!$F$23:$AJ$39"),MATCH($C78,INDIRECT("'"&amp;$B78&amp;"'!$F$23:$F$39"),0),MATCH($B$44&amp;$C$44&amp;J$44&amp;"Cost",INDIRECT("'"&amp;$B78&amp;"'!$F$23:$AJ$23")&amp;INDIRECT("'"&amp;$B78&amp;"'!$F$24:$AJ$24")&amp;INDIRECT("'"&amp;$B78&amp;"'!$F$25:$AJ$25")&amp;INDIRECT("'"&amp;$B78&amp;"'!$F$30:$AJ$30"),0))</f>
        <v>609.5101846045809</v>
      </c>
      <c r="K78" s="320">
        <f ca="1">J78-D78</f>
        <v>20.791398041948923</v>
      </c>
      <c r="L78" s="316">
        <f t="shared" ca="1" si="0"/>
        <v>3.5316348851960735E-2</v>
      </c>
      <c r="M78" s="13"/>
      <c r="N78" s="13"/>
      <c r="O78" s="199"/>
    </row>
    <row r="79" spans="1:16" x14ac:dyDescent="0.25">
      <c r="A79" s="64"/>
      <c r="B79" s="94" t="str">
        <f>B77</f>
        <v>SAPN</v>
      </c>
      <c r="C79" s="95" t="s">
        <v>117</v>
      </c>
      <c r="D79" s="167">
        <f ca="1">ROUND(SUM(D73:D78),0)</f>
        <v>5352</v>
      </c>
      <c r="E79" s="167"/>
      <c r="F79" s="167"/>
      <c r="G79" s="167"/>
      <c r="H79" s="167"/>
      <c r="I79" s="167"/>
      <c r="J79" s="167">
        <f ca="1">ROUND(SUM(J73:J78),0)</f>
        <v>5541</v>
      </c>
      <c r="K79" s="321">
        <f ca="1">+J79-D79</f>
        <v>189</v>
      </c>
      <c r="L79" s="318">
        <f t="shared" ca="1" si="0"/>
        <v>3.5313901345291478E-2</v>
      </c>
      <c r="M79" s="103"/>
      <c r="N79" s="13"/>
      <c r="O79" s="199"/>
      <c r="P79" s="124"/>
    </row>
  </sheetData>
  <sheetProtection algorithmName="SHA-256" hashValue="2L6PNdSWkE+OWZ79bcQU5J2IY3pPkk0uDAo1z4YZIY4=" saltValue="rUDe1DXRyHqggGxababp5A==" spinCount="100000" sheet="1" formatCells="0" formatColumns="0" formatRows="0" insertColumns="0" insertRows="0" insertHyperlinks="0" deleteColumns="0" deleteRows="0" sort="0" autoFilter="0" pivotTables="0"/>
  <mergeCells count="2">
    <mergeCell ref="A1:B1"/>
    <mergeCell ref="K44:L44"/>
  </mergeCells>
  <conditionalFormatting sqref="B45:L79">
    <cfRule type="expression" dxfId="345" priority="1">
      <formula>MOD(ROW(),2)=0</formula>
    </cfRule>
  </conditionalFormatting>
  <conditionalFormatting sqref="M79">
    <cfRule type="cellIs" dxfId="344" priority="6" operator="equal">
      <formula>FALSE</formula>
    </cfRule>
    <cfRule type="cellIs" dxfId="343" priority="7" operator="equal">
      <formula>TRUE</formula>
    </cfRule>
  </conditionalFormatting>
  <hyperlinks>
    <hyperlink ref="A1" location="Index!A1" display="&lt;&lt;Back to Index" xr:uid="{94DB4F01-6115-44D5-868E-C37ABDC98992}"/>
  </hyperlinks>
  <pageMargins left="0.7" right="0.7" top="0.75" bottom="0.75" header="0.3" footer="0.3"/>
  <pageSetup paperSize="9" orientation="portrait" r:id="rId1"/>
  <headerFooter>
    <oddHeader>&amp;C&amp;"Calibri"&amp;10&amp;KFF0000 OFFICIAL SENSITIVE&amp;1#_x000D_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F9:F14"/>
  <sheetViews>
    <sheetView workbookViewId="0">
      <selection activeCell="B2" sqref="B2"/>
    </sheetView>
  </sheetViews>
  <sheetFormatPr defaultColWidth="8.85546875" defaultRowHeight="15" x14ac:dyDescent="0.25"/>
  <cols>
    <col min="1" max="16384" width="8.85546875" style="3"/>
  </cols>
  <sheetData>
    <row r="9" spans="6:6" ht="36" x14ac:dyDescent="0.25">
      <c r="F9" s="2" t="s">
        <v>171</v>
      </c>
    </row>
    <row r="10" spans="6:6" ht="36" x14ac:dyDescent="0.25">
      <c r="F10" s="2" t="str">
        <f>"DMO "&amp;FY</f>
        <v>DMO 2025-26</v>
      </c>
    </row>
    <row r="11" spans="6:6" ht="23.25" x14ac:dyDescent="0.25">
      <c r="F11" s="4" t="s">
        <v>151</v>
      </c>
    </row>
    <row r="12" spans="6:6" ht="23.25" x14ac:dyDescent="0.25">
      <c r="F12" s="4"/>
    </row>
    <row r="13" spans="6:6" x14ac:dyDescent="0.25">
      <c r="F13" s="5"/>
    </row>
    <row r="14" spans="6:6" x14ac:dyDescent="0.25">
      <c r="F14" s="5"/>
    </row>
  </sheetData>
  <sheetProtection algorithmName="SHA-256" hashValue="QlzbOKIsBpHcSMvCrBM7ISDOCM5HYnskK/8w6zaTx74=" saltValue="UDG4HnCYjmoNCihAQCyNOg==" spinCount="100000" sheet="1" formatCells="0" formatColumns="0" formatRows="0" insertColumns="0" insertRows="0" insertHyperlinks="0" deleteColumns="0" deleteRows="0" sort="0" autoFilter="0" pivotTables="0"/>
  <pageMargins left="0.7" right="0.7" top="0.75" bottom="0.75" header="0.3" footer="0.3"/>
  <headerFooter>
    <oddHeader>&amp;C&amp;"Calibri"&amp;10&amp;KFF0000 OFFICIAL SENSITIVE&amp;1#_x000D_</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AD2C-5DDE-4407-900F-CAB9695DC440}">
  <sheetPr>
    <tabColor rgb="FF00B050"/>
  </sheetPr>
  <dimension ref="A1:AH58"/>
  <sheetViews>
    <sheetView zoomScaleNormal="100" workbookViewId="0">
      <selection sqref="A1:B1"/>
    </sheetView>
  </sheetViews>
  <sheetFormatPr defaultColWidth="8.85546875" defaultRowHeight="15" x14ac:dyDescent="0.25"/>
  <cols>
    <col min="1" max="1" width="1.85546875" style="3" customWidth="1"/>
    <col min="2" max="2" width="33.85546875" style="3" bestFit="1" customWidth="1"/>
    <col min="3" max="5" width="13.140625" style="3" customWidth="1"/>
    <col min="6" max="6" width="26.85546875" style="3" customWidth="1"/>
    <col min="7" max="7" width="5.85546875" style="3" customWidth="1"/>
    <col min="8" max="10" width="10.85546875" style="3" customWidth="1"/>
    <col min="11" max="11" width="1.85546875" style="3" customWidth="1"/>
    <col min="12" max="12" width="10.85546875" style="3" customWidth="1"/>
    <col min="13" max="13" width="12.85546875" style="3" customWidth="1"/>
    <col min="14" max="14" width="13.140625" style="3" customWidth="1"/>
    <col min="15" max="15" width="10.85546875" style="3" customWidth="1"/>
    <col min="16" max="16" width="8.85546875" style="3" customWidth="1"/>
    <col min="17" max="19" width="10.85546875" style="3" customWidth="1"/>
    <col min="20" max="20" width="1.85546875" style="3" customWidth="1"/>
    <col min="21" max="21" width="10.85546875" style="3" customWidth="1"/>
    <col min="22" max="23" width="13.140625" style="3" customWidth="1"/>
    <col min="24" max="24" width="10.85546875" style="3" customWidth="1"/>
    <col min="25" max="25" width="9.140625" style="3" customWidth="1"/>
    <col min="26" max="28" width="10.85546875" style="3" customWidth="1"/>
    <col min="29" max="29" width="1.85546875" style="3" customWidth="1"/>
    <col min="30" max="30" width="10.85546875" style="3" customWidth="1"/>
    <col min="31" max="31" width="12.7109375" style="3" customWidth="1"/>
    <col min="32" max="32" width="9.85546875" style="3" customWidth="1"/>
    <col min="33" max="33" width="10.85546875" style="3" customWidth="1"/>
    <col min="34" max="16384" width="8.85546875" style="3"/>
  </cols>
  <sheetData>
    <row r="1" spans="1:34" ht="10.35" customHeight="1" x14ac:dyDescent="0.25">
      <c r="A1" s="430" t="s">
        <v>18</v>
      </c>
      <c r="B1" s="431"/>
    </row>
    <row r="2" spans="1:34" s="14" customFormat="1" ht="22.5" customHeight="1" x14ac:dyDescent="0.25">
      <c r="A2" s="15" t="s">
        <v>2</v>
      </c>
    </row>
    <row r="3" spans="1:34" s="64" customFormat="1" ht="15.75" thickBot="1" x14ac:dyDescent="0.3">
      <c r="C3" s="64" t="str">
        <f>$A$2&amp;" "&amp;C6&amp;" "&amp;C7</f>
        <v>Ausgrid Residential without CL</v>
      </c>
      <c r="D3" s="64" t="str">
        <f>$A$2&amp;" "&amp;D6&amp;" "&amp;D7</f>
        <v>Ausgrid Residential with CL</v>
      </c>
      <c r="E3" s="64" t="str">
        <f>$A$2&amp;" "&amp;E6&amp;" "&amp;E7</f>
        <v>Ausgrid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row>
    <row r="4" spans="1:34" ht="15.75" x14ac:dyDescent="0.25">
      <c r="B4" s="32" t="s">
        <v>17</v>
      </c>
      <c r="F4" s="32"/>
      <c r="G4" s="75" t="s">
        <v>91</v>
      </c>
      <c r="H4" s="76"/>
      <c r="I4" s="76"/>
      <c r="J4" s="76"/>
      <c r="K4" s="76"/>
      <c r="L4" s="76"/>
      <c r="M4" s="76"/>
      <c r="N4" s="76"/>
      <c r="O4" s="76"/>
      <c r="P4" s="76"/>
      <c r="Q4" s="76"/>
      <c r="R4" s="76"/>
      <c r="S4" s="76"/>
      <c r="T4" s="76"/>
      <c r="U4" s="76"/>
      <c r="V4" s="76"/>
      <c r="W4" s="76"/>
      <c r="X4" s="76"/>
      <c r="Y4" s="76"/>
      <c r="Z4" s="76"/>
      <c r="AA4" s="76"/>
      <c r="AB4" s="76"/>
      <c r="AC4" s="76"/>
      <c r="AD4" s="76"/>
      <c r="AE4" s="76"/>
      <c r="AF4" s="76"/>
      <c r="AG4" s="76"/>
      <c r="AH4" s="77"/>
    </row>
    <row r="5" spans="1:34" ht="5.0999999999999996" customHeight="1" x14ac:dyDescent="0.25">
      <c r="B5" s="5"/>
      <c r="G5" s="78"/>
      <c r="H5" s="79"/>
      <c r="AH5" s="80"/>
    </row>
    <row r="6" spans="1:34" ht="20.100000000000001" customHeight="1" x14ac:dyDescent="0.25">
      <c r="B6" s="468" t="str">
        <f>A2</f>
        <v>Ausgrid</v>
      </c>
      <c r="C6" s="42" t="s">
        <v>6</v>
      </c>
      <c r="D6" s="42" t="s">
        <v>6</v>
      </c>
      <c r="E6" s="42" t="s">
        <v>77</v>
      </c>
      <c r="G6" s="78"/>
      <c r="H6" s="79"/>
      <c r="AH6" s="80"/>
    </row>
    <row r="7" spans="1:34" ht="20.100000000000001" customHeight="1" x14ac:dyDescent="0.25">
      <c r="B7" s="468"/>
      <c r="C7" s="43" t="s">
        <v>127</v>
      </c>
      <c r="D7" s="43" t="s">
        <v>128</v>
      </c>
      <c r="E7" s="43" t="s">
        <v>127</v>
      </c>
      <c r="G7" s="78"/>
      <c r="AH7" s="80"/>
    </row>
    <row r="8" spans="1:34" ht="2.1" customHeight="1" x14ac:dyDescent="0.25">
      <c r="C8" s="19"/>
      <c r="D8" s="19"/>
      <c r="E8" s="19"/>
      <c r="G8" s="78"/>
      <c r="AH8" s="80"/>
    </row>
    <row r="9" spans="1:34" s="40" customFormat="1" ht="30" customHeight="1" x14ac:dyDescent="0.25">
      <c r="B9" s="46" t="str">
        <f>"DMO "&amp;FY&amp;" price ($ pa, inc GST)"</f>
        <v>DMO 2025-26 price ($ pa, inc GST)</v>
      </c>
      <c r="C9" s="116">
        <f ca="1">ROUND(H38,0)</f>
        <v>1965</v>
      </c>
      <c r="D9" s="116">
        <f ca="1">ROUND(Q38,0)</f>
        <v>2717</v>
      </c>
      <c r="E9" s="116">
        <f ca="1">ROUND(Z38,0)</f>
        <v>4977</v>
      </c>
      <c r="F9" s="3"/>
      <c r="G9" s="78"/>
      <c r="H9" s="3"/>
      <c r="I9" s="3"/>
      <c r="J9" s="3"/>
      <c r="K9" s="3"/>
      <c r="L9" s="3"/>
      <c r="M9" s="3"/>
      <c r="N9" s="3"/>
      <c r="O9" s="3"/>
      <c r="P9" s="3"/>
      <c r="Q9" s="3"/>
      <c r="R9" s="3"/>
      <c r="S9" s="3"/>
      <c r="T9" s="3"/>
      <c r="U9" s="3"/>
      <c r="V9" s="3"/>
      <c r="W9" s="3"/>
      <c r="X9" s="3"/>
      <c r="Y9" s="3"/>
      <c r="Z9" s="3"/>
      <c r="AA9" s="3"/>
      <c r="AB9" s="3"/>
      <c r="AC9" s="3"/>
      <c r="AD9" s="3"/>
      <c r="AE9" s="3"/>
      <c r="AF9" s="3"/>
      <c r="AG9" s="3"/>
      <c r="AH9" s="81"/>
    </row>
    <row r="10" spans="1:34" ht="2.1" customHeight="1" x14ac:dyDescent="0.25">
      <c r="B10" s="47"/>
      <c r="C10" s="48"/>
      <c r="D10" s="48"/>
      <c r="E10" s="48"/>
      <c r="F10" s="40"/>
      <c r="G10" s="82"/>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80"/>
    </row>
    <row r="11" spans="1:34" ht="20.100000000000001" customHeight="1" x14ac:dyDescent="0.25">
      <c r="B11" s="49" t="s">
        <v>48</v>
      </c>
      <c r="C11" s="50">
        <f>SUM(C12:C13)</f>
        <v>3900</v>
      </c>
      <c r="D11" s="50">
        <f>SUM(D12:D13)</f>
        <v>6800</v>
      </c>
      <c r="E11" s="50">
        <f>SUM(E12:E13)</f>
        <v>10000</v>
      </c>
      <c r="G11" s="78"/>
      <c r="AH11" s="80"/>
    </row>
    <row r="12" spans="1:34" ht="20.100000000000001" customHeight="1" x14ac:dyDescent="0.25">
      <c r="B12" s="51" t="s">
        <v>52</v>
      </c>
      <c r="C12" s="52">
        <f t="array" ref="C12">INDEX(Usage!$B$5:$M$18,MATCH($B6,Usage!$B$5:$B$18,0),MATCH(C$6&amp;C$7&amp;"Flat rate"&amp;"Total",Usage!$B$5:$M$5&amp;Usage!$B$6:$M$6&amp;Usage!$B$7:$M$7&amp;Usage!$B$13:$M$13,0))</f>
        <v>3900</v>
      </c>
      <c r="D12" s="52">
        <f t="array" ref="D12">INDEX(Usage!$B$5:$M$18,MATCH($B6,Usage!$B$5:$B$18,0),MATCH(D$6&amp;D$7&amp;"Flat rate"&amp;"Total",Usage!$B$5:$M$5&amp;Usage!$B$6:$M$6&amp;Usage!$B$7:$M$7&amp;Usage!$B$13:$M$13,0))</f>
        <v>4800</v>
      </c>
      <c r="E12" s="52">
        <f t="array" ref="E12">INDEX(Usage!$B$5:$M$18,MATCH($B6,Usage!$B$5:$B$18,0),MATCH(E$6&amp;E$7&amp;"Flat rate"&amp;"Total",Usage!$B$5:$M$5&amp;Usage!$B$6:$M$6&amp;Usage!$B$7:$M$7&amp;Usage!$B$13:$M$13,0))</f>
        <v>10000</v>
      </c>
      <c r="G12" s="78"/>
      <c r="AH12" s="80"/>
    </row>
    <row r="13" spans="1:34" ht="20.100000000000001" customHeight="1" x14ac:dyDescent="0.25">
      <c r="B13" s="51" t="s">
        <v>51</v>
      </c>
      <c r="C13" s="52"/>
      <c r="D13" s="52">
        <f t="array" ref="D13">INDEX(Usage!$B$5:$M$18,MATCH($B6,Usage!$B$5:$B$18,0),MATCH(D$6&amp;D$7&amp;"CL"&amp;"Total",Usage!$B$5:$M$5&amp;Usage!$B$6:$M$6&amp;Usage!$B$7:$M$7&amp;Usage!$B$13:$M$13,0))</f>
        <v>2000</v>
      </c>
      <c r="E13" s="52"/>
      <c r="G13" s="78"/>
      <c r="AH13" s="80"/>
    </row>
    <row r="14" spans="1:34" ht="2.1" customHeight="1" x14ac:dyDescent="0.25">
      <c r="B14" s="53"/>
      <c r="C14" s="53"/>
      <c r="D14" s="53"/>
      <c r="E14" s="53"/>
      <c r="G14" s="78"/>
      <c r="AH14" s="80"/>
    </row>
    <row r="15" spans="1:34" ht="20.100000000000001" customHeight="1" x14ac:dyDescent="0.25">
      <c r="B15" s="51" t="str">
        <f>"Change from DMO "&amp;PY&amp; " price ($)"</f>
        <v>Change from DMO 2024-25 price ($)</v>
      </c>
      <c r="C15" s="106">
        <f ca="1">C9-H32</f>
        <v>155</v>
      </c>
      <c r="D15" s="106">
        <f ca="1">D9-Q32</f>
        <v>208</v>
      </c>
      <c r="E15" s="106">
        <f ca="1">E9-Z32</f>
        <v>365</v>
      </c>
      <c r="G15" s="78"/>
      <c r="AH15" s="80"/>
    </row>
    <row r="16" spans="1:34" ht="20.100000000000001" customHeight="1" thickBot="1" x14ac:dyDescent="0.3">
      <c r="B16" s="54" t="str">
        <f>"Change from DMO "&amp;PY&amp; " price (%)"</f>
        <v>Change from DMO 2024-25 price (%)</v>
      </c>
      <c r="C16" s="90">
        <f ca="1">C9/H32-1</f>
        <v>8.5635359116022158E-2</v>
      </c>
      <c r="D16" s="90">
        <f ca="1">D9/Q32-1</f>
        <v>8.290155440414515E-2</v>
      </c>
      <c r="E16" s="90">
        <f ca="1">E9/Z32-1</f>
        <v>7.9141370338247974E-2</v>
      </c>
      <c r="G16" s="78"/>
      <c r="AH16" s="80"/>
    </row>
    <row r="17" spans="2:34" ht="15.75" thickTop="1" x14ac:dyDescent="0.25">
      <c r="B17" s="72" t="s">
        <v>90</v>
      </c>
      <c r="G17" s="78"/>
      <c r="AH17" s="80"/>
    </row>
    <row r="18" spans="2:34" x14ac:dyDescent="0.25">
      <c r="G18" s="78"/>
      <c r="AH18" s="80"/>
    </row>
    <row r="19" spans="2:34" x14ac:dyDescent="0.25">
      <c r="C19" s="70"/>
      <c r="D19" s="117"/>
      <c r="G19" s="78"/>
      <c r="AH19" s="80"/>
    </row>
    <row r="20" spans="2:34" ht="15.75" x14ac:dyDescent="0.25">
      <c r="B20" s="32"/>
      <c r="D20" s="117"/>
      <c r="G20" s="78"/>
      <c r="AH20" s="80"/>
    </row>
    <row r="21" spans="2:34" ht="15" customHeight="1" thickBot="1" x14ac:dyDescent="0.3">
      <c r="F21" s="32"/>
      <c r="G21" s="83"/>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5"/>
    </row>
    <row r="22" spans="2:34" s="33" customFormat="1" ht="15.75" x14ac:dyDescent="0.25">
      <c r="F22" s="32"/>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2:34" s="33" customFormat="1" ht="15.75" hidden="1" x14ac:dyDescent="0.25">
      <c r="F23" s="32"/>
      <c r="G23" s="3"/>
      <c r="H23" s="3" t="str">
        <f>$H$27</f>
        <v>Residential</v>
      </c>
      <c r="I23" s="3" t="str">
        <f>$H$27</f>
        <v>Residential</v>
      </c>
      <c r="J23" s="3" t="str">
        <f>$H$27</f>
        <v>Residential</v>
      </c>
      <c r="K23" s="3"/>
      <c r="L23" s="3" t="str">
        <f>$H$27</f>
        <v>Residential</v>
      </c>
      <c r="M23" s="3" t="str">
        <f>$H$27</f>
        <v>Residential</v>
      </c>
      <c r="N23" s="3" t="str">
        <f>$H$27</f>
        <v>Residential</v>
      </c>
      <c r="O23" s="3" t="str">
        <f>$H$27</f>
        <v>Residential</v>
      </c>
      <c r="P23" s="3"/>
      <c r="Q23" s="3" t="str">
        <f>$Q$27</f>
        <v>Residential</v>
      </c>
      <c r="R23" s="3" t="str">
        <f>$Q$27</f>
        <v>Residential</v>
      </c>
      <c r="S23" s="3" t="str">
        <f>$Q$27</f>
        <v>Residential</v>
      </c>
      <c r="T23" s="3"/>
      <c r="U23" s="3" t="str">
        <f>$Q$27</f>
        <v>Residential</v>
      </c>
      <c r="V23" s="3" t="str">
        <f>$Q$27</f>
        <v>Residential</v>
      </c>
      <c r="W23" s="3" t="str">
        <f>$Q$27</f>
        <v>Residential</v>
      </c>
      <c r="X23" s="3" t="str">
        <f>$Q$27</f>
        <v>Residential</v>
      </c>
      <c r="Y23" s="3"/>
      <c r="Z23" s="3" t="str">
        <f>$Z$27</f>
        <v>Small Business</v>
      </c>
      <c r="AA23" s="3" t="str">
        <f>$Z$27</f>
        <v>Small Business</v>
      </c>
      <c r="AB23" s="3" t="str">
        <f>$Z$27</f>
        <v>Small Business</v>
      </c>
      <c r="AC23" s="3"/>
      <c r="AD23" s="3" t="str">
        <f>$Z$27</f>
        <v>Small Business</v>
      </c>
      <c r="AE23" s="3" t="str">
        <f>$Z$27</f>
        <v>Small Business</v>
      </c>
      <c r="AF23" s="3" t="str">
        <f>$Z$27</f>
        <v>Small Business</v>
      </c>
      <c r="AG23" s="3" t="str">
        <f>$Z$27</f>
        <v>Small Business</v>
      </c>
    </row>
    <row r="24" spans="2:34" s="33" customFormat="1" ht="15.75" hidden="1" x14ac:dyDescent="0.25">
      <c r="F24" s="32"/>
      <c r="G24" s="3"/>
      <c r="H24" s="3" t="str">
        <f>$H$28</f>
        <v>without CL</v>
      </c>
      <c r="I24" s="3" t="str">
        <f>$H$28</f>
        <v>without CL</v>
      </c>
      <c r="J24" s="3" t="str">
        <f>$H$28</f>
        <v>without CL</v>
      </c>
      <c r="K24" s="3"/>
      <c r="L24" s="3" t="str">
        <f>$H$28</f>
        <v>without CL</v>
      </c>
      <c r="M24" s="3" t="str">
        <f>$H$28</f>
        <v>without CL</v>
      </c>
      <c r="N24" s="3" t="str">
        <f>$H$28</f>
        <v>without CL</v>
      </c>
      <c r="O24" s="3" t="str">
        <f>$H$28</f>
        <v>without CL</v>
      </c>
      <c r="P24" s="3"/>
      <c r="Q24" s="3" t="str">
        <f>$Q$28</f>
        <v>with CL</v>
      </c>
      <c r="R24" s="3" t="str">
        <f>$Q$28</f>
        <v>with CL</v>
      </c>
      <c r="S24" s="3" t="str">
        <f>$Q$28</f>
        <v>with CL</v>
      </c>
      <c r="T24" s="3"/>
      <c r="U24" s="3" t="str">
        <f>$Q$28</f>
        <v>with CL</v>
      </c>
      <c r="V24" s="3" t="str">
        <f>$Q$28</f>
        <v>with CL</v>
      </c>
      <c r="W24" s="3" t="str">
        <f>$Q$28</f>
        <v>with CL</v>
      </c>
      <c r="X24" s="3" t="str">
        <f>$Q$28</f>
        <v>with CL</v>
      </c>
      <c r="Y24" s="3"/>
      <c r="Z24" s="3" t="str">
        <f>$Z$28</f>
        <v>without CL</v>
      </c>
      <c r="AA24" s="3" t="str">
        <f>$Z$28</f>
        <v>without CL</v>
      </c>
      <c r="AB24" s="3" t="str">
        <f>$Z$28</f>
        <v>without CL</v>
      </c>
      <c r="AC24" s="3"/>
      <c r="AD24" s="3" t="str">
        <f>$Z$28</f>
        <v>without CL</v>
      </c>
      <c r="AE24" s="3" t="str">
        <f>$Z$28</f>
        <v>without CL</v>
      </c>
      <c r="AF24" s="3" t="str">
        <f>$Z$28</f>
        <v>without CL</v>
      </c>
      <c r="AG24" s="3" t="str">
        <f>$Z$28</f>
        <v>without CL</v>
      </c>
    </row>
    <row r="25" spans="2:34" s="33" customFormat="1" ht="15.75" hidden="1" x14ac:dyDescent="0.25">
      <c r="F25" s="32"/>
      <c r="G25" s="3"/>
      <c r="H25" s="3"/>
      <c r="I25" s="3" t="str">
        <f>$I$29</f>
        <v>2024-25</v>
      </c>
      <c r="J25" s="3" t="str">
        <f>$I$29</f>
        <v>2024-25</v>
      </c>
      <c r="K25" s="3"/>
      <c r="L25" s="3" t="str">
        <f>$L$29</f>
        <v>2025-26</v>
      </c>
      <c r="M25" s="3" t="str">
        <f>$L$29</f>
        <v>2025-26</v>
      </c>
      <c r="N25" s="3" t="str">
        <f>$L$29</f>
        <v>2025-26</v>
      </c>
      <c r="O25" s="3" t="str">
        <f>$L$29</f>
        <v>2025-26</v>
      </c>
      <c r="P25" s="3"/>
      <c r="Q25" s="3"/>
      <c r="R25" s="3" t="str">
        <f>$R$29</f>
        <v>2024-25</v>
      </c>
      <c r="S25" s="3" t="str">
        <f>$R$29</f>
        <v>2024-25</v>
      </c>
      <c r="T25" s="3"/>
      <c r="U25" s="3" t="str">
        <f>$U$29</f>
        <v>2025-26</v>
      </c>
      <c r="V25" s="3" t="str">
        <f>$U$29</f>
        <v>2025-26</v>
      </c>
      <c r="W25" s="3" t="str">
        <f>$U$29</f>
        <v>2025-26</v>
      </c>
      <c r="X25" s="3" t="str">
        <f>$U$29</f>
        <v>2025-26</v>
      </c>
      <c r="Y25" s="3"/>
      <c r="Z25" s="3"/>
      <c r="AA25" s="3" t="str">
        <f>$AA$29</f>
        <v>2024-25</v>
      </c>
      <c r="AB25" s="3" t="str">
        <f>$AA$29</f>
        <v>2024-25</v>
      </c>
      <c r="AC25" s="3"/>
      <c r="AD25" s="3" t="str">
        <f>$AD$29</f>
        <v>2025-26</v>
      </c>
      <c r="AE25" s="3" t="str">
        <f>$AD$29</f>
        <v>2025-26</v>
      </c>
      <c r="AF25" s="3" t="str">
        <f>$AD$29</f>
        <v>2025-26</v>
      </c>
      <c r="AG25" s="3" t="str">
        <f>$AD$29</f>
        <v>2025-26</v>
      </c>
    </row>
    <row r="26" spans="2:34" s="33" customFormat="1" ht="15.75" x14ac:dyDescent="0.25">
      <c r="F26" s="32" t="s">
        <v>43</v>
      </c>
      <c r="G26" s="89" t="s">
        <v>129</v>
      </c>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2:34" s="33" customFormat="1" x14ac:dyDescent="0.25">
      <c r="F27" s="469" t="s">
        <v>32</v>
      </c>
      <c r="G27" s="73"/>
      <c r="H27" s="465" t="s">
        <v>6</v>
      </c>
      <c r="I27" s="465"/>
      <c r="J27" s="465"/>
      <c r="K27" s="465"/>
      <c r="L27" s="465"/>
      <c r="M27" s="465"/>
      <c r="N27" s="465"/>
      <c r="O27" s="465"/>
      <c r="P27" s="39"/>
      <c r="Q27" s="465" t="s">
        <v>6</v>
      </c>
      <c r="R27" s="465"/>
      <c r="S27" s="465"/>
      <c r="T27" s="465"/>
      <c r="U27" s="465"/>
      <c r="V27" s="465"/>
      <c r="W27" s="465"/>
      <c r="X27" s="465"/>
      <c r="Y27" s="39"/>
      <c r="Z27" s="465" t="s">
        <v>77</v>
      </c>
      <c r="AA27" s="465"/>
      <c r="AB27" s="465"/>
      <c r="AC27" s="465"/>
      <c r="AD27" s="465"/>
      <c r="AE27" s="465"/>
      <c r="AF27" s="465"/>
      <c r="AG27" s="465"/>
    </row>
    <row r="28" spans="2:34" ht="15.75" thickBot="1" x14ac:dyDescent="0.3">
      <c r="F28" s="469"/>
      <c r="G28" s="73"/>
      <c r="H28" s="466" t="s">
        <v>127</v>
      </c>
      <c r="I28" s="466"/>
      <c r="J28" s="466"/>
      <c r="K28" s="466"/>
      <c r="L28" s="466"/>
      <c r="M28" s="466"/>
      <c r="N28" s="466"/>
      <c r="O28" s="466"/>
      <c r="P28" s="39"/>
      <c r="Q28" s="466" t="s">
        <v>128</v>
      </c>
      <c r="R28" s="466"/>
      <c r="S28" s="466"/>
      <c r="T28" s="466"/>
      <c r="U28" s="466"/>
      <c r="V28" s="466"/>
      <c r="W28" s="466"/>
      <c r="X28" s="466"/>
      <c r="Y28" s="39"/>
      <c r="Z28" s="466" t="s">
        <v>127</v>
      </c>
      <c r="AA28" s="466"/>
      <c r="AB28" s="466"/>
      <c r="AC28" s="466"/>
      <c r="AD28" s="466"/>
      <c r="AE28" s="466"/>
      <c r="AF28" s="466"/>
      <c r="AG28" s="466"/>
    </row>
    <row r="29" spans="2:34" ht="15" customHeight="1" thickTop="1" x14ac:dyDescent="0.25">
      <c r="F29" s="469"/>
      <c r="G29" s="74"/>
      <c r="H29" s="39" t="s">
        <v>67</v>
      </c>
      <c r="I29" s="467" t="str">
        <f>PY</f>
        <v>2024-25</v>
      </c>
      <c r="J29" s="467"/>
      <c r="K29" s="39"/>
      <c r="L29" s="467" t="str">
        <f>FY</f>
        <v>2025-26</v>
      </c>
      <c r="M29" s="467"/>
      <c r="N29" s="467"/>
      <c r="O29" s="467"/>
      <c r="P29" s="39"/>
      <c r="Q29" s="39" t="s">
        <v>67</v>
      </c>
      <c r="R29" s="467" t="str">
        <f>PY</f>
        <v>2024-25</v>
      </c>
      <c r="S29" s="467"/>
      <c r="T29" s="39"/>
      <c r="U29" s="467" t="str">
        <f>FY</f>
        <v>2025-26</v>
      </c>
      <c r="V29" s="467"/>
      <c r="W29" s="467"/>
      <c r="X29" s="467"/>
      <c r="Y29" s="39"/>
      <c r="Z29" s="39" t="s">
        <v>67</v>
      </c>
      <c r="AA29" s="467" t="str">
        <f>PY</f>
        <v>2024-25</v>
      </c>
      <c r="AB29" s="467"/>
      <c r="AC29" s="39"/>
      <c r="AD29" s="467" t="str">
        <f>FY</f>
        <v>2025-26</v>
      </c>
      <c r="AE29" s="467"/>
      <c r="AF29" s="467"/>
      <c r="AG29" s="467"/>
    </row>
    <row r="30" spans="2:34" ht="25.5" x14ac:dyDescent="0.25">
      <c r="F30" s="469"/>
      <c r="G30" s="74"/>
      <c r="H30" s="154"/>
      <c r="I30" s="155" t="s">
        <v>21</v>
      </c>
      <c r="J30" s="155" t="s">
        <v>23</v>
      </c>
      <c r="K30" s="155"/>
      <c r="L30" s="155" t="s">
        <v>20</v>
      </c>
      <c r="M30" s="156" t="s">
        <v>160</v>
      </c>
      <c r="N30" s="155" t="s">
        <v>21</v>
      </c>
      <c r="O30" s="155" t="s">
        <v>23</v>
      </c>
      <c r="P30" s="155"/>
      <c r="Q30" s="155"/>
      <c r="R30" s="155" t="s">
        <v>21</v>
      </c>
      <c r="S30" s="155" t="s">
        <v>23</v>
      </c>
      <c r="T30" s="155"/>
      <c r="U30" s="155" t="s">
        <v>20</v>
      </c>
      <c r="V30" s="156" t="s">
        <v>50</v>
      </c>
      <c r="W30" s="155" t="s">
        <v>21</v>
      </c>
      <c r="X30" s="155" t="s">
        <v>23</v>
      </c>
      <c r="Y30" s="155"/>
      <c r="Z30" s="155"/>
      <c r="AA30" s="155" t="s">
        <v>21</v>
      </c>
      <c r="AB30" s="155" t="s">
        <v>23</v>
      </c>
      <c r="AC30" s="155"/>
      <c r="AD30" s="155" t="s">
        <v>20</v>
      </c>
      <c r="AE30" s="156" t="s">
        <v>50</v>
      </c>
      <c r="AF30" s="155" t="s">
        <v>21</v>
      </c>
      <c r="AG30" s="155" t="s">
        <v>23</v>
      </c>
    </row>
    <row r="31" spans="2:34" ht="15" customHeight="1" x14ac:dyDescent="0.25">
      <c r="F31" s="469"/>
      <c r="G31" s="74"/>
      <c r="H31" s="155" t="s">
        <v>68</v>
      </c>
      <c r="I31" s="155" t="s">
        <v>45</v>
      </c>
      <c r="J31" s="155" t="s">
        <v>27</v>
      </c>
      <c r="K31" s="155"/>
      <c r="L31" s="155" t="s">
        <v>27</v>
      </c>
      <c r="M31" s="155" t="s">
        <v>27</v>
      </c>
      <c r="N31" s="155" t="s">
        <v>45</v>
      </c>
      <c r="O31" s="155" t="s">
        <v>27</v>
      </c>
      <c r="P31" s="155"/>
      <c r="Q31" s="155"/>
      <c r="R31" s="155" t="s">
        <v>45</v>
      </c>
      <c r="S31" s="155" t="s">
        <v>27</v>
      </c>
      <c r="T31" s="155"/>
      <c r="U31" s="155" t="s">
        <v>27</v>
      </c>
      <c r="V31" s="155" t="s">
        <v>27</v>
      </c>
      <c r="W31" s="155" t="s">
        <v>45</v>
      </c>
      <c r="X31" s="155" t="s">
        <v>27</v>
      </c>
      <c r="Y31" s="155"/>
      <c r="Z31" s="155"/>
      <c r="AA31" s="155" t="s">
        <v>45</v>
      </c>
      <c r="AB31" s="155" t="s">
        <v>27</v>
      </c>
      <c r="AC31" s="155"/>
      <c r="AD31" s="155" t="s">
        <v>27</v>
      </c>
      <c r="AE31" s="155" t="s">
        <v>27</v>
      </c>
      <c r="AF31" s="155" t="s">
        <v>45</v>
      </c>
      <c r="AG31" s="155" t="s">
        <v>27</v>
      </c>
    </row>
    <row r="32" spans="2:34" ht="15" customHeight="1" x14ac:dyDescent="0.25">
      <c r="F32" s="44" t="str">
        <f>"DMO "&amp;PY&amp;" price"</f>
        <v>DMO 2024-25 price</v>
      </c>
      <c r="G32" s="44"/>
      <c r="H32" s="157">
        <f t="array" ref="H32">INDEX('Detail inputs'!$B$3:$K$195,MATCH($B$6&amp;H$27&amp;H$28&amp;H$29,'Detail inputs'!$B$3:$B$195&amp;'Detail inputs'!$D$3:$D$195&amp;'Detail inputs'!$E$3:$E$195&amp;'Detail inputs'!$F$3:$F$195&amp;'Detail inputs'!$G$3:$G$195,0),MATCH(I$29,'Detail inputs'!$B$3:$K$3,0))</f>
        <v>1810</v>
      </c>
      <c r="I32" s="158"/>
      <c r="J32" s="158"/>
      <c r="K32" s="158"/>
      <c r="L32" s="158"/>
      <c r="M32" s="158"/>
      <c r="N32" s="158"/>
      <c r="O32" s="158"/>
      <c r="P32" s="158"/>
      <c r="Q32" s="157">
        <f t="array" ref="Q32">INDEX('Detail inputs'!$B$3:$K$195,MATCH($B$6&amp;Q$27&amp;Q$28&amp;Q$29,'Detail inputs'!$B$3:$B$195&amp;'Detail inputs'!$D$3:$D$195&amp;'Detail inputs'!$E$3:$E$195&amp;'Detail inputs'!$F$3:$F$195&amp;'Detail inputs'!$G$3:$G$195,0),MATCH(R$29,'Detail inputs'!$B$3:$K$3,0))</f>
        <v>2509</v>
      </c>
      <c r="R32" s="157"/>
      <c r="S32" s="158"/>
      <c r="T32" s="158"/>
      <c r="U32" s="158"/>
      <c r="V32" s="158"/>
      <c r="W32" s="159"/>
      <c r="X32" s="158"/>
      <c r="Y32" s="159"/>
      <c r="Z32" s="157">
        <f t="array" ref="Z32">INDEX('Detail inputs'!$B$3:$K$195,MATCH($B$6&amp;Z$27&amp;Z$28&amp;Z$29,'Detail inputs'!$B$3:$B$195&amp;'Detail inputs'!$D$3:$D$195&amp;'Detail inputs'!$E$3:$E$195&amp;'Detail inputs'!$F$3:$F$195&amp;'Detail inputs'!$G$3:$G$195,0),MATCH(AA$29,'Detail inputs'!$B$3:$K$3,0))</f>
        <v>4612</v>
      </c>
      <c r="AA32" s="157"/>
      <c r="AB32" s="158"/>
      <c r="AC32" s="158"/>
      <c r="AD32" s="158"/>
      <c r="AE32" s="158"/>
      <c r="AF32" s="158"/>
      <c r="AG32" s="158"/>
    </row>
    <row r="33" spans="2:33" ht="15" customHeight="1" x14ac:dyDescent="0.25">
      <c r="F33" s="45" t="s">
        <v>62</v>
      </c>
      <c r="G33" s="45"/>
      <c r="H33" s="157"/>
      <c r="I33" s="157" cm="1">
        <f t="array" aca="1" ref="I33" ca="1">INDEX(INDIRECT("'"&amp;$F33&amp;"'!$B$3:$T$300"),MATCH($B$6&amp;H$27&amp;H$28&amp;"Total inc GST",INDIRECT("'"&amp;$F33&amp;"'!$B$3:$B$300")&amp;INDIRECT("'"&amp;$F33&amp;"'!$C$3:$C$300")&amp;INDIRECT("'"&amp;$F33&amp;"'!$D$3:$D$300")&amp;INDIRECT("'"&amp;$F33&amp;"'!$G$3:$G$300"),0),MATCH(I$29&amp;I$30,INDIRECT("'"&amp;$F33&amp;"'!$B$4:$T$4")&amp;INDIRECT("'"&amp;$F33&amp;"'!$B$5:$T$5"),0))</f>
        <v>656.75497844808194</v>
      </c>
      <c r="J33" s="158">
        <f t="shared" ref="J33:J37" ca="1" si="0">I33/H$32</f>
        <v>0.36284805439120549</v>
      </c>
      <c r="K33" s="158"/>
      <c r="L33" s="160" cm="1">
        <f t="array" aca="1" ref="L33" ca="1">INDEX(INDIRECT("'"&amp;$F33&amp;"'!$B$3:$T$300"),MATCH($B$6&amp;H$27&amp;H$28&amp;"Total inc GST",INDIRECT("'"&amp;$F33&amp;"'!$B$3:$B$300")&amp;INDIRECT("'"&amp;$F33&amp;"'!$C$3:$C$300")&amp;INDIRECT("'"&amp;$F33&amp;"'!$D$3:$D$300")&amp;INDIRECT("'"&amp;$F33&amp;"'!$G$3:$G$300"),0),MATCH(L$29&amp;L$30,INDIRECT("'"&amp;$F33&amp;"'!$B$4:$T$4")&amp;INDIRECT("'"&amp;$F33&amp;"'!$B$5:$T$5"),0))</f>
        <v>8.4003905752518593E-2</v>
      </c>
      <c r="M33" s="160">
        <f ca="1">(N33-I33)/H32</f>
        <v>3.0480653763563549E-2</v>
      </c>
      <c r="N33" s="157">
        <f t="array" aca="1" ref="N33" ca="1">INDEX(INDIRECT("'"&amp;$F33&amp;"'!$B$3:$T$300"),MATCH($B$6&amp;H$27&amp;H$28&amp;"Total inc GST",INDIRECT("'"&amp;$F33&amp;"'!$B$3:$B$300")&amp;INDIRECT("'"&amp;$F33&amp;"'!$C$3:$C$300")&amp;INDIRECT("'"&amp;$F33&amp;"'!$D$3:$D$300")&amp;INDIRECT("'"&amp;$F33&amp;"'!$G$3:$G$300"),0),MATCH(L$29&amp;N$30,INDIRECT("'"&amp;$F33&amp;"'!$B$4:$T$4")&amp;INDIRECT("'"&amp;$F33&amp;"'!$B$5:$T$5"),0))</f>
        <v>711.92496176013196</v>
      </c>
      <c r="O33" s="158">
        <f ca="1">N33/H$38</f>
        <v>0.36230277952169565</v>
      </c>
      <c r="P33" s="157"/>
      <c r="Q33" s="158"/>
      <c r="R33" s="157">
        <f t="array" aca="1" ref="R33" ca="1">INDEX(INDIRECT("'"&amp;$F33&amp;"'!$B$3:$T$300"),MATCH($B$6&amp;Q$27&amp;Q$28&amp;"Total inc GST",INDIRECT("'"&amp;$F33&amp;"'!$B$3:$B$300")&amp;INDIRECT("'"&amp;$F33&amp;"'!$C$3:$C$300")&amp;INDIRECT("'"&amp;$F33&amp;"'!$D$3:$D$300")&amp;INDIRECT("'"&amp;$F33&amp;"'!$G$3:$G$300"),0),MATCH(R$29&amp;R$30,INDIRECT("'"&amp;$F33&amp;"'!$B$4:$T$4")&amp;INDIRECT("'"&amp;$F33&amp;"'!$B$5:$T$5"),0))</f>
        <v>854.75665134240103</v>
      </c>
      <c r="S33" s="158">
        <f t="shared" ref="S33:S37" ca="1" si="1">R33/Q$32</f>
        <v>0.34067622612291792</v>
      </c>
      <c r="T33" s="158"/>
      <c r="U33" s="160">
        <f t="array" aca="1" ref="U33" ca="1">INDEX(INDIRECT("'"&amp;$F33&amp;"'!$B$3:$T$300"),MATCH($B$6&amp;Q$27&amp;Q$28&amp;"Total inc GST",INDIRECT("'"&amp;$F33&amp;"'!$B$3:$B$300")&amp;INDIRECT("'"&amp;$F33&amp;"'!$C$3:$C$300")&amp;INDIRECT("'"&amp;$F33&amp;"'!$D$3:$D$300")&amp;INDIRECT("'"&amp;$F33&amp;"'!$G$3:$G$300"),0),MATCH(U$29&amp;U$30,INDIRECT("'"&amp;$F33&amp;"'!$B$4:$T$4")&amp;INDIRECT("'"&amp;$F33&amp;"'!$B$5:$T$5"),0))</f>
        <v>8.2331088826083532E-2</v>
      </c>
      <c r="V33" s="160">
        <f ca="1">(W33-R33)/Q32</f>
        <v>2.8048244633860905E-2</v>
      </c>
      <c r="W33" s="157">
        <f t="array" aca="1" ref="W33" ca="1">INDEX(INDIRECT("'"&amp;$F33&amp;"'!$B$3:$T$300"),MATCH($B$6&amp;Q$27&amp;Q$28&amp;"Total inc GST",INDIRECT("'"&amp;$F33&amp;"'!$B$3:$B$300")&amp;INDIRECT("'"&amp;$F33&amp;"'!$C$3:$C$300")&amp;INDIRECT("'"&amp;$F33&amp;"'!$D$3:$D$300")&amp;INDIRECT("'"&amp;$F33&amp;"'!$G$3:$G$300"),0),MATCH(U$29&amp;W$30,INDIRECT("'"&amp;$F33&amp;"'!$B$4:$T$4")&amp;INDIRECT("'"&amp;$F33&amp;"'!$B$5:$T$5"),0))</f>
        <v>925.12969712875804</v>
      </c>
      <c r="X33" s="158">
        <f ca="1">W33/Q$38</f>
        <v>0.34049676007683405</v>
      </c>
      <c r="Y33" s="287"/>
      <c r="Z33" s="159"/>
      <c r="AA33" s="157">
        <f t="array" aca="1" ref="AA33" ca="1">INDEX(INDIRECT("'"&amp;$F33&amp;"'!$B$3:$T$300"),MATCH($B$6&amp;Z$27&amp;Z$28&amp;"Total inc GST",INDIRECT("'"&amp;$F33&amp;"'!$B$3:$B$300")&amp;INDIRECT("'"&amp;$F33&amp;"'!$C$3:$C$300")&amp;INDIRECT("'"&amp;$F33&amp;"'!$D$3:$D$300")&amp;INDIRECT("'"&amp;$F33&amp;"'!$G$3:$G$300"),0),MATCH(AA$29&amp;AA$30,INDIRECT("'"&amp;$F33&amp;"'!$B$4:$T$4")&amp;INDIRECT("'"&amp;$F33&amp;"'!$B$5:$T$5"),0))</f>
        <v>1756.1919530464475</v>
      </c>
      <c r="AB33" s="158">
        <f t="shared" ref="AB33:AB36" ca="1" si="2">AA33/Z$32</f>
        <v>0.38078750066054801</v>
      </c>
      <c r="AC33" s="158"/>
      <c r="AD33" s="160">
        <f t="array" aca="1" ref="AD33" ca="1">INDEX(INDIRECT("'"&amp;$F33&amp;"'!$B$3:$T$300"),MATCH($B$6&amp;Z$27&amp;Z$28&amp;"Total inc GST",INDIRECT("'"&amp;$F33&amp;"'!$B$3:$B$300")&amp;INDIRECT("'"&amp;$F33&amp;"'!$C$3:$C$300")&amp;INDIRECT("'"&amp;$F33&amp;"'!$D$3:$D$300")&amp;INDIRECT("'"&amp;$F33&amp;"'!$G$3:$G$300"),0),MATCH(AD$29&amp;AD$30,INDIRECT("'"&amp;$F33&amp;"'!$B$4:$T$4")&amp;INDIRECT("'"&amp;$F33&amp;"'!$B$5:$T$5"),0))</f>
        <v>9.517532216910074E-2</v>
      </c>
      <c r="AE33" s="160">
        <f ca="1">(AF33-AA33)/Z32</f>
        <v>3.6241573053334308E-2</v>
      </c>
      <c r="AF33" s="157">
        <f t="array" aca="1" ref="AF33" ca="1">INDEX(INDIRECT("'"&amp;$F33&amp;"'!$B$3:$T$300"),MATCH($B$6&amp;Z$27&amp;Z$28&amp;"Total inc GST",INDIRECT("'"&amp;$F33&amp;"'!$B$3:$B$300")&amp;INDIRECT("'"&amp;$F33&amp;"'!$C$3:$C$300")&amp;INDIRECT("'"&amp;$F33&amp;"'!$D$3:$D$300")&amp;INDIRECT("'"&amp;$F33&amp;"'!$G$3:$G$300"),0),MATCH(AD$29&amp;AF$30,INDIRECT("'"&amp;$F33&amp;"'!$B$4:$T$4")&amp;INDIRECT("'"&amp;$F33&amp;"'!$B$5:$T$5"),0))</f>
        <v>1923.3380879684253</v>
      </c>
      <c r="AG33" s="158">
        <f ca="1">AF33/Z$38</f>
        <v>0.38644526581644068</v>
      </c>
    </row>
    <row r="34" spans="2:33" ht="15" customHeight="1" x14ac:dyDescent="0.25">
      <c r="F34" s="45" t="s">
        <v>63</v>
      </c>
      <c r="G34" s="45"/>
      <c r="H34" s="157"/>
      <c r="I34" s="157">
        <f t="array" aca="1" ref="I34" ca="1">INDEX(INDIRECT("'"&amp;$F34&amp;"'!$B$3:$T$300"),MATCH($B$6&amp;H$27&amp;H$28&amp;"Total inc GST",INDIRECT("'"&amp;$F34&amp;"'!$B$3:$B$300")&amp;INDIRECT("'"&amp;$F34&amp;"'!$C$3:$C$300")&amp;INDIRECT("'"&amp;$F34&amp;"'!$D$3:$D$300")&amp;INDIRECT("'"&amp;$F34&amp;"'!$G$3:$G$300"),0),MATCH(I$29&amp;I$30,INDIRECT("'"&amp;$F34&amp;"'!$B$4:$T$4")&amp;INDIRECT("'"&amp;$F34&amp;"'!$B$5:$T$5"),0))</f>
        <v>712.34100252857127</v>
      </c>
      <c r="J34" s="158">
        <f t="shared" ca="1" si="0"/>
        <v>0.3935585649329123</v>
      </c>
      <c r="K34" s="158"/>
      <c r="L34" s="160">
        <f t="array" aca="1" ref="L34" ca="1">INDEX(INDIRECT("'"&amp;$F34&amp;"'!$B$3:$T$300"),MATCH($B$6&amp;H$27&amp;H$28&amp;"Total inc GST",INDIRECT("'"&amp;$F34&amp;"'!$B$3:$B$300")&amp;INDIRECT("'"&amp;$F34&amp;"'!$C$3:$C$300")&amp;INDIRECT("'"&amp;$F34&amp;"'!$D$3:$D$300")&amp;INDIRECT("'"&amp;$F34&amp;"'!$G$3:$G$300"),0),MATCH(L$29&amp;L$30,INDIRECT("'"&amp;$F34&amp;"'!$B$4:$T$4")&amp;INDIRECT("'"&amp;$F34&amp;"'!$B$5:$T$5"),0))</f>
        <v>5.8443201423314939E-2</v>
      </c>
      <c r="M34" s="160">
        <f ca="1">(N34-I34)/H32</f>
        <v>2.3000822482244974E-2</v>
      </c>
      <c r="N34" s="157" cm="1">
        <f t="array" aca="1" ref="N34" ca="1">INDEX(INDIRECT("'"&amp;$F34&amp;"'!$B$3:$T$300"),MATCH($B$6&amp;H$27&amp;H$28&amp;"Total inc GST",INDIRECT("'"&amp;$F34&amp;"'!$B$3:$B$300")&amp;INDIRECT("'"&amp;$F34&amp;"'!$C$3:$C$300")&amp;INDIRECT("'"&amp;$F34&amp;"'!$D$3:$D$300")&amp;INDIRECT("'"&amp;$F34&amp;"'!$G$3:$G$300"),0),MATCH(L$29&amp;N$30,INDIRECT("'"&amp;$F34&amp;"'!$B$4:$T$4")&amp;INDIRECT("'"&amp;$F34&amp;"'!$B$5:$T$5"),0))</f>
        <v>753.97249122143467</v>
      </c>
      <c r="O34" s="158">
        <f ca="1">N34/H$38</f>
        <v>0.38370101334424156</v>
      </c>
      <c r="P34" s="157"/>
      <c r="Q34" s="158"/>
      <c r="R34" s="157">
        <f t="array" aca="1" ref="R34" ca="1">INDEX(INDIRECT("'"&amp;$F34&amp;"'!$B$3:$T$300"),MATCH($B$6&amp;Q$27&amp;Q$28&amp;"Total inc GST",INDIRECT("'"&amp;$F34&amp;"'!$B$3:$B$300")&amp;INDIRECT("'"&amp;$F34&amp;"'!$C$3:$C$300")&amp;INDIRECT("'"&amp;$F34&amp;"'!$D$3:$D$300")&amp;INDIRECT("'"&amp;$F34&amp;"'!$G$3:$G$300"),0),MATCH(R$29&amp;R$30,INDIRECT("'"&amp;$F34&amp;"'!$B$4:$T$4")&amp;INDIRECT("'"&amp;$F34&amp;"'!$B$5:$T$5"),0))</f>
        <v>1108.6752496285712</v>
      </c>
      <c r="S34" s="158">
        <f t="shared" ca="1" si="1"/>
        <v>0.44187933424813519</v>
      </c>
      <c r="T34" s="158"/>
      <c r="U34" s="160">
        <f t="array" aca="1" ref="U34" ca="1">INDEX(INDIRECT("'"&amp;$F34&amp;"'!$B$3:$T$300"),MATCH($B$6&amp;Q$27&amp;Q$28&amp;"Total inc GST",INDIRECT("'"&amp;$F34&amp;"'!$B$3:$B$300")&amp;INDIRECT("'"&amp;$F34&amp;"'!$C$3:$C$300")&amp;INDIRECT("'"&amp;$F34&amp;"'!$D$3:$D$300")&amp;INDIRECT("'"&amp;$F34&amp;"'!$G$3:$G$300"),0),MATCH(U$29&amp;U$30,INDIRECT("'"&amp;$F34&amp;"'!$B$4:$T$4")&amp;INDIRECT("'"&amp;$F34&amp;"'!$B$5:$T$5"),0))</f>
        <v>7.9820810333683712E-2</v>
      </c>
      <c r="V34" s="160">
        <f ca="1">(W34-R34)/Q32</f>
        <v>3.5271166529394798E-2</v>
      </c>
      <c r="W34" s="157">
        <f t="array" aca="1" ref="W34" ca="1">INDEX(INDIRECT("'"&amp;$F34&amp;"'!$B$3:$T$300"),MATCH($B$6&amp;Q$27&amp;Q$28&amp;"Total inc GST",INDIRECT("'"&amp;$F34&amp;"'!$B$3:$B$300")&amp;INDIRECT("'"&amp;$F34&amp;"'!$C$3:$C$300")&amp;INDIRECT("'"&amp;$F34&amp;"'!$D$3:$D$300")&amp;INDIRECT("'"&amp;$F34&amp;"'!$G$3:$G$300"),0),MATCH(U$29&amp;W$30,INDIRECT("'"&amp;$F34&amp;"'!$B$4:$T$4")&amp;INDIRECT("'"&amp;$F34&amp;"'!$B$5:$T$5"),0))</f>
        <v>1197.1706064508228</v>
      </c>
      <c r="X34" s="158">
        <f ca="1">W34/Q$38</f>
        <v>0.44062223277542245</v>
      </c>
      <c r="Y34" s="287"/>
      <c r="Z34" s="159"/>
      <c r="AA34" s="157">
        <f t="array" aca="1" ref="AA34" ca="1">INDEX(INDIRECT("'"&amp;$F34&amp;"'!$B$3:$T$300"),MATCH($B$6&amp;Z$27&amp;Z$28&amp;"Total inc GST",INDIRECT("'"&amp;$F34&amp;"'!$B$3:$B$300")&amp;INDIRECT("'"&amp;$F34&amp;"'!$C$3:$C$300")&amp;INDIRECT("'"&amp;$F34&amp;"'!$D$3:$D$300")&amp;INDIRECT("'"&amp;$F34&amp;"'!$G$3:$G$300"),0),MATCH(AA$29&amp;AA$30,INDIRECT("'"&amp;$F34&amp;"'!$B$4:$T$4")&amp;INDIRECT("'"&amp;$F34&amp;"'!$B$5:$T$5"),0))</f>
        <v>1806.0313464285709</v>
      </c>
      <c r="AB34" s="158">
        <f t="shared" ca="1" si="2"/>
        <v>0.39159396063065283</v>
      </c>
      <c r="AC34" s="158"/>
      <c r="AD34" s="160">
        <f t="array" aca="1" ref="AD34" ca="1">INDEX(INDIRECT("'"&amp;$F34&amp;"'!$B$3:$T$300"),MATCH($B$6&amp;Z$27&amp;Z$28&amp;"Total inc GST",INDIRECT("'"&amp;$F34&amp;"'!$B$3:$B$300")&amp;INDIRECT("'"&amp;$F34&amp;"'!$C$3:$C$300")&amp;INDIRECT("'"&amp;$F34&amp;"'!$D$3:$D$300")&amp;INDIRECT("'"&amp;$F34&amp;"'!$G$3:$G$300"),0),MATCH(AD$29&amp;AD$30,INDIRECT("'"&amp;$F34&amp;"'!$B$4:$T$4")&amp;INDIRECT("'"&amp;$F34&amp;"'!$B$5:$T$5"),0))</f>
        <v>5.7267963189735038E-2</v>
      </c>
      <c r="AE34" s="160">
        <f ca="1">(AF34-AA34)/Z32</f>
        <v>2.2425788522718745E-2</v>
      </c>
      <c r="AF34" s="157">
        <f t="array" aca="1" ref="AF34" ca="1">INDEX(INDIRECT("'"&amp;$F34&amp;"'!$B$3:$T$300"),MATCH($B$6&amp;Z$27&amp;Z$28&amp;"Total inc GST",INDIRECT("'"&amp;$F34&amp;"'!$B$3:$B$300")&amp;INDIRECT("'"&amp;$F34&amp;"'!$C$3:$C$300")&amp;INDIRECT("'"&amp;$F34&amp;"'!$D$3:$D$300")&amp;INDIRECT("'"&amp;$F34&amp;"'!$G$3:$G$300"),0),MATCH(AD$29&amp;AF$30,INDIRECT("'"&amp;$F34&amp;"'!$B$4:$T$4")&amp;INDIRECT("'"&amp;$F34&amp;"'!$B$5:$T$5"),0))</f>
        <v>1909.4590830953498</v>
      </c>
      <c r="AG34" s="158">
        <f ca="1">AF34/Z$38</f>
        <v>0.38365663714995979</v>
      </c>
    </row>
    <row r="35" spans="2:33" ht="15" customHeight="1" x14ac:dyDescent="0.25">
      <c r="F35" s="45" t="s">
        <v>64</v>
      </c>
      <c r="G35" s="45"/>
      <c r="H35" s="157"/>
      <c r="I35" s="157" cm="1">
        <f t="array" aca="1" ref="I35" ca="1">INDEX(INDIRECT("'"&amp;$F35&amp;"'!$B$3:$T$300"),MATCH($B$6&amp;H$27&amp;H$28&amp;"Total inc GST",INDIRECT("'"&amp;$F35&amp;"'!$B$3:$B$300")&amp;INDIRECT("'"&amp;$F35&amp;"'!$C$3:$C$300")&amp;INDIRECT("'"&amp;$F35&amp;"'!$D$3:$D$300")&amp;INDIRECT("'"&amp;$F35&amp;"'!$G$3:$G$300"),0),MATCH(I$29&amp;I$30,INDIRECT("'"&amp;$F35&amp;"'!$B$4:$T$4")&amp;INDIRECT("'"&amp;$F35&amp;"'!$B$5:$T$5"),0))</f>
        <v>84.255600000000001</v>
      </c>
      <c r="J35" s="158">
        <f t="shared" ca="1" si="0"/>
        <v>4.6550055248618785E-2</v>
      </c>
      <c r="K35" s="158"/>
      <c r="L35" s="160">
        <f t="array" aca="1" ref="L35" ca="1">INDEX(INDIRECT("'"&amp;$F35&amp;"'!$B$3:$T$300"),MATCH($B$6&amp;H$27&amp;H$28&amp;"Total inc GST",INDIRECT("'"&amp;$F35&amp;"'!$B$3:$B$300")&amp;INDIRECT("'"&amp;$F35&amp;"'!$C$3:$C$300")&amp;INDIRECT("'"&amp;$F35&amp;"'!$D$3:$D$300")&amp;INDIRECT("'"&amp;$F35&amp;"'!$G$3:$G$300"),0),MATCH(L$29&amp;L$30,INDIRECT("'"&amp;$F35&amp;"'!$B$4:$T$4")&amp;INDIRECT("'"&amp;$F35&amp;"'!$B$5:$T$5"),0))</f>
        <v>-0.18899729746790339</v>
      </c>
      <c r="M35" s="160">
        <f ca="1">(N35-I35)/H32</f>
        <v>-8.7978346389705406E-3</v>
      </c>
      <c r="N35" s="157" cm="1">
        <f t="array" aca="1" ref="N35" ca="1">INDEX(INDIRECT("'"&amp;$F35&amp;"'!$B$3:$T$300"),MATCH($B$6&amp;H$27&amp;H$28&amp;"Total inc GST",INDIRECT("'"&amp;$F35&amp;"'!$B$3:$B$300")&amp;INDIRECT("'"&amp;$F35&amp;"'!$C$3:$C$300")&amp;INDIRECT("'"&amp;$F35&amp;"'!$D$3:$D$300")&amp;INDIRECT("'"&amp;$F35&amp;"'!$G$3:$G$300"),0),MATCH(L$29&amp;N$30,INDIRECT("'"&amp;$F35&amp;"'!$B$4:$T$4")&amp;INDIRECT("'"&amp;$F35&amp;"'!$B$5:$T$5"),0))</f>
        <v>68.331519303463324</v>
      </c>
      <c r="O35" s="158">
        <f ca="1">N35/H$38</f>
        <v>3.4774310078098385E-2</v>
      </c>
      <c r="P35" s="157"/>
      <c r="Q35" s="158"/>
      <c r="R35" s="157">
        <f t="array" aca="1" ref="R35" ca="1">INDEX(INDIRECT("'"&amp;$F35&amp;"'!$B$3:$T$300"),MATCH($B$6&amp;Q$27&amp;Q$28&amp;"Total inc GST",INDIRECT("'"&amp;$F35&amp;"'!$B$3:$B$300")&amp;INDIRECT("'"&amp;$F35&amp;"'!$C$3:$C$300")&amp;INDIRECT("'"&amp;$F35&amp;"'!$D$3:$D$300")&amp;INDIRECT("'"&amp;$F35&amp;"'!$G$3:$G$300"),0),MATCH(R$29&amp;R$30,INDIRECT("'"&amp;$F35&amp;"'!$B$4:$T$4")&amp;INDIRECT("'"&amp;$F35&amp;"'!$B$5:$T$5"),0))</f>
        <v>147.14919999999998</v>
      </c>
      <c r="S35" s="158">
        <f t="shared" ca="1" si="1"/>
        <v>5.8648545237146264E-2</v>
      </c>
      <c r="T35" s="158"/>
      <c r="U35" s="160">
        <f t="array" aca="1" ref="U35" ca="1">INDEX(INDIRECT("'"&amp;$F35&amp;"'!$B$3:$T$300"),MATCH($B$6&amp;Q$27&amp;Q$28&amp;"Total inc GST",INDIRECT("'"&amp;$F35&amp;"'!$B$3:$B$300")&amp;INDIRECT("'"&amp;$F35&amp;"'!$C$3:$C$300")&amp;INDIRECT("'"&amp;$F35&amp;"'!$D$3:$D$300")&amp;INDIRECT("'"&amp;$F35&amp;"'!$G$3:$G$300"),0),MATCH(U$29&amp;U$30,INDIRECT("'"&amp;$F35&amp;"'!$B$4:$T$4")&amp;INDIRECT("'"&amp;$F35&amp;"'!$B$5:$T$5"),0))</f>
        <v>-0.19033106383573117</v>
      </c>
      <c r="V35" s="160">
        <f ca="1">(W35-R35)/Q32</f>
        <v>-1.1162640007404051E-2</v>
      </c>
      <c r="W35" s="157">
        <f t="array" aca="1" ref="W35" ca="1">INDEX(INDIRECT("'"&amp;$F35&amp;"'!$B$3:$T$300"),MATCH($B$6&amp;Q$27&amp;Q$28&amp;"Total inc GST",INDIRECT("'"&amp;$F35&amp;"'!$B$3:$B$300")&amp;INDIRECT("'"&amp;$F35&amp;"'!$C$3:$C$300")&amp;INDIRECT("'"&amp;$F35&amp;"'!$D$3:$D$300")&amp;INDIRECT("'"&amp;$F35&amp;"'!$G$3:$G$300"),0),MATCH(U$29&amp;W$30,INDIRECT("'"&amp;$F35&amp;"'!$B$4:$T$4")&amp;INDIRECT("'"&amp;$F35&amp;"'!$B$5:$T$5"),0))</f>
        <v>119.14213622142321</v>
      </c>
      <c r="X35" s="158">
        <f ca="1">W35/Q$38</f>
        <v>4.3850620618852858E-2</v>
      </c>
      <c r="Y35" s="287"/>
      <c r="Z35" s="159"/>
      <c r="AA35" s="157">
        <f t="array" aca="1" ref="AA35" ca="1">INDEX(INDIRECT("'"&amp;$F35&amp;"'!$B$3:$T$300"),MATCH($B$6&amp;Z$27&amp;Z$28&amp;"Total inc GST",INDIRECT("'"&amp;$F35&amp;"'!$B$3:$B$300")&amp;INDIRECT("'"&amp;$F35&amp;"'!$C$3:$C$300")&amp;INDIRECT("'"&amp;$F35&amp;"'!$D$3:$D$300")&amp;INDIRECT("'"&amp;$F35&amp;"'!$G$3:$G$300"),0),MATCH(AA$29&amp;AA$30,INDIRECT("'"&amp;$F35&amp;"'!$B$4:$T$4")&amp;INDIRECT("'"&amp;$F35&amp;"'!$B$5:$T$5"),0))</f>
        <v>216.04000000000002</v>
      </c>
      <c r="AB35" s="158">
        <f t="shared" ca="1" si="2"/>
        <v>4.6843018213356465E-2</v>
      </c>
      <c r="AC35" s="158"/>
      <c r="AD35" s="160">
        <f ca="1">(+AF35-AA35)/AA35</f>
        <v>-0.18899729746790342</v>
      </c>
      <c r="AE35" s="160">
        <f ca="1">(AF35-AA35)/Z32</f>
        <v>-8.8532038475641495E-3</v>
      </c>
      <c r="AF35" s="157">
        <f t="array" aca="1" ref="AF35" ca="1">INDEX(INDIRECT("'"&amp;$F35&amp;"'!$B$3:$T$300"),MATCH($B$6&amp;Z$27&amp;Z$28&amp;"Total inc GST",INDIRECT("'"&amp;$F35&amp;"'!$B$3:$B$300")&amp;INDIRECT("'"&amp;$F35&amp;"'!$C$3:$C$300")&amp;INDIRECT("'"&amp;$F35&amp;"'!$D$3:$D$300")&amp;INDIRECT("'"&amp;$F35&amp;"'!$G$3:$G$300"),0),MATCH(AD$29&amp;AF$30,INDIRECT("'"&amp;$F35&amp;"'!$B$4:$T$4")&amp;INDIRECT("'"&amp;$F35&amp;"'!$B$5:$T$5"),0))</f>
        <v>175.20902385503416</v>
      </c>
      <c r="AG35" s="158">
        <f ca="1">AF35/Z$38</f>
        <v>3.5203741984133848E-2</v>
      </c>
    </row>
    <row r="36" spans="2:33" ht="15" customHeight="1" x14ac:dyDescent="0.25">
      <c r="F36" s="45" t="s">
        <v>168</v>
      </c>
      <c r="G36" s="45"/>
      <c r="H36" s="157"/>
      <c r="I36" s="157" cm="1">
        <f t="array" aca="1" ref="I36" ca="1">INDEX(INDIRECT("'"&amp;$F36&amp;"'!$B$3:$T$300"),MATCH($B$6&amp;H$27&amp;H$28&amp;"Total inc GST",INDIRECT("'"&amp;$F36&amp;"'!$B$3:$B$300")&amp;INDIRECT("'"&amp;$F36&amp;"'!$C$3:$C$300")&amp;INDIRECT("'"&amp;$F36&amp;"'!$D$3:$D$300")&amp;INDIRECT("'"&amp;$F36&amp;"'!$G$3:$G$300"),0),MATCH(I$29&amp;I$30,INDIRECT("'"&amp;$F36&amp;"'!$B$4:$T$4")&amp;INDIRECT("'"&amp;$F36&amp;"'!$B$5:$T$5"),0))</f>
        <v>248.16968193600002</v>
      </c>
      <c r="J36" s="158">
        <f t="shared" ca="1" si="0"/>
        <v>0.13711032151160221</v>
      </c>
      <c r="K36" s="158"/>
      <c r="L36" s="160">
        <f ca="1">IFERROR((N36-I36)/I36,"New cost component")</f>
        <v>0.2592701648770479</v>
      </c>
      <c r="M36" s="160">
        <f ca="1">(N36-I36)/H32</f>
        <v>3.5548615664658154E-2</v>
      </c>
      <c r="N36" s="157" cm="1">
        <f t="array" aca="1" ref="N36" ca="1">INDEX(INDIRECT("'"&amp;$F36&amp;"'!$B$3:$T$300"),MATCH($B$6&amp;H$27&amp;H$28&amp;"Total inc GST",INDIRECT("'"&amp;$F36&amp;"'!$B$3:$B$300")&amp;INDIRECT("'"&amp;$F36&amp;"'!$C$3:$C$300")&amp;INDIRECT("'"&amp;$F36&amp;"'!$D$3:$D$300")&amp;INDIRECT("'"&amp;$F36&amp;"'!$G$3:$G$300"),0),MATCH(L$29&amp;N$30,INDIRECT("'"&amp;$F36&amp;"'!$B$4:$T$4")&amp;INDIRECT("'"&amp;$F36&amp;"'!$B$5:$T$5"),0))</f>
        <v>312.51267628903128</v>
      </c>
      <c r="O36" s="158">
        <f ca="1">N36/H$38</f>
        <v>0.15903952991808207</v>
      </c>
      <c r="P36" s="157"/>
      <c r="Q36" s="158"/>
      <c r="R36" s="157" cm="1">
        <f t="array" aca="1" ref="R36" ca="1">INDEX(INDIRECT("'"&amp;$F36&amp;"'!$B$3:$T$300"),MATCH($B$6&amp;Q$27&amp;Q$28&amp;"Total inc GST",INDIRECT("'"&amp;$F36&amp;"'!$B$3:$B$300")&amp;INDIRECT("'"&amp;$F36&amp;"'!$C$3:$C$300")&amp;INDIRECT("'"&amp;$F36&amp;"'!$D$3:$D$300")&amp;INDIRECT("'"&amp;$F36&amp;"'!$G$3:$G$300"),0),MATCH(R$29&amp;R$30,INDIRECT("'"&amp;$F36&amp;"'!$B$4:$T$4")&amp;INDIRECT("'"&amp;$F36&amp;"'!$B$5:$T$5"),0))</f>
        <v>248.16968193600002</v>
      </c>
      <c r="S36" s="158">
        <f t="shared" ca="1" si="1"/>
        <v>9.8911790329214835E-2</v>
      </c>
      <c r="T36" s="158"/>
      <c r="U36" s="160">
        <f ca="1">IFERROR((W36-R36)/R36,"New cost component")</f>
        <v>0.2592701648770479</v>
      </c>
      <c r="V36" s="160">
        <f ca="1">(W36-R36)/Q32</f>
        <v>2.564487618693952E-2</v>
      </c>
      <c r="W36" s="157" cm="1">
        <f t="array" aca="1" ref="W36" ca="1">INDEX(INDIRECT("'"&amp;$F36&amp;"'!$B$3:$T$300"),MATCH($B$6&amp;Q$27&amp;Q$28&amp;"Total inc GST",INDIRECT("'"&amp;$F36&amp;"'!$B$3:$B$300")&amp;INDIRECT("'"&amp;$F36&amp;"'!$C$3:$C$300")&amp;INDIRECT("'"&amp;$F36&amp;"'!$D$3:$D$300")&amp;INDIRECT("'"&amp;$F36&amp;"'!$G$3:$G$300"),0),MATCH(U$29&amp;W$30,INDIRECT("'"&amp;$F36&amp;"'!$B$4:$T$4")&amp;INDIRECT("'"&amp;$F36&amp;"'!$B$5:$T$5"),0))</f>
        <v>312.51267628903128</v>
      </c>
      <c r="X36" s="158">
        <f ca="1">W36/Q$38</f>
        <v>0.1150212279311856</v>
      </c>
      <c r="Y36" s="287"/>
      <c r="Z36" s="159"/>
      <c r="AA36" s="157">
        <f t="array" aca="1" ref="AA36" ca="1">INDEX(INDIRECT("'"&amp;$F36&amp;"'!$B$3:$T$300"),MATCH($B$6&amp;Z$27&amp;Z$28&amp;"Total inc GST",INDIRECT("'"&amp;$F36&amp;"'!$B$3:$B$300")&amp;INDIRECT("'"&amp;$F36&amp;"'!$C$3:$C$300")&amp;INDIRECT("'"&amp;$F36&amp;"'!$D$3:$D$300")&amp;INDIRECT("'"&amp;$F36&amp;"'!$G$3:$G$300"),0),MATCH(AA$29&amp;AA$30,INDIRECT("'"&amp;$F36&amp;"'!$B$4:$T$4")&amp;INDIRECT("'"&amp;$F36&amp;"'!$B$5:$T$5"),0))</f>
        <v>326.29346481599998</v>
      </c>
      <c r="AB36" s="158">
        <f t="shared" ca="1" si="2"/>
        <v>7.0748799830008674E-2</v>
      </c>
      <c r="AC36" s="158"/>
      <c r="AD36" s="160">
        <f ca="1">(+AF36-AA36)/AA36</f>
        <v>0.2931662952760522</v>
      </c>
      <c r="AE36" s="160">
        <f ca="1">(AF36-AA36)/Z32</f>
        <v>2.0741163541390634E-2</v>
      </c>
      <c r="AF36" s="157">
        <f t="array" aca="1" ref="AF36" ca="1">INDEX(INDIRECT("'"&amp;$F36&amp;"'!$B$3:$T$300"),MATCH($B$6&amp;Z$27&amp;Z$28&amp;"Total inc GST",INDIRECT("'"&amp;$F36&amp;"'!$B$3:$B$300")&amp;INDIRECT("'"&amp;$F36&amp;"'!$C$3:$C$300")&amp;INDIRECT("'"&amp;$F36&amp;"'!$D$3:$D$300")&amp;INDIRECT("'"&amp;$F36&amp;"'!$G$3:$G$300"),0),MATCH(AD$29&amp;AF$30,INDIRECT("'"&amp;$F36&amp;"'!$B$4:$T$4")&amp;INDIRECT("'"&amp;$F36&amp;"'!$B$5:$T$5"),0))</f>
        <v>421.95171106889359</v>
      </c>
      <c r="AG36" s="158">
        <f ca="1">AF36/Z$38</f>
        <v>8.4780331739781709E-2</v>
      </c>
    </row>
    <row r="37" spans="2:33" ht="15" customHeight="1" x14ac:dyDescent="0.25">
      <c r="F37" s="45" t="s">
        <v>210</v>
      </c>
      <c r="G37" s="45"/>
      <c r="H37" s="157"/>
      <c r="I37" s="157">
        <f ca="1">SUM(I33:I36)/(1-SUMIFS('Detail inputs'!$I:$I,'Detail inputs'!$B:$B,$B$6,'Detail inputs'!$G:$G,$F$37,'Detail inputs'!$D:$D,$H$27,'Detail inputs'!$E:$E,$H28))-SUM(I33:I36)</f>
        <v>108.60774018591405</v>
      </c>
      <c r="J37" s="158">
        <f t="shared" ca="1" si="0"/>
        <v>6.000427634580887E-2</v>
      </c>
      <c r="K37" s="158"/>
      <c r="L37" s="160">
        <f ca="1">IFERROR((N37-I37)/I37,"New cost component")</f>
        <v>8.5347382267102007E-2</v>
      </c>
      <c r="M37" s="160">
        <f ca="1">(N37-I37)/H32</f>
        <v>5.1212079109465769E-3</v>
      </c>
      <c r="N37" s="157">
        <f ca="1">SUM(N33:N36)/(1-SUMIFS('Detail inputs'!$J:$J,'Detail inputs'!$B:$B,$B$6,'Detail inputs'!$G:$G,$F$37,'Detail inputs'!$D:$D,$H$27,'Detail inputs'!$E:$E,$H28))-SUM(N33:N36)+IF(+Summary!AE65=1,+Summary!AC60,+Summary!AD60)</f>
        <v>117.87712650472736</v>
      </c>
      <c r="O37" s="158">
        <f ca="1">N37/H$38</f>
        <v>5.998835954439051E-2</v>
      </c>
      <c r="P37" s="157"/>
      <c r="Q37" s="158"/>
      <c r="R37" s="157">
        <f ca="1">SUM(R33:R36)/(1-SUMIFS('Detail inputs'!$I:$I,'Detail inputs'!$B:$B,$B$6,'Detail inputs'!$G:$G,$F$37,'Detail inputs'!$D:$D,$Q$27,'Detail inputs'!$E:$E,$Q28))-SUM(R33:R36)</f>
        <v>150.55856061108352</v>
      </c>
      <c r="S37" s="158">
        <f t="shared" ca="1" si="1"/>
        <v>6.0007397613026515E-2</v>
      </c>
      <c r="T37" s="158"/>
      <c r="U37" s="160">
        <f ca="1">IFERROR((W37-R37)/R37,"New cost component")</f>
        <v>8.2757506472342021E-2</v>
      </c>
      <c r="V37" s="160">
        <f ca="1">(W37-R37)/Q32</f>
        <v>4.9660625963484431E-3</v>
      </c>
      <c r="W37" s="157">
        <f ca="1">SUM(W33:W36)/(1-SUMIFS('Detail inputs'!$J:$J,'Detail inputs'!$B:$B,$B$6,'Detail inputs'!$G:$G,$F$37,'Detail inputs'!$D:$D,$Q$27,'Detail inputs'!$E:$E,$Q28))-SUM(W33:W36)+IF(+Summary!AE65=1,+Summary!AC60,+Summary!AD60)</f>
        <v>163.01841166532176</v>
      </c>
      <c r="X37" s="158">
        <f ca="1">W37/Q$38</f>
        <v>5.9999415408657254E-2</v>
      </c>
      <c r="Y37" s="287"/>
      <c r="Z37" s="159"/>
      <c r="AA37" s="157">
        <f ca="1">SUM(AA33:AA36)/(1-SUMIFS('Detail inputs'!$I:$I,'Detail inputs'!$B:$B,$B$6,'Detail inputs'!$G:$G,$F$37,'Detail inputs'!$D:$D,$Z$27,'Detail inputs'!$E:$E,$Z28))-SUM(AA33:AA36)</f>
        <v>507.30476862023806</v>
      </c>
      <c r="AB37" s="158">
        <f t="shared" ref="AB37" ca="1" si="3">AA37/Z$32</f>
        <v>0.1099966974458452</v>
      </c>
      <c r="AC37" s="158"/>
      <c r="AD37" s="160">
        <f ca="1">(+AF37-AA37)/AA37</f>
        <v>7.9278022057733863E-2</v>
      </c>
      <c r="AE37" s="160">
        <f ca="1">(AF37-AA37)/Z32</f>
        <v>8.7203206063895932E-3</v>
      </c>
      <c r="AF37" s="157">
        <f ca="1">SUM(AF33:AF36)/(1-SUMIFS('Detail inputs'!$J:$J,'Detail inputs'!$B:$B,$B$6,'Detail inputs'!$G:$G,$F$37,'Detail inputs'!$D:$D,$Z$27,'Detail inputs'!$E:$E,$Z28))-SUM(AF33:AF36)+IF(+Summary!AE65=1,+Summary!AC61,+Summary!AD61)</f>
        <v>547.52288725690687</v>
      </c>
      <c r="AG37" s="158">
        <f ca="1">AF37/Z$38</f>
        <v>0.11001062633251092</v>
      </c>
    </row>
    <row r="38" spans="2:33" ht="15.75" thickBot="1" x14ac:dyDescent="0.3">
      <c r="B38" s="72"/>
      <c r="F38" s="69" t="str">
        <f>"DMO "&amp;FY&amp;" price"</f>
        <v>DMO 2025-26 price</v>
      </c>
      <c r="G38" s="69"/>
      <c r="H38" s="161">
        <f ca="1">ROUND(SUM(N33:N37),0)</f>
        <v>1965</v>
      </c>
      <c r="I38" s="162"/>
      <c r="J38" s="162"/>
      <c r="K38" s="162"/>
      <c r="L38" s="162">
        <f ca="1">H38/H32-1</f>
        <v>8.5635359116022158E-2</v>
      </c>
      <c r="M38" s="162"/>
      <c r="N38" s="162"/>
      <c r="O38" s="162"/>
      <c r="P38" s="162"/>
      <c r="Q38" s="161">
        <f ca="1">ROUND(SUM(W33:W37),0)</f>
        <v>2717</v>
      </c>
      <c r="R38" s="161"/>
      <c r="S38" s="162"/>
      <c r="T38" s="162"/>
      <c r="U38" s="162">
        <f ca="1">Q38/Q32-1</f>
        <v>8.290155440414515E-2</v>
      </c>
      <c r="V38" s="162"/>
      <c r="W38" s="163"/>
      <c r="X38" s="163"/>
      <c r="Y38" s="163"/>
      <c r="Z38" s="161">
        <f ca="1">ROUND(SUM(AF33:AF37),0)</f>
        <v>4977</v>
      </c>
      <c r="AA38" s="161"/>
      <c r="AB38" s="162"/>
      <c r="AC38" s="162"/>
      <c r="AD38" s="162">
        <f ca="1">Z38/Z32-1</f>
        <v>7.9141370338247974E-2</v>
      </c>
      <c r="AE38" s="162"/>
      <c r="AF38" s="162"/>
      <c r="AG38" s="162"/>
    </row>
    <row r="39" spans="2:33" ht="15.75" thickTop="1" x14ac:dyDescent="0.25">
      <c r="F39" s="100"/>
      <c r="H39" s="86"/>
      <c r="I39" s="86"/>
      <c r="M39" s="187"/>
      <c r="N39" s="176"/>
      <c r="W39" s="176"/>
      <c r="AF39" s="176"/>
    </row>
    <row r="40" spans="2:33" x14ac:dyDescent="0.25">
      <c r="F40" s="89"/>
      <c r="H40" s="86"/>
      <c r="M40" s="187"/>
      <c r="N40" s="86"/>
      <c r="P40" s="203"/>
      <c r="Q40" s="86"/>
      <c r="W40" s="86"/>
      <c r="X40" s="189"/>
      <c r="Z40" s="86"/>
      <c r="AA40" s="86"/>
      <c r="AF40" s="86"/>
    </row>
    <row r="41" spans="2:33" x14ac:dyDescent="0.25">
      <c r="H41" s="86"/>
      <c r="I41" s="198"/>
      <c r="L41" s="224"/>
      <c r="M41" s="187"/>
      <c r="N41" s="70"/>
      <c r="O41" s="70"/>
      <c r="P41" s="70"/>
      <c r="Q41" s="70"/>
      <c r="R41" s="70"/>
      <c r="S41" s="70"/>
      <c r="T41" s="70"/>
      <c r="U41" s="70"/>
      <c r="V41" s="70"/>
      <c r="W41" s="70"/>
      <c r="X41" s="70"/>
      <c r="Z41" s="86"/>
      <c r="AA41" s="198"/>
      <c r="AF41" s="70"/>
    </row>
    <row r="42" spans="2:33" x14ac:dyDescent="0.25">
      <c r="F42" s="100"/>
      <c r="L42" s="224"/>
      <c r="M42" s="187"/>
      <c r="N42" s="70"/>
      <c r="O42" s="70"/>
      <c r="P42" s="70"/>
      <c r="Q42" s="70"/>
      <c r="R42" s="70"/>
      <c r="S42" s="70"/>
      <c r="T42" s="70"/>
      <c r="U42" s="70"/>
      <c r="V42" s="70"/>
      <c r="W42" s="70"/>
      <c r="X42" s="70"/>
      <c r="Z42" s="86"/>
      <c r="AF42" s="70"/>
    </row>
    <row r="43" spans="2:33" s="87" customFormat="1" x14ac:dyDescent="0.25">
      <c r="H43" s="88"/>
      <c r="L43" s="224"/>
      <c r="M43" s="187"/>
      <c r="N43" s="70"/>
      <c r="O43" s="70"/>
      <c r="P43" s="70"/>
      <c r="Q43" s="70"/>
      <c r="R43" s="70"/>
      <c r="S43" s="70"/>
      <c r="T43" s="70"/>
      <c r="U43" s="70"/>
      <c r="V43" s="70"/>
      <c r="W43" s="70"/>
      <c r="X43" s="70"/>
      <c r="AA43" s="88"/>
      <c r="AF43" s="70"/>
    </row>
    <row r="44" spans="2:33" x14ac:dyDescent="0.25">
      <c r="L44" s="224"/>
      <c r="M44" s="187"/>
      <c r="N44" s="70"/>
      <c r="O44" s="70"/>
      <c r="P44" s="70"/>
      <c r="Q44" s="70"/>
      <c r="R44" s="70"/>
      <c r="S44" s="70"/>
      <c r="T44" s="70"/>
      <c r="U44" s="70"/>
      <c r="V44" s="70"/>
      <c r="W44" s="70"/>
      <c r="X44" s="70"/>
      <c r="AF44" s="70"/>
    </row>
    <row r="45" spans="2:33" x14ac:dyDescent="0.25">
      <c r="L45" s="224"/>
      <c r="M45" s="187"/>
      <c r="N45" s="70"/>
      <c r="O45" s="70"/>
      <c r="P45" s="70"/>
      <c r="Q45" s="70"/>
      <c r="R45" s="70"/>
      <c r="S45" s="70"/>
      <c r="T45" s="70"/>
      <c r="U45" s="70"/>
      <c r="V45" s="70"/>
      <c r="W45" s="70"/>
      <c r="X45" s="70"/>
      <c r="AF45" s="70"/>
    </row>
    <row r="46" spans="2:33" x14ac:dyDescent="0.25">
      <c r="N46" s="176"/>
      <c r="P46" s="70"/>
      <c r="V46" s="176"/>
    </row>
    <row r="47" spans="2:33" x14ac:dyDescent="0.25">
      <c r="H47" s="70"/>
      <c r="M47" s="187"/>
      <c r="N47" s="197"/>
      <c r="O47" s="70"/>
      <c r="P47" s="70"/>
      <c r="Q47" s="70"/>
      <c r="R47" s="70"/>
      <c r="S47" s="70"/>
      <c r="T47" s="70"/>
      <c r="U47" s="70"/>
      <c r="V47" s="197"/>
      <c r="W47" s="86"/>
    </row>
    <row r="48" spans="2:33" x14ac:dyDescent="0.25">
      <c r="N48" s="86"/>
      <c r="O48" s="70"/>
      <c r="P48" s="70"/>
      <c r="R48" s="70"/>
      <c r="U48" s="70"/>
    </row>
    <row r="49" spans="15:21" x14ac:dyDescent="0.25">
      <c r="O49" s="70"/>
      <c r="P49" s="70"/>
    </row>
    <row r="50" spans="15:21" x14ac:dyDescent="0.25">
      <c r="O50" s="70"/>
      <c r="P50" s="70"/>
      <c r="U50" s="70"/>
    </row>
    <row r="58" spans="15:21" x14ac:dyDescent="0.25">
      <c r="U58" s="3" t="s">
        <v>188</v>
      </c>
    </row>
  </sheetData>
  <sheetProtection algorithmName="SHA-256" hashValue="o6CmZl1pB3w3wv5xgjTitWMqvZ2QGvfXVaeGI2llAr0=" saltValue="Owdb+iY/SVju3XI4GSGvng==" spinCount="100000" sheet="1" formatCells="0" formatColumns="0" formatRows="0" insertColumns="0" insertRows="0" insertHyperlinks="0" deleteColumns="0" deleteRows="0" sort="0" autoFilter="0" pivotTables="0"/>
  <mergeCells count="15">
    <mergeCell ref="A1:B1"/>
    <mergeCell ref="B6:B7"/>
    <mergeCell ref="F27:F31"/>
    <mergeCell ref="H27:O27"/>
    <mergeCell ref="Q27:X27"/>
    <mergeCell ref="L29:O29"/>
    <mergeCell ref="R29:S29"/>
    <mergeCell ref="U29:X29"/>
    <mergeCell ref="Z27:AG27"/>
    <mergeCell ref="H28:O28"/>
    <mergeCell ref="Q28:X28"/>
    <mergeCell ref="Z28:AG28"/>
    <mergeCell ref="I29:J29"/>
    <mergeCell ref="AA29:AB29"/>
    <mergeCell ref="AD29:AG29"/>
  </mergeCells>
  <conditionalFormatting sqref="F38:M38">
    <cfRule type="expression" dxfId="342" priority="2">
      <formula>AND(MOD(ROW(),2)=0,F$30="Proportion",$F38="Overall change in costs (%)")</formula>
    </cfRule>
    <cfRule type="expression" dxfId="341" priority="3">
      <formula>AND(MOD(ROW(),1)=0,F$30="Proportion",$F38="Overall change in costs (%)")</formula>
    </cfRule>
  </conditionalFormatting>
  <conditionalFormatting sqref="F32:AG37">
    <cfRule type="expression" dxfId="340" priority="28">
      <formula>AND(MOD(ROW(),2)=0,F$30="Proportion",$F32="Overall change in costs (%)")</formula>
    </cfRule>
    <cfRule type="expression" dxfId="339" priority="29">
      <formula>AND(MOD(ROW(),1)=0,F$30="Proportion",$F32="Overall change in costs (%)")</formula>
    </cfRule>
  </conditionalFormatting>
  <conditionalFormatting sqref="F32:AG38">
    <cfRule type="expression" dxfId="338" priority="1">
      <formula>MOD(ROW(),2)=0</formula>
    </cfRule>
  </conditionalFormatting>
  <conditionalFormatting sqref="G43:K43">
    <cfRule type="cellIs" dxfId="337" priority="10" operator="equal">
      <formula>FALSE</formula>
    </cfRule>
    <cfRule type="cellIs" dxfId="336" priority="11" operator="equal">
      <formula>TRUE</formula>
    </cfRule>
  </conditionalFormatting>
  <conditionalFormatting sqref="N38 W38 AF38">
    <cfRule type="expression" dxfId="335" priority="126">
      <formula>AND(MOD(ROW(),2)=0,#REF!="Proportion",$F38="Overall change in costs (%)")</formula>
    </cfRule>
    <cfRule type="expression" dxfId="334" priority="127">
      <formula>AND(MOD(ROW(),1)=0,#REF!="Proportion",$F38="Overall change in costs (%)")</formula>
    </cfRule>
  </conditionalFormatting>
  <conditionalFormatting sqref="O38 X38 AG38">
    <cfRule type="expression" dxfId="333" priority="123">
      <formula>AND(MOD(ROW(),2)=0,N$30="Proportion",$F38="Overall change in costs (%)")</formula>
    </cfRule>
    <cfRule type="expression" dxfId="332" priority="124">
      <formula>AND(MOD(ROW(),1)=0,N$30="Proportion",$F38="Overall change in costs (%)")</formula>
    </cfRule>
  </conditionalFormatting>
  <conditionalFormatting sqref="P38:V38">
    <cfRule type="expression" dxfId="331" priority="5">
      <formula>AND(MOD(ROW(),2)=0,P$30="Proportion",$F38="Overall change in costs (%)")</formula>
    </cfRule>
    <cfRule type="expression" dxfId="330" priority="6">
      <formula>AND(MOD(ROW(),1)=0,P$30="Proportion",$F38="Overall change in costs (%)")</formula>
    </cfRule>
  </conditionalFormatting>
  <conditionalFormatting sqref="Y38:AE38">
    <cfRule type="expression" dxfId="329" priority="8">
      <formula>AND(MOD(ROW(),2)=0,Y$30="Proportion",$F38="Overall change in costs (%)")</formula>
    </cfRule>
    <cfRule type="expression" dxfId="328" priority="9">
      <formula>AND(MOD(ROW(),1)=0,Y$30="Proportion",$F38="Overall change in costs (%)")</formula>
    </cfRule>
  </conditionalFormatting>
  <conditionalFormatting sqref="Y43:AE43">
    <cfRule type="cellIs" dxfId="327" priority="14" operator="equal">
      <formula>FALSE</formula>
    </cfRule>
    <cfRule type="cellIs" dxfId="326" priority="15" operator="equal">
      <formula>TRUE</formula>
    </cfRule>
  </conditionalFormatting>
  <conditionalFormatting sqref="AG43">
    <cfRule type="cellIs" dxfId="325" priority="18" operator="equal">
      <formula>FALSE</formula>
    </cfRule>
    <cfRule type="cellIs" dxfId="324" priority="19" operator="equal">
      <formula>TRUE</formula>
    </cfRule>
  </conditionalFormatting>
  <hyperlinks>
    <hyperlink ref="A1" location="Index!A1" display="&lt;&lt;Back to Index" xr:uid="{A77B2390-B657-4C0B-9D89-BAD631602640}"/>
  </hyperlinks>
  <pageMargins left="0.7" right="0.7" top="0.75" bottom="0.75" header="0.3" footer="0.3"/>
  <pageSetup paperSize="9" orientation="portrait" r:id="rId1"/>
  <headerFooter>
    <oddHeader>&amp;C&amp;"Calibri"&amp;10&amp;KFF0000 OFFICIAL SENSITIVE&amp;1#_x000D_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B9372-9F79-401C-A6CA-3210670EDA99}">
  <sheetPr>
    <tabColor rgb="FF00B050"/>
  </sheetPr>
  <dimension ref="A1:AH47"/>
  <sheetViews>
    <sheetView zoomScaleNormal="100" workbookViewId="0">
      <selection sqref="A1:B1"/>
    </sheetView>
  </sheetViews>
  <sheetFormatPr defaultColWidth="8.85546875" defaultRowHeight="15" x14ac:dyDescent="0.25"/>
  <cols>
    <col min="1" max="1" width="1.85546875" style="3" customWidth="1"/>
    <col min="2" max="2" width="33.85546875" style="3" bestFit="1" customWidth="1"/>
    <col min="3" max="5" width="13.140625" style="3" customWidth="1"/>
    <col min="6" max="6" width="26.85546875" style="3" customWidth="1"/>
    <col min="7" max="7" width="5.85546875" style="3" customWidth="1"/>
    <col min="8" max="10" width="10.85546875" style="3" customWidth="1"/>
    <col min="11" max="11" width="1.85546875" style="3" customWidth="1"/>
    <col min="12" max="12" width="10.85546875" style="3" customWidth="1"/>
    <col min="13" max="13" width="12.42578125" style="3" customWidth="1"/>
    <col min="14" max="14" width="13.140625" style="3" customWidth="1"/>
    <col min="15" max="15" width="10.85546875" style="3" customWidth="1"/>
    <col min="16" max="16" width="10.5703125" style="3" customWidth="1"/>
    <col min="17" max="19" width="10.85546875" style="3" customWidth="1"/>
    <col min="20" max="20" width="1.85546875" style="3" customWidth="1"/>
    <col min="21" max="21" width="10.85546875" style="3" customWidth="1"/>
    <col min="22" max="22" width="12.42578125" style="3" customWidth="1"/>
    <col min="23" max="23" width="13.140625" style="3" customWidth="1"/>
    <col min="24" max="24" width="10.85546875" style="3" customWidth="1"/>
    <col min="25" max="25" width="5.85546875" style="3" customWidth="1"/>
    <col min="26" max="28" width="10.85546875" style="3" customWidth="1"/>
    <col min="29" max="29" width="1.85546875" style="3" customWidth="1"/>
    <col min="30" max="30" width="10.85546875" style="3" customWidth="1"/>
    <col min="31" max="31" width="12.5703125" style="3" customWidth="1"/>
    <col min="32" max="32" width="9.28515625" style="3" customWidth="1"/>
    <col min="33" max="33" width="10.85546875" style="3" customWidth="1"/>
    <col min="34" max="16384" width="8.85546875" style="3"/>
  </cols>
  <sheetData>
    <row r="1" spans="1:34" ht="10.35" customHeight="1" x14ac:dyDescent="0.25">
      <c r="A1" s="430" t="s">
        <v>18</v>
      </c>
      <c r="B1" s="431"/>
    </row>
    <row r="2" spans="1:34" s="14" customFormat="1" ht="22.5" customHeight="1" x14ac:dyDescent="0.25">
      <c r="A2" s="15" t="s">
        <v>4</v>
      </c>
    </row>
    <row r="3" spans="1:34" s="64" customFormat="1" ht="15.75" thickBot="1" x14ac:dyDescent="0.3">
      <c r="C3" s="64" t="str">
        <f>$A$2&amp;" "&amp;C6&amp;" "&amp;C7</f>
        <v>Endeavour Residential without CL</v>
      </c>
      <c r="D3" s="64" t="str">
        <f>$A$2&amp;" "&amp;D6&amp;" "&amp;D7</f>
        <v>Endeavour Residential with CL</v>
      </c>
      <c r="E3" s="64" t="str">
        <f>$A$2&amp;" "&amp;E6&amp;" "&amp;E7</f>
        <v>Endeavour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row>
    <row r="4" spans="1:34" ht="15.75" x14ac:dyDescent="0.25">
      <c r="B4" s="32" t="s">
        <v>17</v>
      </c>
      <c r="F4" s="32"/>
      <c r="G4" s="75" t="s">
        <v>91</v>
      </c>
      <c r="H4" s="76"/>
      <c r="I4" s="76"/>
      <c r="J4" s="76"/>
      <c r="K4" s="76"/>
      <c r="L4" s="76"/>
      <c r="M4" s="76"/>
      <c r="N4" s="76"/>
      <c r="O4" s="76"/>
      <c r="P4" s="76"/>
      <c r="Q4" s="76"/>
      <c r="R4" s="76"/>
      <c r="S4" s="76"/>
      <c r="T4" s="76"/>
      <c r="U4" s="76"/>
      <c r="V4" s="76"/>
      <c r="W4" s="76"/>
      <c r="X4" s="76"/>
      <c r="Y4" s="76"/>
      <c r="Z4" s="76"/>
      <c r="AA4" s="76"/>
      <c r="AB4" s="76"/>
      <c r="AC4" s="76"/>
      <c r="AD4" s="76"/>
      <c r="AE4" s="76"/>
      <c r="AF4" s="76"/>
      <c r="AG4" s="76"/>
      <c r="AH4" s="77"/>
    </row>
    <row r="5" spans="1:34" ht="5.0999999999999996" customHeight="1" x14ac:dyDescent="0.25">
      <c r="B5" s="5"/>
      <c r="G5" s="78"/>
      <c r="H5" s="79"/>
      <c r="AH5" s="80"/>
    </row>
    <row r="6" spans="1:34" ht="20.100000000000001" customHeight="1" x14ac:dyDescent="0.25">
      <c r="B6" s="468" t="str">
        <f>A2</f>
        <v>Endeavour</v>
      </c>
      <c r="C6" s="42" t="s">
        <v>6</v>
      </c>
      <c r="D6" s="42" t="s">
        <v>6</v>
      </c>
      <c r="E6" s="42" t="s">
        <v>77</v>
      </c>
      <c r="G6" s="78"/>
      <c r="H6" s="79"/>
      <c r="AH6" s="80"/>
    </row>
    <row r="7" spans="1:34" ht="20.100000000000001" customHeight="1" x14ac:dyDescent="0.25">
      <c r="B7" s="468"/>
      <c r="C7" s="43" t="s">
        <v>127</v>
      </c>
      <c r="D7" s="43" t="s">
        <v>128</v>
      </c>
      <c r="E7" s="43" t="s">
        <v>127</v>
      </c>
      <c r="G7" s="78"/>
      <c r="AH7" s="80"/>
    </row>
    <row r="8" spans="1:34" ht="2.1" customHeight="1" x14ac:dyDescent="0.25">
      <c r="C8" s="19"/>
      <c r="D8" s="19"/>
      <c r="E8" s="19"/>
      <c r="G8" s="78"/>
      <c r="AH8" s="80"/>
    </row>
    <row r="9" spans="1:34" s="40" customFormat="1" ht="30" customHeight="1" x14ac:dyDescent="0.25">
      <c r="B9" s="46" t="str">
        <f>"DMO "&amp;FY&amp;" price ($ pa, inc GST)"</f>
        <v>DMO 2025-26 price ($ pa, inc GST)</v>
      </c>
      <c r="C9" s="116">
        <f ca="1">ROUND(H38,0)</f>
        <v>2411</v>
      </c>
      <c r="D9" s="116">
        <f ca="1">ROUND(Q38,0)</f>
        <v>3072</v>
      </c>
      <c r="E9" s="116">
        <f ca="1">ROUND(Z38,0)</f>
        <v>4775</v>
      </c>
      <c r="F9" s="3"/>
      <c r="G9" s="78"/>
      <c r="H9" s="3"/>
      <c r="I9" s="3"/>
      <c r="J9" s="3"/>
      <c r="K9" s="3"/>
      <c r="L9" s="3"/>
      <c r="M9" s="3"/>
      <c r="N9" s="3"/>
      <c r="O9" s="3"/>
      <c r="P9" s="3"/>
      <c r="Q9" s="3"/>
      <c r="R9" s="3"/>
      <c r="S9" s="3"/>
      <c r="T9" s="3"/>
      <c r="U9" s="3"/>
      <c r="V9" s="3"/>
      <c r="W9" s="3"/>
      <c r="X9" s="3"/>
      <c r="Y9" s="3"/>
      <c r="Z9" s="3"/>
      <c r="AA9" s="3"/>
      <c r="AB9" s="3"/>
      <c r="AC9" s="3"/>
      <c r="AD9" s="3"/>
      <c r="AE9" s="3"/>
      <c r="AF9" s="3"/>
      <c r="AG9" s="3"/>
      <c r="AH9" s="81"/>
    </row>
    <row r="10" spans="1:34" ht="2.1" customHeight="1" x14ac:dyDescent="0.25">
      <c r="B10" s="47"/>
      <c r="C10" s="48"/>
      <c r="D10" s="48"/>
      <c r="E10" s="48"/>
      <c r="F10" s="40"/>
      <c r="G10" s="82"/>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80"/>
    </row>
    <row r="11" spans="1:34" ht="20.100000000000001" customHeight="1" x14ac:dyDescent="0.25">
      <c r="B11" s="49" t="s">
        <v>48</v>
      </c>
      <c r="C11" s="50">
        <f>SUM(C12:C13)</f>
        <v>4900</v>
      </c>
      <c r="D11" s="50">
        <f>SUM(D12:D13)</f>
        <v>7400</v>
      </c>
      <c r="E11" s="50">
        <f>SUM(E12:E13)</f>
        <v>10000</v>
      </c>
      <c r="G11" s="78"/>
      <c r="AH11" s="80"/>
    </row>
    <row r="12" spans="1:34" ht="20.100000000000001" customHeight="1" x14ac:dyDescent="0.25">
      <c r="B12" s="51" t="s">
        <v>52</v>
      </c>
      <c r="C12" s="52">
        <f t="array" ref="C12">INDEX(Usage!$B$5:$M$18,MATCH($B6,Usage!$B$5:$B$18,0),MATCH(C$6&amp;C$7&amp;"Flat rate"&amp;"Total",Usage!$B$5:$M$5&amp;Usage!$B$6:$M$6&amp;Usage!$B$7:$M$7&amp;Usage!$B$13:$M$13,0))</f>
        <v>4900</v>
      </c>
      <c r="D12" s="52">
        <f t="array" ref="D12">INDEX(Usage!$B$5:$M$18,MATCH($B6,Usage!$B$5:$B$18,0),MATCH(D$6&amp;D$7&amp;"Flat rate"&amp;"Total",Usage!$B$5:$M$5&amp;Usage!$B$6:$M$6&amp;Usage!$B$7:$M$7&amp;Usage!$B$13:$M$13,0))</f>
        <v>5200</v>
      </c>
      <c r="E12" s="52">
        <f t="array" ref="E12">INDEX(Usage!$B$5:$M$18,MATCH($B6,Usage!$B$5:$B$18,0),MATCH(E$6&amp;E$7&amp;"Flat rate"&amp;"Total",Usage!$B$5:$M$5&amp;Usage!$B$6:$M$6&amp;Usage!$B$7:$M$7&amp;Usage!$B$13:$M$13,0))</f>
        <v>10000</v>
      </c>
      <c r="G12" s="78"/>
      <c r="AH12" s="80"/>
    </row>
    <row r="13" spans="1:34" ht="20.100000000000001" customHeight="1" x14ac:dyDescent="0.25">
      <c r="B13" s="51" t="s">
        <v>51</v>
      </c>
      <c r="C13" s="52"/>
      <c r="D13" s="52">
        <f t="array" ref="D13">INDEX(Usage!$B$5:$M$18,MATCH($B6,Usage!$B$5:$B$18,0),MATCH(D$6&amp;D$7&amp;"CL"&amp;"Total",Usage!$B$5:$M$5&amp;Usage!$B$6:$M$6&amp;Usage!$B$7:$M$7&amp;Usage!$B$13:$M$13,0))</f>
        <v>2200</v>
      </c>
      <c r="E13" s="52"/>
      <c r="G13" s="78"/>
      <c r="AH13" s="80"/>
    </row>
    <row r="14" spans="1:34" ht="2.1" customHeight="1" x14ac:dyDescent="0.25">
      <c r="B14" s="53"/>
      <c r="C14" s="53"/>
      <c r="D14" s="53"/>
      <c r="E14" s="53"/>
      <c r="G14" s="78"/>
      <c r="AH14" s="80"/>
    </row>
    <row r="15" spans="1:34" ht="20.100000000000001" customHeight="1" x14ac:dyDescent="0.25">
      <c r="B15" s="51" t="str">
        <f>"Change from DMO "&amp;PY&amp; " price ($)"</f>
        <v>Change from DMO 2024-25 price ($)</v>
      </c>
      <c r="C15" s="106">
        <f ca="1">C9-H32</f>
        <v>188</v>
      </c>
      <c r="D15" s="106">
        <f ca="1">D9-Q32</f>
        <v>271</v>
      </c>
      <c r="E15" s="106">
        <f ca="1">E9-Z32</f>
        <v>353</v>
      </c>
      <c r="G15" s="78"/>
      <c r="AH15" s="80"/>
    </row>
    <row r="16" spans="1:34" ht="20.100000000000001" customHeight="1" thickBot="1" x14ac:dyDescent="0.3">
      <c r="B16" s="54" t="str">
        <f>"Change from DMO "&amp;PY&amp; " price (%)"</f>
        <v>Change from DMO 2024-25 price (%)</v>
      </c>
      <c r="C16" s="90">
        <f ca="1">C9/H32-1</f>
        <v>8.4570400359873954E-2</v>
      </c>
      <c r="D16" s="90">
        <f ca="1">D9/Q32-1</f>
        <v>9.6751160299892947E-2</v>
      </c>
      <c r="E16" s="90">
        <f ca="1">E9/Z32-1</f>
        <v>7.9828132066938062E-2</v>
      </c>
      <c r="G16" s="78"/>
      <c r="AH16" s="80"/>
    </row>
    <row r="17" spans="2:34" ht="15.75" thickTop="1" x14ac:dyDescent="0.25">
      <c r="B17" s="72" t="s">
        <v>90</v>
      </c>
      <c r="G17" s="78"/>
      <c r="AH17" s="80"/>
    </row>
    <row r="18" spans="2:34" x14ac:dyDescent="0.25">
      <c r="G18" s="78"/>
      <c r="AH18" s="80"/>
    </row>
    <row r="19" spans="2:34" x14ac:dyDescent="0.25">
      <c r="C19" s="70"/>
      <c r="D19" s="117"/>
      <c r="G19" s="78"/>
      <c r="AH19" s="80"/>
    </row>
    <row r="20" spans="2:34" ht="15.75" x14ac:dyDescent="0.25">
      <c r="B20" s="32"/>
      <c r="D20" s="117"/>
      <c r="G20" s="78"/>
      <c r="AH20" s="80"/>
    </row>
    <row r="21" spans="2:34" ht="15" customHeight="1" thickBot="1" x14ac:dyDescent="0.3">
      <c r="F21" s="32"/>
      <c r="G21" s="83"/>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5"/>
    </row>
    <row r="22" spans="2:34" s="33" customFormat="1" ht="15.75" x14ac:dyDescent="0.25">
      <c r="F22" s="32"/>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2:34" s="33" customFormat="1" ht="15.75" hidden="1" x14ac:dyDescent="0.25">
      <c r="F23" s="32"/>
      <c r="G23" s="3"/>
      <c r="H23" s="3" t="str">
        <f>$H$27</f>
        <v>Residential</v>
      </c>
      <c r="I23" s="3" t="str">
        <f>$H$27</f>
        <v>Residential</v>
      </c>
      <c r="J23" s="3" t="str">
        <f>$H$27</f>
        <v>Residential</v>
      </c>
      <c r="K23" s="3"/>
      <c r="L23" s="3" t="str">
        <f>$H$27</f>
        <v>Residential</v>
      </c>
      <c r="M23" s="3" t="str">
        <f>$H$27</f>
        <v>Residential</v>
      </c>
      <c r="N23" s="3" t="str">
        <f>$H$27</f>
        <v>Residential</v>
      </c>
      <c r="O23" s="3" t="str">
        <f>$H$27</f>
        <v>Residential</v>
      </c>
      <c r="P23" s="3"/>
      <c r="Q23" s="3" t="str">
        <f>$Q$27</f>
        <v>Residential</v>
      </c>
      <c r="R23" s="3" t="str">
        <f>$Q$27</f>
        <v>Residential</v>
      </c>
      <c r="S23" s="3" t="str">
        <f>$Q$27</f>
        <v>Residential</v>
      </c>
      <c r="T23" s="3"/>
      <c r="U23" s="3" t="str">
        <f>$Q$27</f>
        <v>Residential</v>
      </c>
      <c r="V23" s="3" t="str">
        <f>$Q$27</f>
        <v>Residential</v>
      </c>
      <c r="W23" s="3" t="str">
        <f>$Q$27</f>
        <v>Residential</v>
      </c>
      <c r="X23" s="3" t="str">
        <f>$Q$27</f>
        <v>Residential</v>
      </c>
      <c r="Y23" s="3"/>
      <c r="Z23" s="3" t="str">
        <f>$Z$27</f>
        <v>Small Business</v>
      </c>
      <c r="AA23" s="3" t="str">
        <f>$Z$27</f>
        <v>Small Business</v>
      </c>
      <c r="AB23" s="3" t="str">
        <f>$Z$27</f>
        <v>Small Business</v>
      </c>
      <c r="AC23" s="3"/>
      <c r="AD23" s="3" t="str">
        <f>$Z$27</f>
        <v>Small Business</v>
      </c>
      <c r="AE23" s="3" t="str">
        <f>$Z$27</f>
        <v>Small Business</v>
      </c>
      <c r="AF23" s="3" t="str">
        <f>$Z$27</f>
        <v>Small Business</v>
      </c>
      <c r="AG23" s="3" t="str">
        <f>$Z$27</f>
        <v>Small Business</v>
      </c>
    </row>
    <row r="24" spans="2:34" s="33" customFormat="1" ht="15.75" hidden="1" x14ac:dyDescent="0.25">
      <c r="F24" s="32"/>
      <c r="G24" s="3"/>
      <c r="H24" s="3" t="str">
        <f>$H$28</f>
        <v>without CL</v>
      </c>
      <c r="I24" s="3" t="str">
        <f>$H$28</f>
        <v>without CL</v>
      </c>
      <c r="J24" s="3" t="str">
        <f>$H$28</f>
        <v>without CL</v>
      </c>
      <c r="K24" s="3"/>
      <c r="L24" s="3" t="str">
        <f>$H$28</f>
        <v>without CL</v>
      </c>
      <c r="M24" s="3" t="str">
        <f>$H$28</f>
        <v>without CL</v>
      </c>
      <c r="N24" s="3" t="str">
        <f>$H$28</f>
        <v>without CL</v>
      </c>
      <c r="O24" s="3" t="str">
        <f>$H$28</f>
        <v>without CL</v>
      </c>
      <c r="P24" s="3"/>
      <c r="Q24" s="3" t="str">
        <f>$Q$28</f>
        <v>with CL</v>
      </c>
      <c r="R24" s="3" t="str">
        <f>$Q$28</f>
        <v>with CL</v>
      </c>
      <c r="S24" s="3" t="str">
        <f>$Q$28</f>
        <v>with CL</v>
      </c>
      <c r="T24" s="3"/>
      <c r="U24" s="3" t="str">
        <f>$Q$28</f>
        <v>with CL</v>
      </c>
      <c r="V24" s="3" t="str">
        <f>$Q$28</f>
        <v>with CL</v>
      </c>
      <c r="W24" s="3" t="str">
        <f>$Q$28</f>
        <v>with CL</v>
      </c>
      <c r="X24" s="3" t="str">
        <f>$Q$28</f>
        <v>with CL</v>
      </c>
      <c r="Y24" s="3"/>
      <c r="Z24" s="3" t="str">
        <f>$Z$28</f>
        <v>without CL</v>
      </c>
      <c r="AA24" s="3" t="str">
        <f>$Z$28</f>
        <v>without CL</v>
      </c>
      <c r="AB24" s="3" t="str">
        <f>$Z$28</f>
        <v>without CL</v>
      </c>
      <c r="AC24" s="3"/>
      <c r="AD24" s="3" t="str">
        <f>$Z$28</f>
        <v>without CL</v>
      </c>
      <c r="AE24" s="3" t="str">
        <f>$Z$28</f>
        <v>without CL</v>
      </c>
      <c r="AF24" s="3" t="str">
        <f>$Z$28</f>
        <v>without CL</v>
      </c>
      <c r="AG24" s="3" t="str">
        <f>$Z$28</f>
        <v>without CL</v>
      </c>
    </row>
    <row r="25" spans="2:34" s="33" customFormat="1" ht="15.75" hidden="1" x14ac:dyDescent="0.25">
      <c r="F25" s="32"/>
      <c r="G25" s="3"/>
      <c r="H25" s="3"/>
      <c r="I25" s="3" t="str">
        <f>$I$29</f>
        <v>2024-25</v>
      </c>
      <c r="J25" s="3" t="str">
        <f>$I$29</f>
        <v>2024-25</v>
      </c>
      <c r="K25" s="3"/>
      <c r="L25" s="3" t="str">
        <f>$L$29</f>
        <v>2025-26</v>
      </c>
      <c r="M25" s="3" t="str">
        <f>$L$29</f>
        <v>2025-26</v>
      </c>
      <c r="N25" s="3" t="str">
        <f>$L$29</f>
        <v>2025-26</v>
      </c>
      <c r="O25" s="3" t="str">
        <f>$L$29</f>
        <v>2025-26</v>
      </c>
      <c r="P25" s="3"/>
      <c r="Q25" s="3"/>
      <c r="R25" s="3" t="str">
        <f>$R$29</f>
        <v>2024-25</v>
      </c>
      <c r="S25" s="3" t="str">
        <f>$R$29</f>
        <v>2024-25</v>
      </c>
      <c r="T25" s="3"/>
      <c r="U25" s="3" t="str">
        <f>$U$29</f>
        <v>2025-26</v>
      </c>
      <c r="V25" s="3" t="str">
        <f>$U$29</f>
        <v>2025-26</v>
      </c>
      <c r="W25" s="3" t="str">
        <f>$U$29</f>
        <v>2025-26</v>
      </c>
      <c r="X25" s="3" t="str">
        <f>$U$29</f>
        <v>2025-26</v>
      </c>
      <c r="Y25" s="3"/>
      <c r="Z25" s="3"/>
      <c r="AA25" s="3" t="str">
        <f>$AA$29</f>
        <v>2024-25</v>
      </c>
      <c r="AB25" s="3" t="str">
        <f>$AA$29</f>
        <v>2024-25</v>
      </c>
      <c r="AC25" s="3"/>
      <c r="AD25" s="3" t="str">
        <f>$AD$29</f>
        <v>2025-26</v>
      </c>
      <c r="AE25" s="3" t="str">
        <f>$AD$29</f>
        <v>2025-26</v>
      </c>
      <c r="AF25" s="3" t="str">
        <f>$AD$29</f>
        <v>2025-26</v>
      </c>
      <c r="AG25" s="3" t="str">
        <f>$AD$29</f>
        <v>2025-26</v>
      </c>
    </row>
    <row r="26" spans="2:34" s="33" customFormat="1" ht="15.75" x14ac:dyDescent="0.25">
      <c r="F26" s="32" t="s">
        <v>43</v>
      </c>
      <c r="G26" s="89" t="s">
        <v>129</v>
      </c>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2:34" s="33" customFormat="1" x14ac:dyDescent="0.25">
      <c r="F27" s="469" t="s">
        <v>32</v>
      </c>
      <c r="G27" s="73"/>
      <c r="H27" s="465" t="s">
        <v>6</v>
      </c>
      <c r="I27" s="465"/>
      <c r="J27" s="465"/>
      <c r="K27" s="465"/>
      <c r="L27" s="465"/>
      <c r="M27" s="465"/>
      <c r="N27" s="465"/>
      <c r="O27" s="465"/>
      <c r="P27" s="39"/>
      <c r="Q27" s="465" t="s">
        <v>6</v>
      </c>
      <c r="R27" s="465"/>
      <c r="S27" s="465"/>
      <c r="T27" s="465"/>
      <c r="U27" s="465"/>
      <c r="V27" s="465"/>
      <c r="W27" s="465"/>
      <c r="X27" s="465"/>
      <c r="Y27" s="39"/>
      <c r="Z27" s="465" t="s">
        <v>77</v>
      </c>
      <c r="AA27" s="465"/>
      <c r="AB27" s="465"/>
      <c r="AC27" s="465"/>
      <c r="AD27" s="465"/>
      <c r="AE27" s="465"/>
      <c r="AF27" s="465"/>
      <c r="AG27" s="465"/>
    </row>
    <row r="28" spans="2:34" ht="15.75" thickBot="1" x14ac:dyDescent="0.3">
      <c r="F28" s="469"/>
      <c r="G28" s="73"/>
      <c r="H28" s="466" t="s">
        <v>127</v>
      </c>
      <c r="I28" s="466"/>
      <c r="J28" s="466"/>
      <c r="K28" s="466"/>
      <c r="L28" s="466"/>
      <c r="M28" s="466"/>
      <c r="N28" s="466"/>
      <c r="O28" s="466"/>
      <c r="P28" s="39"/>
      <c r="Q28" s="466" t="s">
        <v>128</v>
      </c>
      <c r="R28" s="466"/>
      <c r="S28" s="466"/>
      <c r="T28" s="466"/>
      <c r="U28" s="466"/>
      <c r="V28" s="466"/>
      <c r="W28" s="466"/>
      <c r="X28" s="466"/>
      <c r="Y28" s="39"/>
      <c r="Z28" s="466" t="s">
        <v>127</v>
      </c>
      <c r="AA28" s="466"/>
      <c r="AB28" s="466"/>
      <c r="AC28" s="466"/>
      <c r="AD28" s="466"/>
      <c r="AE28" s="466"/>
      <c r="AF28" s="466"/>
      <c r="AG28" s="466"/>
    </row>
    <row r="29" spans="2:34" ht="15" customHeight="1" thickTop="1" x14ac:dyDescent="0.25">
      <c r="F29" s="469"/>
      <c r="G29" s="74"/>
      <c r="H29" s="39" t="s">
        <v>67</v>
      </c>
      <c r="I29" s="467" t="str">
        <f>PY</f>
        <v>2024-25</v>
      </c>
      <c r="J29" s="467"/>
      <c r="K29" s="39"/>
      <c r="L29" s="467" t="str">
        <f>FY</f>
        <v>2025-26</v>
      </c>
      <c r="M29" s="467"/>
      <c r="N29" s="467"/>
      <c r="O29" s="467"/>
      <c r="P29" s="39"/>
      <c r="Q29" s="39" t="s">
        <v>67</v>
      </c>
      <c r="R29" s="467" t="str">
        <f>PY</f>
        <v>2024-25</v>
      </c>
      <c r="S29" s="467"/>
      <c r="T29" s="39"/>
      <c r="U29" s="467" t="str">
        <f>FY</f>
        <v>2025-26</v>
      </c>
      <c r="V29" s="467"/>
      <c r="W29" s="467"/>
      <c r="X29" s="467"/>
      <c r="Y29" s="39"/>
      <c r="Z29" s="39" t="s">
        <v>67</v>
      </c>
      <c r="AA29" s="467" t="str">
        <f>PY</f>
        <v>2024-25</v>
      </c>
      <c r="AB29" s="467"/>
      <c r="AC29" s="39"/>
      <c r="AD29" s="467" t="str">
        <f>FY</f>
        <v>2025-26</v>
      </c>
      <c r="AE29" s="467"/>
      <c r="AF29" s="467"/>
      <c r="AG29" s="467"/>
    </row>
    <row r="30" spans="2:34" ht="25.5" x14ac:dyDescent="0.25">
      <c r="F30" s="469"/>
      <c r="G30" s="74"/>
      <c r="H30" s="154"/>
      <c r="I30" s="155" t="s">
        <v>21</v>
      </c>
      <c r="J30" s="155" t="s">
        <v>23</v>
      </c>
      <c r="K30" s="155"/>
      <c r="L30" s="155" t="s">
        <v>20</v>
      </c>
      <c r="M30" s="156" t="s">
        <v>160</v>
      </c>
      <c r="N30" s="155" t="s">
        <v>21</v>
      </c>
      <c r="O30" s="155" t="s">
        <v>23</v>
      </c>
      <c r="P30" s="155"/>
      <c r="Q30" s="155"/>
      <c r="R30" s="155" t="s">
        <v>21</v>
      </c>
      <c r="S30" s="155" t="s">
        <v>23</v>
      </c>
      <c r="T30" s="155"/>
      <c r="U30" s="155" t="s">
        <v>20</v>
      </c>
      <c r="V30" s="156" t="s">
        <v>50</v>
      </c>
      <c r="W30" s="155" t="s">
        <v>21</v>
      </c>
      <c r="X30" s="155" t="s">
        <v>23</v>
      </c>
      <c r="Y30" s="155"/>
      <c r="Z30" s="155"/>
      <c r="AA30" s="155" t="s">
        <v>21</v>
      </c>
      <c r="AB30" s="155" t="s">
        <v>23</v>
      </c>
      <c r="AC30" s="155"/>
      <c r="AD30" s="155" t="s">
        <v>20</v>
      </c>
      <c r="AE30" s="156" t="s">
        <v>50</v>
      </c>
      <c r="AF30" s="155" t="s">
        <v>21</v>
      </c>
      <c r="AG30" s="155" t="s">
        <v>23</v>
      </c>
    </row>
    <row r="31" spans="2:34" ht="15" customHeight="1" x14ac:dyDescent="0.25">
      <c r="F31" s="469"/>
      <c r="G31" s="74"/>
      <c r="H31" s="155" t="s">
        <v>68</v>
      </c>
      <c r="I31" s="155" t="s">
        <v>45</v>
      </c>
      <c r="J31" s="155" t="s">
        <v>27</v>
      </c>
      <c r="K31" s="155"/>
      <c r="L31" s="155" t="s">
        <v>27</v>
      </c>
      <c r="M31" s="155" t="s">
        <v>27</v>
      </c>
      <c r="N31" s="155" t="s">
        <v>45</v>
      </c>
      <c r="O31" s="155" t="s">
        <v>27</v>
      </c>
      <c r="P31" s="155"/>
      <c r="Q31" s="155"/>
      <c r="R31" s="155" t="s">
        <v>45</v>
      </c>
      <c r="S31" s="155" t="s">
        <v>27</v>
      </c>
      <c r="T31" s="155"/>
      <c r="U31" s="155" t="s">
        <v>27</v>
      </c>
      <c r="V31" s="155" t="s">
        <v>27</v>
      </c>
      <c r="W31" s="155" t="s">
        <v>45</v>
      </c>
      <c r="X31" s="155" t="s">
        <v>27</v>
      </c>
      <c r="Y31" s="155"/>
      <c r="Z31" s="155"/>
      <c r="AA31" s="155" t="s">
        <v>45</v>
      </c>
      <c r="AB31" s="155" t="s">
        <v>27</v>
      </c>
      <c r="AC31" s="155"/>
      <c r="AD31" s="155" t="s">
        <v>27</v>
      </c>
      <c r="AE31" s="155" t="s">
        <v>27</v>
      </c>
      <c r="AF31" s="155" t="s">
        <v>45</v>
      </c>
      <c r="AG31" s="155" t="s">
        <v>27</v>
      </c>
    </row>
    <row r="32" spans="2:34" ht="15" customHeight="1" x14ac:dyDescent="0.25">
      <c r="F32" s="44" t="str">
        <f>"DMO "&amp;PY&amp;" price"</f>
        <v>DMO 2024-25 price</v>
      </c>
      <c r="G32" s="44"/>
      <c r="H32" s="157">
        <f t="array" ref="H32">INDEX('Detail inputs'!$B$3:$K$195,MATCH($B$6&amp;H$27&amp;H$28&amp;H$29,'Detail inputs'!$B$3:$B$195&amp;'Detail inputs'!$D$3:$D$195&amp;'Detail inputs'!$E$3:$E$195&amp;'Detail inputs'!$F$3:$F$195&amp;'Detail inputs'!$G$3:$G$195,0),MATCH(I$29,'Detail inputs'!$B$3:$K$3,0))</f>
        <v>2223</v>
      </c>
      <c r="I32" s="158"/>
      <c r="J32" s="158"/>
      <c r="K32" s="158"/>
      <c r="L32" s="158"/>
      <c r="M32" s="158"/>
      <c r="N32" s="158"/>
      <c r="O32" s="158"/>
      <c r="P32" s="158"/>
      <c r="Q32" s="157">
        <f t="array" ref="Q32">INDEX('Detail inputs'!$B$3:$K$195,MATCH($B$6&amp;Q$27&amp;Q$28&amp;Q$29,'Detail inputs'!$B$3:$B$195&amp;'Detail inputs'!$D$3:$D$195&amp;'Detail inputs'!$E$3:$E$195&amp;'Detail inputs'!$F$3:$F$195&amp;'Detail inputs'!$G$3:$G$195,0),MATCH(R$29,'Detail inputs'!$B$3:$K$3,0))</f>
        <v>2801</v>
      </c>
      <c r="R32" s="157"/>
      <c r="S32" s="158"/>
      <c r="T32" s="158"/>
      <c r="U32" s="158"/>
      <c r="V32" s="158"/>
      <c r="W32" s="159"/>
      <c r="X32" s="158"/>
      <c r="Y32" s="159"/>
      <c r="Z32" s="157">
        <f t="array" ref="Z32">INDEX('Detail inputs'!$B$3:$K$195,MATCH($B$6&amp;Z$27&amp;Z$28&amp;Z$29,'Detail inputs'!$B$3:$B$195&amp;'Detail inputs'!$D$3:$D$195&amp;'Detail inputs'!$E$3:$E$195&amp;'Detail inputs'!$F$3:$F$195&amp;'Detail inputs'!$G$3:$G$195,0),MATCH(AA$29,'Detail inputs'!$B$3:$K$3,0))</f>
        <v>4422</v>
      </c>
      <c r="AA32" s="157"/>
      <c r="AB32" s="158"/>
      <c r="AC32" s="158"/>
      <c r="AD32" s="158"/>
      <c r="AE32" s="158"/>
      <c r="AF32" s="158"/>
      <c r="AG32" s="158"/>
    </row>
    <row r="33" spans="2:34" ht="15" customHeight="1" x14ac:dyDescent="0.25">
      <c r="F33" s="45" t="s">
        <v>62</v>
      </c>
      <c r="G33" s="45"/>
      <c r="H33" s="159"/>
      <c r="I33" s="157">
        <f t="array" aca="1" ref="I33" ca="1">INDEX(INDIRECT("'"&amp;$F33&amp;"'!$B$3:$T$300"),MATCH($B$6&amp;H$27&amp;H$28&amp;"Total inc GST",INDIRECT("'"&amp;$F33&amp;"'!$B$3:$B$300")&amp;INDIRECT("'"&amp;$F33&amp;"'!$C$3:$C$300")&amp;INDIRECT("'"&amp;$F33&amp;"'!$D$3:$D$300")&amp;INDIRECT("'"&amp;$F33&amp;"'!$G$3:$G$300"),0),MATCH(I$29&amp;I$30,INDIRECT("'"&amp;$F33&amp;"'!$B$4:$T$4")&amp;INDIRECT("'"&amp;$F33&amp;"'!$B$5:$T$5"),0))</f>
        <v>764.81430299999988</v>
      </c>
      <c r="J33" s="158">
        <f t="shared" ref="J33:J37" ca="1" si="0">I33/H$32</f>
        <v>0.34404602024291492</v>
      </c>
      <c r="K33" s="158"/>
      <c r="L33" s="160">
        <f t="array" aca="1" ref="L33" ca="1">INDEX(INDIRECT("'"&amp;$F33&amp;"'!$B$3:$T$300"),MATCH($B$6&amp;H$27&amp;H$28&amp;"Total inc GST",INDIRECT("'"&amp;$F33&amp;"'!$B$3:$B$300")&amp;INDIRECT("'"&amp;$F33&amp;"'!$C$3:$C$300")&amp;INDIRECT("'"&amp;$F33&amp;"'!$D$3:$D$300")&amp;INDIRECT("'"&amp;$F33&amp;"'!$G$3:$G$300"),0),MATCH(L$29&amp;L$30,INDIRECT("'"&amp;$F33&amp;"'!$B$4:$T$4")&amp;INDIRECT("'"&amp;$F33&amp;"'!$B$5:$T$5"),0))</f>
        <v>9.373918834778916E-2</v>
      </c>
      <c r="M33" s="160">
        <f ca="1">(N33-I33)/H32</f>
        <v>3.2250594691857863E-2</v>
      </c>
      <c r="N33" s="157">
        <f t="array" aca="1" ref="N33" ca="1">INDEX(INDIRECT("'"&amp;$F33&amp;"'!$B$3:$T$300"),MATCH($B$6&amp;H$27&amp;H$28&amp;"Total inc GST",INDIRECT("'"&amp;$F33&amp;"'!$B$3:$B$300")&amp;INDIRECT("'"&amp;$F33&amp;"'!$C$3:$C$300")&amp;INDIRECT("'"&amp;$F33&amp;"'!$D$3:$D$300")&amp;INDIRECT("'"&amp;$F33&amp;"'!$G$3:$G$300"),0),MATCH(L$29&amp;N$30,INDIRECT("'"&amp;$F33&amp;"'!$B$4:$T$4")&amp;INDIRECT("'"&amp;$F33&amp;"'!$B$5:$T$5"),0))</f>
        <v>836.50737499999991</v>
      </c>
      <c r="O33" s="158">
        <f ca="1">N33/H$38</f>
        <v>0.34695453131480708</v>
      </c>
      <c r="P33" s="157"/>
      <c r="Q33" s="158"/>
      <c r="R33" s="157">
        <f t="array" aca="1" ref="R33" ca="1">INDEX(INDIRECT("'"&amp;$F33&amp;"'!$B$3:$T$300"),MATCH($B$6&amp;Q$27&amp;Q$28&amp;"Total inc GST",INDIRECT("'"&amp;$F33&amp;"'!$B$3:$B$300")&amp;INDIRECT("'"&amp;$F33&amp;"'!$C$3:$C$300")&amp;INDIRECT("'"&amp;$F33&amp;"'!$D$3:$D$300")&amp;INDIRECT("'"&amp;$F33&amp;"'!$G$3:$G$300"),0),MATCH(R$29&amp;R$30,INDIRECT("'"&amp;$F33&amp;"'!$B$4:$T$4")&amp;INDIRECT("'"&amp;$F33&amp;"'!$B$5:$T$5"),0))</f>
        <v>934.1436698</v>
      </c>
      <c r="S33" s="158">
        <f t="shared" ref="S33:S37" ca="1" si="1">R33/Q$32</f>
        <v>0.33350363077472334</v>
      </c>
      <c r="T33" s="158"/>
      <c r="U33" s="160">
        <f t="array" aca="1" ref="U33" ca="1">INDEX(INDIRECT("'"&amp;$F33&amp;"'!$B$3:$T$300"),MATCH($B$6&amp;Q$27&amp;Q$28&amp;"Total inc GST",INDIRECT("'"&amp;$F33&amp;"'!$B$3:$B$300")&amp;INDIRECT("'"&amp;$F33&amp;"'!$C$3:$C$300")&amp;INDIRECT("'"&amp;$F33&amp;"'!$D$3:$D$300")&amp;INDIRECT("'"&amp;$F33&amp;"'!$G$3:$G$300"),0),MATCH(U$29&amp;U$30,INDIRECT("'"&amp;$F33&amp;"'!$B$4:$T$4")&amp;INDIRECT("'"&amp;$F33&amp;"'!$B$5:$T$5"),0))</f>
        <v>0.11069987512963597</v>
      </c>
      <c r="V33" s="160">
        <f ca="1">(W33-R33)/Q32</f>
        <v>3.6918810282042087E-2</v>
      </c>
      <c r="W33" s="157">
        <f t="array" aca="1" ref="W33" ca="1">INDEX(INDIRECT("'"&amp;$F33&amp;"'!$B$3:$T$300"),MATCH($B$6&amp;Q$27&amp;Q$28&amp;"Total inc GST",INDIRECT("'"&amp;$F33&amp;"'!$B$3:$B$300")&amp;INDIRECT("'"&amp;$F33&amp;"'!$C$3:$C$300")&amp;INDIRECT("'"&amp;$F33&amp;"'!$D$3:$D$300")&amp;INDIRECT("'"&amp;$F33&amp;"'!$G$3:$G$300"),0),MATCH(U$29&amp;W$30,INDIRECT("'"&amp;$F33&amp;"'!$B$4:$T$4")&amp;INDIRECT("'"&amp;$F33&amp;"'!$B$5:$T$5"),0))</f>
        <v>1037.5532573999999</v>
      </c>
      <c r="X33" s="158">
        <f ca="1">W33/Q$38</f>
        <v>0.33774520097656247</v>
      </c>
      <c r="Y33" s="159"/>
      <c r="Z33" s="159"/>
      <c r="AA33" s="157">
        <f t="array" aca="1" ref="AA33" ca="1">INDEX(INDIRECT("'"&amp;$F33&amp;"'!$B$3:$T$300"),MATCH($B$6&amp;Z$27&amp;Z$28&amp;"Total inc GST",INDIRECT("'"&amp;$F33&amp;"'!$B$3:$B$300")&amp;INDIRECT("'"&amp;$F33&amp;"'!$C$3:$C$300")&amp;INDIRECT("'"&amp;$F33&amp;"'!$D$3:$D$300")&amp;INDIRECT("'"&amp;$F33&amp;"'!$G$3:$G$300"),0),MATCH(AA$29&amp;AA$30,INDIRECT("'"&amp;$F33&amp;"'!$B$4:$T$4")&amp;INDIRECT("'"&amp;$F33&amp;"'!$B$5:$T$5"),0))</f>
        <v>1453.9531930000001</v>
      </c>
      <c r="AB33" s="158">
        <f t="shared" ref="AB33:AB37" ca="1" si="2">AA33/Z$32</f>
        <v>0.32879990796019903</v>
      </c>
      <c r="AC33" s="158"/>
      <c r="AD33" s="160">
        <f t="array" aca="1" ref="AD33" ca="1">INDEX(INDIRECT("'"&amp;$F33&amp;"'!$B$3:$T$300"),MATCH($B$6&amp;Z$27&amp;Z$28&amp;"Total inc GST",INDIRECT("'"&amp;$F33&amp;"'!$B$3:$B$300")&amp;INDIRECT("'"&amp;$F33&amp;"'!$C$3:$C$300")&amp;INDIRECT("'"&amp;$F33&amp;"'!$D$3:$D$300")&amp;INDIRECT("'"&amp;$F33&amp;"'!$G$3:$G$300"),0),MATCH(AD$29&amp;AD$30,INDIRECT("'"&amp;$F33&amp;"'!$B$4:$T$4")&amp;INDIRECT("'"&amp;$F33&amp;"'!$B$5:$T$5"),0))</f>
        <v>9.8765567345192817E-2</v>
      </c>
      <c r="AE33" s="160">
        <f ca="1">(AF33-AA33)/Z32</f>
        <v>3.2474109452736259E-2</v>
      </c>
      <c r="AF33" s="157" cm="1">
        <f t="array" aca="1" ref="AF33" ca="1">INDEX(INDIRECT("'"&amp;$F33&amp;"'!$B$3:$T$300"),MATCH($B$6&amp;Z$27&amp;Z$28&amp;"Total inc GST",INDIRECT("'"&amp;$F33&amp;"'!$B$3:$B$300")&amp;INDIRECT("'"&amp;$F33&amp;"'!$C$3:$C$300")&amp;INDIRECT("'"&amp;$F33&amp;"'!$D$3:$D$300")&amp;INDIRECT("'"&amp;$F33&amp;"'!$G$3:$G$300"),0),MATCH(AD$29&amp;AF$30,INDIRECT("'"&amp;$F33&amp;"'!$B$4:$T$4")&amp;INDIRECT("'"&amp;$F33&amp;"'!$B$5:$T$5"),0))</f>
        <v>1597.5537049999998</v>
      </c>
      <c r="AG33" s="158">
        <f ca="1">AF33/Z$38</f>
        <v>0.33456622094240834</v>
      </c>
      <c r="AH33" s="86"/>
    </row>
    <row r="34" spans="2:34" ht="15" customHeight="1" x14ac:dyDescent="0.25">
      <c r="F34" s="45" t="s">
        <v>63</v>
      </c>
      <c r="G34" s="45"/>
      <c r="H34" s="159"/>
      <c r="I34" s="157">
        <f t="array" aca="1" ref="I34" ca="1">INDEX(INDIRECT("'"&amp;$F34&amp;"'!$B$3:$T$300"),MATCH($B$6&amp;H$27&amp;H$28&amp;"Total inc GST",INDIRECT("'"&amp;$F34&amp;"'!$B$3:$B$300")&amp;INDIRECT("'"&amp;$F34&amp;"'!$C$3:$C$300")&amp;INDIRECT("'"&amp;$F34&amp;"'!$D$3:$D$300")&amp;INDIRECT("'"&amp;$F34&amp;"'!$G$3:$G$300"),0),MATCH(I$29&amp;I$30,INDIRECT("'"&amp;$F34&amp;"'!$B$4:$T$4")&amp;INDIRECT("'"&amp;$F34&amp;"'!$B$5:$T$5"),0))</f>
        <v>949.36140152857149</v>
      </c>
      <c r="J34" s="158">
        <f t="shared" ca="1" si="0"/>
        <v>0.42706315858235333</v>
      </c>
      <c r="K34" s="158"/>
      <c r="L34" s="160">
        <f t="array" aca="1" ref="L34" ca="1">INDEX(INDIRECT("'"&amp;$F34&amp;"'!$B$3:$T$300"),MATCH($B$6&amp;H$27&amp;H$28&amp;"Total inc GST",INDIRECT("'"&amp;$F34&amp;"'!$B$3:$B$300")&amp;INDIRECT("'"&amp;$F34&amp;"'!$C$3:$C$300")&amp;INDIRECT("'"&amp;$F34&amp;"'!$D$3:$D$300")&amp;INDIRECT("'"&amp;$F34&amp;"'!$G$3:$G$300"),0),MATCH(L$29&amp;L$30,INDIRECT("'"&amp;$F34&amp;"'!$B$4:$T$4")&amp;INDIRECT("'"&amp;$F34&amp;"'!$B$5:$T$5"),0))</f>
        <v>5.1718462425141665E-2</v>
      </c>
      <c r="M34" s="160">
        <f ca="1">(N34-I34)/H32</f>
        <v>2.208704992030374E-2</v>
      </c>
      <c r="N34" s="157">
        <f t="array" aca="1" ref="N34" ca="1">INDEX(INDIRECT("'"&amp;$F34&amp;"'!$B$3:$T$300"),MATCH($B$6&amp;H$27&amp;H$28&amp;"Total inc GST",INDIRECT("'"&amp;$F34&amp;"'!$B$3:$B$300")&amp;INDIRECT("'"&amp;$F34&amp;"'!$C$3:$C$300")&amp;INDIRECT("'"&amp;$F34&amp;"'!$D$3:$D$300")&amp;INDIRECT("'"&amp;$F34&amp;"'!$G$3:$G$300"),0),MATCH(L$29&amp;N$30,INDIRECT("'"&amp;$F34&amp;"'!$B$4:$T$4")&amp;INDIRECT("'"&amp;$F34&amp;"'!$B$5:$T$5"),0))</f>
        <v>998.46091350140671</v>
      </c>
      <c r="O34" s="158">
        <f ca="1">N34/H$38</f>
        <v>0.41412729718017699</v>
      </c>
      <c r="P34" s="158"/>
      <c r="Q34" s="158"/>
      <c r="R34" s="157">
        <f t="array" aca="1" ref="R34" ca="1">INDEX(INDIRECT("'"&amp;$F34&amp;"'!$B$3:$T$300"),MATCH($B$6&amp;Q$27&amp;Q$28&amp;"Total inc GST",INDIRECT("'"&amp;$F34&amp;"'!$B$3:$B$300")&amp;INDIRECT("'"&amp;$F34&amp;"'!$C$3:$C$300")&amp;INDIRECT("'"&amp;$F34&amp;"'!$D$3:$D$300")&amp;INDIRECT("'"&amp;$F34&amp;"'!$G$3:$G$300"),0),MATCH(R$29&amp;R$30,INDIRECT("'"&amp;$F34&amp;"'!$B$4:$T$4")&amp;INDIRECT("'"&amp;$F34&amp;"'!$B$5:$T$5"),0))</f>
        <v>1268.5376490285714</v>
      </c>
      <c r="S34" s="158">
        <f t="shared" ca="1" si="1"/>
        <v>0.45288741486203904</v>
      </c>
      <c r="T34" s="158"/>
      <c r="U34" s="160">
        <f t="array" aca="1" ref="U34" ca="1">INDEX(INDIRECT("'"&amp;$F34&amp;"'!$B$3:$T$300"),MATCH($B$6&amp;Q$27&amp;Q$28&amp;"Total inc GST",INDIRECT("'"&amp;$F34&amp;"'!$B$3:$B$300")&amp;INDIRECT("'"&amp;$F34&amp;"'!$C$3:$C$300")&amp;INDIRECT("'"&amp;$F34&amp;"'!$D$3:$D$300")&amp;INDIRECT("'"&amp;$F34&amp;"'!$G$3:$G$300"),0),MATCH(U$29&amp;U$30,INDIRECT("'"&amp;$F34&amp;"'!$B$4:$T$4")&amp;INDIRECT("'"&amp;$F34&amp;"'!$B$5:$T$5"),0))</f>
        <v>8.3108922807525021E-2</v>
      </c>
      <c r="V34" s="160">
        <f ca="1">(W34-R34)/Q32</f>
        <v>3.7638985202268736E-2</v>
      </c>
      <c r="W34" s="157">
        <f t="array" aca="1" ref="W34" ca="1">INDEX(INDIRECT("'"&amp;$F34&amp;"'!$B$3:$T$300"),MATCH($B$6&amp;Q$27&amp;Q$28&amp;"Total inc GST",INDIRECT("'"&amp;$F34&amp;"'!$B$3:$B$300")&amp;INDIRECT("'"&amp;$F34&amp;"'!$C$3:$C$300")&amp;INDIRECT("'"&amp;$F34&amp;"'!$D$3:$D$300")&amp;INDIRECT("'"&amp;$F34&amp;"'!$G$3:$G$300"),0),MATCH(U$29&amp;W$30,INDIRECT("'"&amp;$F34&amp;"'!$B$4:$T$4")&amp;INDIRECT("'"&amp;$F34&amp;"'!$B$5:$T$5"),0))</f>
        <v>1373.9644465801262</v>
      </c>
      <c r="X34" s="158">
        <f ca="1">W34/Q$38</f>
        <v>0.4472540516211348</v>
      </c>
      <c r="Y34" s="159"/>
      <c r="Z34" s="159"/>
      <c r="AA34" s="157">
        <f t="array" aca="1" ref="AA34" ca="1">INDEX(INDIRECT("'"&amp;$F34&amp;"'!$B$3:$T$300"),MATCH($B$6&amp;Z$27&amp;Z$28&amp;"Total inc GST",INDIRECT("'"&amp;$F34&amp;"'!$B$3:$B$300")&amp;INDIRECT("'"&amp;$F34&amp;"'!$C$3:$C$300")&amp;INDIRECT("'"&amp;$F34&amp;"'!$D$3:$D$300")&amp;INDIRECT("'"&amp;$F34&amp;"'!$G$3:$G$300"),0),MATCH(AA$29&amp;AA$30,INDIRECT("'"&amp;$F34&amp;"'!$B$4:$T$4")&amp;INDIRECT("'"&amp;$F34&amp;"'!$B$5:$T$5"),0))</f>
        <v>1923.8413464285716</v>
      </c>
      <c r="AB34" s="158">
        <f t="shared" ca="1" si="2"/>
        <v>0.4350613628287136</v>
      </c>
      <c r="AC34" s="158"/>
      <c r="AD34" s="160">
        <f t="array" aca="1" ref="AD34" ca="1">INDEX(INDIRECT("'"&amp;$F34&amp;"'!$B$3:$T$300"),MATCH($B$6&amp;Z$27&amp;Z$28&amp;"Total inc GST",INDIRECT("'"&amp;$F34&amp;"'!$B$3:$B$300")&amp;INDIRECT("'"&amp;$F34&amp;"'!$C$3:$C$300")&amp;INDIRECT("'"&amp;$F34&amp;"'!$D$3:$D$300")&amp;INDIRECT("'"&amp;$F34&amp;"'!$G$3:$G$300"),0),MATCH(AD$29&amp;AD$30,INDIRECT("'"&amp;$F34&amp;"'!$B$4:$T$4")&amp;INDIRECT("'"&amp;$F34&amp;"'!$B$5:$T$5"),0))</f>
        <v>5.0936655798198283E-2</v>
      </c>
      <c r="AE34" s="160">
        <f ca="1">(AF34-AA34)/Z32</f>
        <v>2.2160570889501196E-2</v>
      </c>
      <c r="AF34" s="157">
        <f t="array" aca="1" ref="AF34" ca="1">INDEX(INDIRECT("'"&amp;$F34&amp;"'!$B$3:$T$300"),MATCH($B$6&amp;Z$27&amp;Z$28&amp;"Total inc GST",INDIRECT("'"&amp;$F34&amp;"'!$B$3:$B$300")&amp;INDIRECT("'"&amp;$F34&amp;"'!$C$3:$C$300")&amp;INDIRECT("'"&amp;$F34&amp;"'!$D$3:$D$300")&amp;INDIRECT("'"&amp;$F34&amp;"'!$G$3:$G$300"),0),MATCH(AD$29&amp;AF$30,INDIRECT("'"&amp;$F34&amp;"'!$B$4:$T$4")&amp;INDIRECT("'"&amp;$F34&amp;"'!$B$5:$T$5"),0))</f>
        <v>2021.8353909019459</v>
      </c>
      <c r="AG34" s="158">
        <f ca="1">AF34/Z$38</f>
        <v>0.42342102427265882</v>
      </c>
    </row>
    <row r="35" spans="2:34" ht="15" customHeight="1" x14ac:dyDescent="0.25">
      <c r="F35" s="45" t="s">
        <v>64</v>
      </c>
      <c r="G35" s="45"/>
      <c r="H35" s="159"/>
      <c r="I35" s="157" cm="1">
        <f t="array" aca="1" ref="I35" ca="1">INDEX(INDIRECT("'"&amp;$F35&amp;"'!$B$3:$T$300"),MATCH($B$6&amp;H$27&amp;H$28&amp;"Total inc GST",INDIRECT("'"&amp;$F35&amp;"'!$B$3:$B$300")&amp;INDIRECT("'"&amp;$F35&amp;"'!$C$3:$C$300")&amp;INDIRECT("'"&amp;$F35&amp;"'!$D$3:$D$300")&amp;INDIRECT("'"&amp;$F35&amp;"'!$G$3:$G$300"),0),MATCH(I$29&amp;I$30,INDIRECT("'"&amp;$F35&amp;"'!$B$4:$T$4")&amp;INDIRECT("'"&amp;$F35&amp;"'!$B$5:$T$5"),0))</f>
        <v>106.77590000000001</v>
      </c>
      <c r="J35" s="158">
        <f t="shared" ca="1" si="0"/>
        <v>4.8032343679712104E-2</v>
      </c>
      <c r="K35" s="158"/>
      <c r="L35" s="160">
        <f t="array" aca="1" ref="L35" ca="1">INDEX(INDIRECT("'"&amp;$F35&amp;"'!$B$3:$T$300"),MATCH($B$6&amp;H$27&amp;H$28&amp;"Total inc GST",INDIRECT("'"&amp;$F35&amp;"'!$B$3:$B$300")&amp;INDIRECT("'"&amp;$F35&amp;"'!$C$3:$C$300")&amp;INDIRECT("'"&amp;$F35&amp;"'!$D$3:$D$300")&amp;INDIRECT("'"&amp;$F35&amp;"'!$G$3:$G$300"),0),MATCH(L$29&amp;L$30,INDIRECT("'"&amp;$F35&amp;"'!$B$4:$T$4")&amp;INDIRECT("'"&amp;$F35&amp;"'!$B$5:$T$5"),0))</f>
        <v>-0.1813946310687703</v>
      </c>
      <c r="M35" s="160">
        <f ca="1">(N35-I35)/H32</f>
        <v>-8.7128092611497565E-3</v>
      </c>
      <c r="N35" s="157" cm="1">
        <f t="array" aca="1" ref="N35" ca="1">INDEX(INDIRECT("'"&amp;$F35&amp;"'!$B$3:$T$300"),MATCH($B$6&amp;H$27&amp;H$28&amp;"Total inc GST",INDIRECT("'"&amp;$F35&amp;"'!$B$3:$B$300")&amp;INDIRECT("'"&amp;$F35&amp;"'!$C$3:$C$300")&amp;INDIRECT("'"&amp;$F35&amp;"'!$D$3:$D$300")&amp;INDIRECT("'"&amp;$F35&amp;"'!$G$3:$G$300"),0),MATCH(L$29&amp;N$30,INDIRECT("'"&amp;$F35&amp;"'!$B$4:$T$4")&amp;INDIRECT("'"&amp;$F35&amp;"'!$B$5:$T$5"),0))</f>
        <v>87.407325012464099</v>
      </c>
      <c r="O35" s="158">
        <f ca="1">N35/H$38</f>
        <v>3.6253556620681915E-2</v>
      </c>
      <c r="P35" s="158"/>
      <c r="Q35" s="158"/>
      <c r="R35" s="157">
        <f t="array" aca="1" ref="R35" ca="1">INDEX(INDIRECT("'"&amp;$F35&amp;"'!$B$3:$T$300"),MATCH($B$6&amp;Q$27&amp;Q$28&amp;"Total inc GST",INDIRECT("'"&amp;$F35&amp;"'!$B$3:$B$300")&amp;INDIRECT("'"&amp;$F35&amp;"'!$C$3:$C$300")&amp;INDIRECT("'"&amp;$F35&amp;"'!$D$3:$D$300")&amp;INDIRECT("'"&amp;$F35&amp;"'!$G$3:$G$300"),0),MATCH(R$29&amp;R$30,INDIRECT("'"&amp;$F35&amp;"'!$B$4:$T$4")&amp;INDIRECT("'"&amp;$F35&amp;"'!$B$5:$T$5"),0))</f>
        <v>161.2534</v>
      </c>
      <c r="S35" s="158">
        <f t="shared" ca="1" si="1"/>
        <v>5.7569939307390218E-2</v>
      </c>
      <c r="T35" s="158"/>
      <c r="U35" s="160">
        <f t="array" aca="1" ref="U35" ca="1">INDEX(INDIRECT("'"&amp;$F35&amp;"'!$B$3:$T$300"),MATCH($B$6&amp;Q$27&amp;Q$28&amp;"Total inc GST",INDIRECT("'"&amp;$F35&amp;"'!$B$3:$B$300")&amp;INDIRECT("'"&amp;$F35&amp;"'!$C$3:$C$300")&amp;INDIRECT("'"&amp;$F35&amp;"'!$D$3:$D$300")&amp;INDIRECT("'"&amp;$F35&amp;"'!$G$3:$G$300"),0),MATCH(U$29&amp;U$30,INDIRECT("'"&amp;$F35&amp;"'!$B$4:$T$4")&amp;INDIRECT("'"&amp;$F35&amp;"'!$B$5:$T$5"),0))</f>
        <v>-0.18139463106877007</v>
      </c>
      <c r="V35" s="160">
        <f ca="1">(W35-R35)/Q32</f>
        <v>-1.0442877901315534E-2</v>
      </c>
      <c r="W35" s="157">
        <f t="array" aca="1" ref="W35" ca="1">INDEX(INDIRECT("'"&amp;$F35&amp;"'!$B$3:$T$300"),MATCH($B$6&amp;Q$27&amp;Q$28&amp;"Total inc GST",INDIRECT("'"&amp;$F35&amp;"'!$B$3:$B$300")&amp;INDIRECT("'"&amp;$F35&amp;"'!$C$3:$C$300")&amp;INDIRECT("'"&amp;$F35&amp;"'!$D$3:$D$300")&amp;INDIRECT("'"&amp;$F35&amp;"'!$G$3:$G$300"),0),MATCH(U$29&amp;W$30,INDIRECT("'"&amp;$F35&amp;"'!$B$4:$T$4")&amp;INDIRECT("'"&amp;$F35&amp;"'!$B$5:$T$5"),0))</f>
        <v>132.00289899841519</v>
      </c>
      <c r="X35" s="158">
        <f ca="1">W35/Q$38</f>
        <v>4.2969693684379945E-2</v>
      </c>
      <c r="Y35" s="159"/>
      <c r="Z35" s="159"/>
      <c r="AA35" s="157">
        <f t="array" aca="1" ref="AA35" ca="1">INDEX(INDIRECT("'"&amp;$F35&amp;"'!$B$3:$T$300"),MATCH($B$6&amp;Z$27&amp;Z$28&amp;"Total inc GST",INDIRECT("'"&amp;$F35&amp;"'!$B$3:$B$300")&amp;INDIRECT("'"&amp;$F35&amp;"'!$C$3:$C$300")&amp;INDIRECT("'"&amp;$F35&amp;"'!$D$3:$D$300")&amp;INDIRECT("'"&amp;$F35&amp;"'!$G$3:$G$300"),0),MATCH(AA$29&amp;AA$30,INDIRECT("'"&amp;$F35&amp;"'!$B$4:$T$4")&amp;INDIRECT("'"&amp;$F35&amp;"'!$B$5:$T$5"),0))</f>
        <v>217.91</v>
      </c>
      <c r="AB35" s="158">
        <f t="shared" ca="1" si="2"/>
        <v>4.9278606965174131E-2</v>
      </c>
      <c r="AC35" s="158"/>
      <c r="AD35" s="160">
        <f t="array" aca="1" ref="AD35" ca="1">INDEX(INDIRECT("'"&amp;$F35&amp;"'!$B$3:$T$300"),MATCH($B$6&amp;Z$27&amp;Z$28&amp;"Total inc GST",INDIRECT("'"&amp;$F35&amp;"'!$B$3:$B$300")&amp;INDIRECT("'"&amp;$F35&amp;"'!$C$3:$C$300")&amp;INDIRECT("'"&amp;$F35&amp;"'!$D$3:$D$300")&amp;INDIRECT("'"&amp;$F35&amp;"'!$G$3:$G$300"),0),MATCH(AD$29&amp;AD$30,INDIRECT("'"&amp;$F35&amp;"'!$B$4:$T$4")&amp;INDIRECT("'"&amp;$F35&amp;"'!$B$5:$T$5"),0))</f>
        <v>-0.18139463106877018</v>
      </c>
      <c r="AE35" s="160">
        <f ca="1">(AF35-AA35)/Z32</f>
        <v>-8.9388747300306916E-3</v>
      </c>
      <c r="AF35" s="157">
        <f t="array" aca="1" ref="AF35" ca="1">INDEX(INDIRECT("'"&amp;$F35&amp;"'!$B$3:$T$300"),MATCH($B$6&amp;Z$27&amp;Z$28&amp;"Total inc GST",INDIRECT("'"&amp;$F35&amp;"'!$B$3:$B$300")&amp;INDIRECT("'"&amp;$F35&amp;"'!$C$3:$C$300")&amp;INDIRECT("'"&amp;$F35&amp;"'!$D$3:$D$300")&amp;INDIRECT("'"&amp;$F35&amp;"'!$G$3:$G$300"),0),MATCH(AD$29&amp;AF$30,INDIRECT("'"&amp;$F35&amp;"'!$B$4:$T$4")&amp;INDIRECT("'"&amp;$F35&amp;"'!$B$5:$T$5"),0))</f>
        <v>178.38229594380428</v>
      </c>
      <c r="AG35" s="158">
        <f ca="1">AF35/Z$38</f>
        <v>3.7357548888754824E-2</v>
      </c>
    </row>
    <row r="36" spans="2:34" ht="15" customHeight="1" x14ac:dyDescent="0.25">
      <c r="F36" s="45" t="s">
        <v>168</v>
      </c>
      <c r="G36" s="45"/>
      <c r="H36" s="159"/>
      <c r="I36" s="157" cm="1">
        <f t="array" aca="1" ref="I36" ca="1">INDEX(INDIRECT("'"&amp;$F36&amp;"'!$B$3:$T$300"),MATCH($B$6&amp;H$27&amp;H$28&amp;"Total inc GST",INDIRECT("'"&amp;$F36&amp;"'!$B$3:$B$300")&amp;INDIRECT("'"&amp;$F36&amp;"'!$C$3:$C$300")&amp;INDIRECT("'"&amp;$F36&amp;"'!$D$3:$D$300")&amp;INDIRECT("'"&amp;$F36&amp;"'!$G$3:$G$300"),0),MATCH(I$29&amp;I$30,INDIRECT("'"&amp;$F36&amp;"'!$B$4:$T$4")&amp;INDIRECT("'"&amp;$F36&amp;"'!$B$5:$T$5"),0))</f>
        <v>268.94377382400006</v>
      </c>
      <c r="J36" s="158">
        <f t="shared" ca="1" si="0"/>
        <v>0.12098235439676117</v>
      </c>
      <c r="K36" s="158"/>
      <c r="L36" s="160">
        <f ca="1">IFERROR((N36-I36)/I36,"New cost component")</f>
        <v>0.28021428539714271</v>
      </c>
      <c r="M36" s="160">
        <f ca="1">(N36-I36)/H32</f>
        <v>3.3900983982952292E-2</v>
      </c>
      <c r="N36" s="157" cm="1">
        <f t="array" aca="1" ref="N36" ca="1">INDEX(INDIRECT("'"&amp;$F36&amp;"'!$B$3:$T$300"),MATCH($B$6&amp;H$27&amp;H$28&amp;"Total inc GST",INDIRECT("'"&amp;$F36&amp;"'!$B$3:$B$300")&amp;INDIRECT("'"&amp;$F36&amp;"'!$C$3:$C$300")&amp;INDIRECT("'"&amp;$F36&amp;"'!$D$3:$D$300")&amp;INDIRECT("'"&amp;$F36&amp;"'!$G$3:$G$300"),0),MATCH(L$29&amp;N$30,INDIRECT("'"&amp;$F36&amp;"'!$B$4:$T$4")&amp;INDIRECT("'"&amp;$F36&amp;"'!$B$5:$T$5"),0))</f>
        <v>344.30566121810301</v>
      </c>
      <c r="O36" s="158">
        <f ca="1">N36/H$38</f>
        <v>0.1428061639228963</v>
      </c>
      <c r="P36" s="158"/>
      <c r="Q36" s="158"/>
      <c r="R36" s="157" cm="1">
        <f t="array" aca="1" ref="R36" ca="1">INDEX(INDIRECT("'"&amp;$F36&amp;"'!$B$3:$T$300"),MATCH($B$6&amp;Q$27&amp;Q$28&amp;"Total inc GST",INDIRECT("'"&amp;$F36&amp;"'!$B$3:$B$300")&amp;INDIRECT("'"&amp;$F36&amp;"'!$C$3:$C$300")&amp;INDIRECT("'"&amp;$F36&amp;"'!$D$3:$D$300")&amp;INDIRECT("'"&amp;$F36&amp;"'!$G$3:$G$300"),0),MATCH(R$29&amp;R$30,INDIRECT("'"&amp;$F36&amp;"'!$B$4:$T$4")&amp;INDIRECT("'"&amp;$F36&amp;"'!$B$5:$T$5"),0))</f>
        <v>268.94377382400006</v>
      </c>
      <c r="S36" s="158">
        <f t="shared" ca="1" si="1"/>
        <v>9.6017055988575531E-2</v>
      </c>
      <c r="T36" s="158"/>
      <c r="U36" s="160">
        <f ca="1">IFERROR((W36-R36)/R36,"New cost component")</f>
        <v>0.28021428539714271</v>
      </c>
      <c r="V36" s="160">
        <f ca="1">(W36-R36)/Q32</f>
        <v>2.6905350729776133E-2</v>
      </c>
      <c r="W36" s="157" cm="1">
        <f t="array" aca="1" ref="W36" ca="1">INDEX(INDIRECT("'"&amp;$F36&amp;"'!$B$3:$T$300"),MATCH($B$6&amp;Q$27&amp;Q$28&amp;"Total inc GST",INDIRECT("'"&amp;$F36&amp;"'!$B$3:$B$300")&amp;INDIRECT("'"&amp;$F36&amp;"'!$C$3:$C$300")&amp;INDIRECT("'"&amp;$F36&amp;"'!$D$3:$D$300")&amp;INDIRECT("'"&amp;$F36&amp;"'!$G$3:$G$300"),0),MATCH(U$29&amp;W$30,INDIRECT("'"&amp;$F36&amp;"'!$B$4:$T$4")&amp;INDIRECT("'"&amp;$F36&amp;"'!$B$5:$T$5"),0))</f>
        <v>344.30566121810301</v>
      </c>
      <c r="X36" s="158">
        <f ca="1">W36/Q$38</f>
        <v>0.11207866576110125</v>
      </c>
      <c r="Y36" s="159"/>
      <c r="Z36" s="159"/>
      <c r="AA36" s="157" cm="1">
        <f t="array" aca="1" ref="AA36" ca="1">INDEX(INDIRECT("'"&amp;$F36&amp;"'!$B$3:$T$300"),MATCH($B$6&amp;Z$27&amp;Z$28&amp;"Total inc GST",INDIRECT("'"&amp;$F36&amp;"'!$B$3:$B$300")&amp;INDIRECT("'"&amp;$F36&amp;"'!$C$3:$C$300")&amp;INDIRECT("'"&amp;$F36&amp;"'!$D$3:$D$300")&amp;INDIRECT("'"&amp;$F36&amp;"'!$G$3:$G$300"),0),MATCH(AA$29&amp;AA$30,INDIRECT("'"&amp;$F36&amp;"'!$B$4:$T$4")&amp;INDIRECT("'"&amp;$F36&amp;"'!$B$5:$T$5"),0))</f>
        <v>339.65581320000007</v>
      </c>
      <c r="AB36" s="158">
        <f t="shared" ca="1" si="2"/>
        <v>7.6810450746268674E-2</v>
      </c>
      <c r="AC36" s="158"/>
      <c r="AD36" s="160">
        <f ca="1">IFERROR((AF36-AA36)/AA36,"New cost component")</f>
        <v>0.33131707201723637</v>
      </c>
      <c r="AE36" s="160">
        <f ca="1">(AF36-AA36)/Z32</f>
        <v>2.5448613641577883E-2</v>
      </c>
      <c r="AF36" s="157" cm="1">
        <f t="array" aca="1" ref="AF36" ca="1">INDEX(INDIRECT("'"&amp;$F36&amp;"'!$B$3:$T$300"),MATCH($B$6&amp;Z$27&amp;Z$28&amp;"Total inc GST",INDIRECT("'"&amp;$F36&amp;"'!$B$3:$B$300")&amp;INDIRECT("'"&amp;$F36&amp;"'!$C$3:$C$300")&amp;INDIRECT("'"&amp;$F36&amp;"'!$D$3:$D$300")&amp;INDIRECT("'"&amp;$F36&amp;"'!$G$3:$G$300"),0),MATCH(AD$29&amp;AF$30,INDIRECT("'"&amp;$F36&amp;"'!$B$4:$T$4")&amp;INDIRECT("'"&amp;$F36&amp;"'!$B$5:$T$5"),0))</f>
        <v>452.18958272305747</v>
      </c>
      <c r="AG36" s="158">
        <f ca="1">AF36/Z$38</f>
        <v>9.4699389051949204E-2</v>
      </c>
    </row>
    <row r="37" spans="2:34" ht="15" customHeight="1" x14ac:dyDescent="0.25">
      <c r="F37" s="45" t="s">
        <v>210</v>
      </c>
      <c r="G37" s="45"/>
      <c r="H37" s="159"/>
      <c r="I37" s="157">
        <f ca="1">SUM(I33:I36)/(1-SUMIFS('Detail inputs'!$I:$I,'Detail inputs'!$B:$B,$B$6,'Detail inputs'!$G:$G,$F$37,'Detail inputs'!$D:$D,$H$27,'Detail inputs'!$E:$E,$H28))-SUM(I33:I36)</f>
        <v>133.39757734165369</v>
      </c>
      <c r="J37" s="158">
        <f t="shared" ca="1" si="0"/>
        <v>6.0007907036281463E-2</v>
      </c>
      <c r="K37" s="158"/>
      <c r="L37" s="160">
        <f ca="1">IFERROR((N37-I37)/I37,"New cost component")</f>
        <v>8.459078775453345E-2</v>
      </c>
      <c r="M37" s="160">
        <f ca="1">(N37-I37)/H32</f>
        <v>5.0761161276998597E-3</v>
      </c>
      <c r="N37" s="157">
        <f ca="1">SUM(N33:N36)/(1-SUMIFS('Detail inputs'!$J:$J,'Detail inputs'!$B:$B,$B$6,'Detail inputs'!$G:$G,$F$37,'Detail inputs'!$D:$D,$H$27,'Detail inputs'!$E:$E,$H28))-SUM(N33:N36)+IF(+Summary!AE65=1,+Summary!AC60,+Summary!AD60)</f>
        <v>144.68178349353047</v>
      </c>
      <c r="O37" s="158">
        <f ca="1">N37/H$38</f>
        <v>6.0009035045014716E-2</v>
      </c>
      <c r="P37" s="158"/>
      <c r="Q37" s="158"/>
      <c r="R37" s="157">
        <f ca="1">SUM(R33:R36)/(1-SUMIFS('Detail inputs'!$I:$I,'Detail inputs'!$B:$B,$B$6,'Detail inputs'!$G:$G,$F$37,'Detail inputs'!$D:$D,$Q$27,'Detail inputs'!$E:$E,$Q28))-SUM(R33:R36)</f>
        <v>168.05607399910059</v>
      </c>
      <c r="S37" s="158">
        <f t="shared" ca="1" si="1"/>
        <v>5.9998598357408277E-2</v>
      </c>
      <c r="T37" s="158"/>
      <c r="U37" s="160">
        <f ca="1">IFERROR((W37-R37)/R37,"New cost component")</f>
        <v>9.683233474523642E-2</v>
      </c>
      <c r="V37" s="160">
        <f ca="1">(W37-R37)/Q32</f>
        <v>5.8098043603895507E-3</v>
      </c>
      <c r="W37" s="157">
        <f ca="1">SUM(W33:W36)/(1-SUMIFS('Detail inputs'!$J:$J,'Detail inputs'!$B:$B,$B$6,'Detail inputs'!$G:$G,$F$37,'Detail inputs'!$D:$D,$Q$27,'Detail inputs'!$E:$E,$Q28))-SUM(W33:W36)+IF(+Summary!AE65=1,+Summary!AC60,+Summary!AD60)</f>
        <v>184.32933601255172</v>
      </c>
      <c r="X37" s="158">
        <f ca="1">W37/Q$38</f>
        <v>6.0003039066585849E-2</v>
      </c>
      <c r="Y37" s="159"/>
      <c r="Z37" s="159"/>
      <c r="AA37" s="157">
        <f ca="1">SUM(AA33:AA36)/(1-SUMIFS('Detail inputs'!$I:$I,'Detail inputs'!$B:$B,$B$6,'Detail inputs'!$G:$G,$F$37,'Detail inputs'!$D:$D,$Z$27,'Detail inputs'!$E:$E,$Z28))-SUM(AA33:AA36)</f>
        <v>486.3928525720703</v>
      </c>
      <c r="AB37" s="158">
        <f t="shared" ca="1" si="2"/>
        <v>0.10999386082588654</v>
      </c>
      <c r="AC37" s="158"/>
      <c r="AD37" s="160">
        <f ca="1">IFERROR((AF37-AA37)/AA37,"New cost component")</f>
        <v>7.994201134086952E-2</v>
      </c>
      <c r="AE37" s="160">
        <f ca="1">(AF37-AA37)/Z32</f>
        <v>8.7931304695690465E-3</v>
      </c>
      <c r="AF37" s="157">
        <f ca="1">SUM(AF33:AF36)/(1-SUMIFS('Detail inputs'!$J:$J,'Detail inputs'!$B:$B,$B$6,'Detail inputs'!$G:$G,$F$37,'Detail inputs'!$D:$D,$Z$27,'Detail inputs'!$E:$E,$Z28))-SUM(AF33:AF36)+IF(+Summary!AE65=1,+Summary!AC61,+Summary!AD61)</f>
        <v>525.27607550850462</v>
      </c>
      <c r="AG37" s="158">
        <f ca="1">AF37/Z$38</f>
        <v>0.1100054608394774</v>
      </c>
    </row>
    <row r="38" spans="2:34" ht="15.75" thickBot="1" x14ac:dyDescent="0.3">
      <c r="B38" s="72"/>
      <c r="F38" s="69" t="str">
        <f>"DMO "&amp;FY&amp;" price"</f>
        <v>DMO 2025-26 price</v>
      </c>
      <c r="G38" s="69"/>
      <c r="H38" s="161">
        <f ca="1">ROUND(SUM(N33:N37),0)</f>
        <v>2411</v>
      </c>
      <c r="I38" s="162"/>
      <c r="J38" s="162"/>
      <c r="K38" s="162"/>
      <c r="L38" s="162">
        <f ca="1">H38/H32-1</f>
        <v>8.4570400359873954E-2</v>
      </c>
      <c r="M38" s="162"/>
      <c r="N38" s="162"/>
      <c r="O38" s="162"/>
      <c r="P38" s="162"/>
      <c r="Q38" s="161">
        <f ca="1">ROUND(SUM(W33:W37),0)</f>
        <v>3072</v>
      </c>
      <c r="R38" s="161"/>
      <c r="S38" s="162"/>
      <c r="T38" s="162"/>
      <c r="U38" s="162">
        <f ca="1">Q38/Q32-1</f>
        <v>9.6751160299892947E-2</v>
      </c>
      <c r="V38" s="162"/>
      <c r="W38" s="163"/>
      <c r="X38" s="163"/>
      <c r="Y38" s="163"/>
      <c r="Z38" s="161">
        <f ca="1">ROUND(SUM(AF33:AF37),0)</f>
        <v>4775</v>
      </c>
      <c r="AA38" s="161"/>
      <c r="AB38" s="162"/>
      <c r="AC38" s="162"/>
      <c r="AD38" s="162">
        <f ca="1">Z38/Z32-1</f>
        <v>7.9828132066938062E-2</v>
      </c>
      <c r="AE38" s="162"/>
      <c r="AF38" s="162"/>
      <c r="AG38" s="162"/>
    </row>
    <row r="39" spans="2:34" ht="15.75" thickTop="1" x14ac:dyDescent="0.25">
      <c r="F39" s="100"/>
    </row>
    <row r="40" spans="2:34" x14ac:dyDescent="0.25">
      <c r="F40" s="89"/>
      <c r="H40" s="86"/>
      <c r="M40" s="187"/>
      <c r="N40" s="86"/>
      <c r="P40" s="203"/>
      <c r="Q40" s="86"/>
      <c r="W40" s="86"/>
      <c r="X40" s="189"/>
      <c r="Z40" s="86"/>
      <c r="AA40" s="86"/>
      <c r="AF40" s="86"/>
    </row>
    <row r="41" spans="2:34" x14ac:dyDescent="0.25">
      <c r="H41" s="86"/>
      <c r="I41" s="198"/>
      <c r="L41" s="224"/>
      <c r="M41" s="187"/>
      <c r="N41" s="70"/>
      <c r="O41" s="70"/>
      <c r="P41" s="70"/>
      <c r="Q41" s="70"/>
      <c r="R41" s="70"/>
      <c r="S41" s="70"/>
      <c r="T41" s="70"/>
      <c r="U41" s="70"/>
      <c r="V41" s="70"/>
      <c r="W41" s="70"/>
      <c r="X41" s="70"/>
      <c r="Z41" s="86"/>
      <c r="AA41" s="198"/>
      <c r="AF41" s="70"/>
    </row>
    <row r="42" spans="2:34" x14ac:dyDescent="0.25">
      <c r="F42" s="100"/>
      <c r="L42" s="224"/>
      <c r="M42" s="187"/>
      <c r="N42" s="70"/>
      <c r="O42" s="70"/>
      <c r="P42" s="70"/>
      <c r="Q42" s="70"/>
      <c r="R42" s="70"/>
      <c r="S42" s="70"/>
      <c r="T42" s="70"/>
      <c r="U42" s="70"/>
      <c r="V42" s="70"/>
      <c r="W42" s="70"/>
      <c r="X42" s="70"/>
      <c r="Z42" s="86"/>
      <c r="AF42" s="70"/>
    </row>
    <row r="43" spans="2:34" s="87" customFormat="1" x14ac:dyDescent="0.25">
      <c r="H43" s="88"/>
      <c r="L43" s="224"/>
      <c r="M43" s="187"/>
      <c r="N43" s="70"/>
      <c r="O43" s="70"/>
      <c r="P43" s="70"/>
      <c r="Q43" s="70"/>
      <c r="R43" s="70"/>
      <c r="S43" s="70"/>
      <c r="T43" s="70"/>
      <c r="U43" s="70"/>
      <c r="V43" s="70"/>
      <c r="W43" s="70"/>
      <c r="X43" s="70"/>
      <c r="AA43" s="88"/>
      <c r="AF43" s="70"/>
    </row>
    <row r="44" spans="2:34" x14ac:dyDescent="0.25">
      <c r="L44" s="224"/>
      <c r="M44" s="187"/>
      <c r="N44" s="70"/>
      <c r="O44" s="70"/>
      <c r="P44" s="70"/>
      <c r="Q44" s="70"/>
      <c r="R44" s="70"/>
      <c r="S44" s="70"/>
      <c r="T44" s="70"/>
      <c r="U44" s="70"/>
      <c r="V44" s="70"/>
      <c r="W44" s="70"/>
      <c r="X44" s="70"/>
      <c r="AF44" s="70"/>
    </row>
    <row r="45" spans="2:34" x14ac:dyDescent="0.25">
      <c r="L45" s="224"/>
      <c r="M45" s="187"/>
      <c r="N45" s="70"/>
      <c r="O45" s="70"/>
      <c r="P45" s="70"/>
      <c r="Q45" s="70"/>
      <c r="R45" s="70"/>
      <c r="S45" s="70"/>
      <c r="T45" s="70"/>
      <c r="U45" s="70"/>
      <c r="V45" s="70"/>
      <c r="W45" s="70"/>
      <c r="X45" s="70"/>
      <c r="AF45" s="70"/>
    </row>
    <row r="47" spans="2:34" x14ac:dyDescent="0.25">
      <c r="H47" s="70"/>
    </row>
  </sheetData>
  <sheetProtection algorithmName="SHA-256" hashValue="UTcgIh5LTQFp+MWG2QnkAx3N500ojBwMLm66kUkUAp4=" saltValue="k8KNMW6x51i6kZ15AFcFTQ==" spinCount="100000" sheet="1" formatCells="0" formatColumns="0" formatRows="0" insertColumns="0" insertRows="0" insertHyperlinks="0" deleteColumns="0" deleteRows="0" sort="0" autoFilter="0" pivotTables="0"/>
  <mergeCells count="15">
    <mergeCell ref="Z27:AG27"/>
    <mergeCell ref="H28:O28"/>
    <mergeCell ref="Q28:X28"/>
    <mergeCell ref="Z28:AG28"/>
    <mergeCell ref="I29:J29"/>
    <mergeCell ref="AA29:AB29"/>
    <mergeCell ref="AD29:AG29"/>
    <mergeCell ref="A1:B1"/>
    <mergeCell ref="B6:B7"/>
    <mergeCell ref="F27:F31"/>
    <mergeCell ref="H27:O27"/>
    <mergeCell ref="Q27:X27"/>
    <mergeCell ref="L29:O29"/>
    <mergeCell ref="R29:S29"/>
    <mergeCell ref="U29:X29"/>
  </mergeCells>
  <conditionalFormatting sqref="F38:M38">
    <cfRule type="expression" dxfId="323" priority="11">
      <formula>AND(MOD(ROW(),2)=0,F$30="Proportion",$F38="Overall change in costs (%)")</formula>
    </cfRule>
    <cfRule type="expression" dxfId="322" priority="12">
      <formula>AND(MOD(ROW(),1)=0,F$30="Proportion",$F38="Overall change in costs (%)")</formula>
    </cfRule>
  </conditionalFormatting>
  <conditionalFormatting sqref="F32:AG37">
    <cfRule type="expression" dxfId="321" priority="2">
      <formula>AND(MOD(ROW(),2)=0,F$30="Proportion",$F32="Overall change in costs (%)")</formula>
    </cfRule>
    <cfRule type="expression" dxfId="320" priority="3">
      <formula>AND(MOD(ROW(),1)=0,F$30="Proportion",$F32="Overall change in costs (%)")</formula>
    </cfRule>
  </conditionalFormatting>
  <conditionalFormatting sqref="F32:AG38">
    <cfRule type="expression" dxfId="319" priority="1">
      <formula>MOD(ROW(),2)=0</formula>
    </cfRule>
  </conditionalFormatting>
  <conditionalFormatting sqref="G43:K43">
    <cfRule type="cellIs" dxfId="318" priority="19" operator="equal">
      <formula>FALSE</formula>
    </cfRule>
    <cfRule type="cellIs" dxfId="317" priority="20" operator="equal">
      <formula>TRUE</formula>
    </cfRule>
  </conditionalFormatting>
  <conditionalFormatting sqref="N38 W38 AF38">
    <cfRule type="expression" dxfId="316" priority="71">
      <formula>AND(MOD(ROW(),2)=0,#REF!="Proportion",$F38="Overall change in costs (%)")</formula>
    </cfRule>
    <cfRule type="expression" dxfId="315" priority="72">
      <formula>AND(MOD(ROW(),1)=0,#REF!="Proportion",$F38="Overall change in costs (%)")</formula>
    </cfRule>
  </conditionalFormatting>
  <conditionalFormatting sqref="O38 X38 AG38">
    <cfRule type="expression" dxfId="314" priority="68">
      <formula>AND(MOD(ROW(),2)=0,N$30="Proportion",$F38="Overall change in costs (%)")</formula>
    </cfRule>
    <cfRule type="expression" dxfId="313" priority="69">
      <formula>AND(MOD(ROW(),1)=0,N$30="Proportion",$F38="Overall change in costs (%)")</formula>
    </cfRule>
  </conditionalFormatting>
  <conditionalFormatting sqref="P38:V38">
    <cfRule type="expression" dxfId="312" priority="14">
      <formula>AND(MOD(ROW(),2)=0,P$30="Proportion",$F38="Overall change in costs (%)")</formula>
    </cfRule>
    <cfRule type="expression" dxfId="311" priority="15">
      <formula>AND(MOD(ROW(),1)=0,P$30="Proportion",$F38="Overall change in costs (%)")</formula>
    </cfRule>
  </conditionalFormatting>
  <conditionalFormatting sqref="Y38:AE38">
    <cfRule type="expression" dxfId="310" priority="17">
      <formula>AND(MOD(ROW(),2)=0,Y$30="Proportion",$F38="Overall change in costs (%)")</formula>
    </cfRule>
    <cfRule type="expression" dxfId="309" priority="18">
      <formula>AND(MOD(ROW(),1)=0,Y$30="Proportion",$F38="Overall change in costs (%)")</formula>
    </cfRule>
  </conditionalFormatting>
  <conditionalFormatting sqref="Y43:AE43">
    <cfRule type="cellIs" dxfId="308" priority="23" operator="equal">
      <formula>FALSE</formula>
    </cfRule>
    <cfRule type="cellIs" dxfId="307" priority="24" operator="equal">
      <formula>TRUE</formula>
    </cfRule>
  </conditionalFormatting>
  <conditionalFormatting sqref="AG43">
    <cfRule type="cellIs" dxfId="306" priority="27" operator="equal">
      <formula>FALSE</formula>
    </cfRule>
    <cfRule type="cellIs" dxfId="305" priority="28" operator="equal">
      <formula>TRUE</formula>
    </cfRule>
  </conditionalFormatting>
  <hyperlinks>
    <hyperlink ref="A1" location="Index!A1" display="&lt;&lt;Back to Index" xr:uid="{80715ACD-FC85-495D-B46D-11A28F2BBA22}"/>
  </hyperlinks>
  <pageMargins left="0.7" right="0.7" top="0.75" bottom="0.75" header="0.3" footer="0.3"/>
  <pageSetup paperSize="9" orientation="portrait" r:id="rId1"/>
  <headerFooter>
    <oddHeader>&amp;C&amp;"Calibri"&amp;10&amp;KFF0000 OFFICIAL SENSITIVE&amp;1#_x000D_</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5FEE7-FF41-464B-A11F-26390DB22B9A}">
  <sheetPr>
    <tabColor rgb="FF00B050"/>
  </sheetPr>
  <dimension ref="A1:AH47"/>
  <sheetViews>
    <sheetView zoomScaleNormal="100" workbookViewId="0">
      <selection sqref="A1:B1"/>
    </sheetView>
  </sheetViews>
  <sheetFormatPr defaultColWidth="8.85546875" defaultRowHeight="15" x14ac:dyDescent="0.25"/>
  <cols>
    <col min="1" max="1" width="1.85546875" style="3" customWidth="1"/>
    <col min="2" max="2" width="33.85546875" style="3" bestFit="1" customWidth="1"/>
    <col min="3" max="5" width="13.140625" style="3" customWidth="1"/>
    <col min="6" max="6" width="26.85546875" style="3" customWidth="1"/>
    <col min="7" max="7" width="5.85546875" style="3" customWidth="1"/>
    <col min="8" max="10" width="10.85546875" style="3" customWidth="1"/>
    <col min="11" max="11" width="1.85546875" style="3" customWidth="1"/>
    <col min="12" max="12" width="10.85546875" style="3" customWidth="1"/>
    <col min="13" max="13" width="12.42578125" style="3" customWidth="1"/>
    <col min="14" max="14" width="13.140625" style="3" customWidth="1"/>
    <col min="15" max="15" width="10.85546875" style="3" customWidth="1"/>
    <col min="16" max="16" width="8" style="3" customWidth="1"/>
    <col min="17" max="19" width="10.85546875" style="3" customWidth="1"/>
    <col min="20" max="20" width="1.85546875" style="3" customWidth="1"/>
    <col min="21" max="21" width="10.85546875" style="3" customWidth="1"/>
    <col min="22" max="23" width="13.140625" style="3" customWidth="1"/>
    <col min="24" max="24" width="10.85546875" style="3" customWidth="1"/>
    <col min="25" max="25" width="5.85546875" style="3" customWidth="1"/>
    <col min="26" max="28" width="10.85546875" style="3" customWidth="1"/>
    <col min="29" max="29" width="1.85546875" style="3" customWidth="1"/>
    <col min="30" max="30" width="10.85546875" style="3" customWidth="1"/>
    <col min="31" max="31" width="12.85546875" style="3" customWidth="1"/>
    <col min="32" max="32" width="9.85546875" style="3" customWidth="1"/>
    <col min="33" max="33" width="10.85546875" style="3" customWidth="1"/>
    <col min="34" max="16384" width="8.85546875" style="3"/>
  </cols>
  <sheetData>
    <row r="1" spans="1:34" ht="10.35" customHeight="1" x14ac:dyDescent="0.25">
      <c r="A1" s="430" t="s">
        <v>18</v>
      </c>
      <c r="B1" s="431"/>
    </row>
    <row r="2" spans="1:34" s="14" customFormat="1" ht="22.5" customHeight="1" x14ac:dyDescent="0.25">
      <c r="A2" s="15" t="s">
        <v>3</v>
      </c>
    </row>
    <row r="3" spans="1:34" s="64" customFormat="1" ht="15.75" thickBot="1" x14ac:dyDescent="0.3">
      <c r="C3" s="64" t="str">
        <f>$A$2&amp;" "&amp;C6&amp;" "&amp;C7</f>
        <v>Essential Residential without CL</v>
      </c>
      <c r="D3" s="64" t="str">
        <f>$A$2&amp;" "&amp;D6&amp;" "&amp;D7</f>
        <v>Essential Residential with CL</v>
      </c>
      <c r="E3" s="64" t="str">
        <f>$A$2&amp;" "&amp;E6&amp;" "&amp;E7</f>
        <v>Essential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row>
    <row r="4" spans="1:34" ht="15.75" x14ac:dyDescent="0.25">
      <c r="B4" s="32" t="s">
        <v>17</v>
      </c>
      <c r="F4" s="32"/>
      <c r="G4" s="75" t="s">
        <v>91</v>
      </c>
      <c r="H4" s="76"/>
      <c r="I4" s="76"/>
      <c r="J4" s="76"/>
      <c r="K4" s="76"/>
      <c r="L4" s="76"/>
      <c r="M4" s="76"/>
      <c r="N4" s="76"/>
      <c r="O4" s="76"/>
      <c r="P4" s="76"/>
      <c r="Q4" s="76"/>
      <c r="R4" s="76"/>
      <c r="S4" s="76"/>
      <c r="T4" s="76"/>
      <c r="U4" s="76"/>
      <c r="V4" s="76"/>
      <c r="W4" s="76"/>
      <c r="X4" s="76"/>
      <c r="Y4" s="76"/>
      <c r="Z4" s="76"/>
      <c r="AA4" s="76"/>
      <c r="AB4" s="76"/>
      <c r="AC4" s="76"/>
      <c r="AD4" s="76"/>
      <c r="AE4" s="76"/>
      <c r="AF4" s="76"/>
      <c r="AG4" s="76"/>
      <c r="AH4" s="77"/>
    </row>
    <row r="5" spans="1:34" ht="5.0999999999999996" customHeight="1" x14ac:dyDescent="0.25">
      <c r="B5" s="5"/>
      <c r="G5" s="78"/>
      <c r="H5" s="79"/>
      <c r="AH5" s="80"/>
    </row>
    <row r="6" spans="1:34" ht="20.100000000000001" customHeight="1" x14ac:dyDescent="0.25">
      <c r="B6" s="468" t="str">
        <f>A2</f>
        <v>Essential</v>
      </c>
      <c r="C6" s="42" t="s">
        <v>6</v>
      </c>
      <c r="D6" s="42" t="s">
        <v>6</v>
      </c>
      <c r="E6" s="42" t="s">
        <v>77</v>
      </c>
      <c r="G6" s="78"/>
      <c r="H6" s="79"/>
      <c r="AH6" s="80"/>
    </row>
    <row r="7" spans="1:34" ht="20.100000000000001" customHeight="1" x14ac:dyDescent="0.25">
      <c r="B7" s="468"/>
      <c r="C7" s="43" t="s">
        <v>127</v>
      </c>
      <c r="D7" s="43" t="s">
        <v>128</v>
      </c>
      <c r="E7" s="43" t="s">
        <v>127</v>
      </c>
      <c r="G7" s="78"/>
      <c r="AH7" s="80"/>
    </row>
    <row r="8" spans="1:34" ht="2.1" customHeight="1" x14ac:dyDescent="0.25">
      <c r="C8" s="19"/>
      <c r="D8" s="19"/>
      <c r="E8" s="19"/>
      <c r="G8" s="78"/>
      <c r="AH8" s="80"/>
    </row>
    <row r="9" spans="1:34" s="40" customFormat="1" ht="30" customHeight="1" x14ac:dyDescent="0.25">
      <c r="B9" s="46" t="str">
        <f>"DMO "&amp;FY&amp;" price ($ pa, inc GST)"</f>
        <v>DMO 2025-26 price ($ pa, inc GST)</v>
      </c>
      <c r="C9" s="116">
        <f ca="1">ROUND(H38,0)</f>
        <v>2741</v>
      </c>
      <c r="D9" s="116">
        <f ca="1">ROUND(Q38,0)</f>
        <v>3211</v>
      </c>
      <c r="E9" s="116">
        <f ca="1">ROUND(Z38,0)</f>
        <v>6222</v>
      </c>
      <c r="F9" s="3"/>
      <c r="G9" s="78"/>
      <c r="H9" s="3"/>
      <c r="I9" s="3"/>
      <c r="J9" s="3"/>
      <c r="K9" s="3"/>
      <c r="L9" s="3"/>
      <c r="M9" s="3"/>
      <c r="N9" s="3"/>
      <c r="O9" s="3"/>
      <c r="P9" s="3"/>
      <c r="Q9" s="3"/>
      <c r="R9" s="3"/>
      <c r="S9" s="3"/>
      <c r="T9" s="3"/>
      <c r="U9" s="3"/>
      <c r="V9" s="3"/>
      <c r="W9" s="3"/>
      <c r="X9" s="3"/>
      <c r="Y9" s="3"/>
      <c r="Z9" s="3"/>
      <c r="AA9" s="3"/>
      <c r="AB9" s="3"/>
      <c r="AC9" s="3"/>
      <c r="AD9" s="3"/>
      <c r="AE9" s="3"/>
      <c r="AF9" s="3"/>
      <c r="AG9" s="3"/>
      <c r="AH9" s="81"/>
    </row>
    <row r="10" spans="1:34" ht="2.1" customHeight="1" x14ac:dyDescent="0.25">
      <c r="B10" s="47"/>
      <c r="C10" s="48"/>
      <c r="D10" s="48"/>
      <c r="E10" s="48"/>
      <c r="F10" s="40"/>
      <c r="G10" s="82"/>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80"/>
    </row>
    <row r="11" spans="1:34" ht="20.100000000000001" customHeight="1" x14ac:dyDescent="0.25">
      <c r="B11" s="49" t="s">
        <v>48</v>
      </c>
      <c r="C11" s="50">
        <f>SUM(C12:C13)</f>
        <v>4600</v>
      </c>
      <c r="D11" s="50">
        <f>SUM(D12:D13)</f>
        <v>6600</v>
      </c>
      <c r="E11" s="50">
        <f>SUM(E12:E13)</f>
        <v>10000</v>
      </c>
      <c r="G11" s="78"/>
      <c r="AH11" s="80"/>
    </row>
    <row r="12" spans="1:34" ht="20.100000000000001" customHeight="1" x14ac:dyDescent="0.25">
      <c r="B12" s="51" t="s">
        <v>52</v>
      </c>
      <c r="C12" s="52">
        <f t="array" ref="C12">INDEX(Usage!$B$5:$M$18,MATCH($B6,Usage!$B$5:$B$18,0),MATCH(C$6&amp;C$7&amp;"Flat rate"&amp;"Total",Usage!$B$5:$M$5&amp;Usage!$B$6:$M$6&amp;Usage!$B$7:$M$7&amp;Usage!$B$13:$M$13,0))</f>
        <v>4600</v>
      </c>
      <c r="D12" s="52">
        <f t="array" ref="D12">INDEX(Usage!$B$5:$M$18,MATCH($B6,Usage!$B$5:$B$18,0),MATCH(D$6&amp;D$7&amp;"Flat rate"&amp;"Total",Usage!$B$5:$M$5&amp;Usage!$B$6:$M$6&amp;Usage!$B$7:$M$7&amp;Usage!$B$13:$M$13,0))</f>
        <v>4600</v>
      </c>
      <c r="E12" s="52">
        <f t="array" ref="E12">INDEX(Usage!$B$5:$M$18,MATCH($B6,Usage!$B$5:$B$18,0),MATCH(E$6&amp;E$7&amp;"Flat rate"&amp;"Total",Usage!$B$5:$M$5&amp;Usage!$B$6:$M$6&amp;Usage!$B$7:$M$7&amp;Usage!$B$13:$M$13,0))</f>
        <v>10000</v>
      </c>
      <c r="G12" s="78"/>
      <c r="AH12" s="80"/>
    </row>
    <row r="13" spans="1:34" ht="20.100000000000001" customHeight="1" x14ac:dyDescent="0.25">
      <c r="B13" s="51" t="s">
        <v>51</v>
      </c>
      <c r="C13" s="52"/>
      <c r="D13" s="52">
        <f t="array" ref="D13">INDEX(Usage!$B$5:$M$18,MATCH($B6,Usage!$B$5:$B$18,0),MATCH(D$6&amp;D$7&amp;"CL"&amp;"Total",Usage!$B$5:$M$5&amp;Usage!$B$6:$M$6&amp;Usage!$B$7:$M$7&amp;Usage!$B$13:$M$13,0))</f>
        <v>2000</v>
      </c>
      <c r="E13" s="52"/>
      <c r="G13" s="78"/>
      <c r="AH13" s="80"/>
    </row>
    <row r="14" spans="1:34" ht="2.1" customHeight="1" x14ac:dyDescent="0.25">
      <c r="B14" s="53"/>
      <c r="C14" s="53"/>
      <c r="D14" s="53"/>
      <c r="E14" s="53"/>
      <c r="G14" s="78"/>
      <c r="AH14" s="80"/>
    </row>
    <row r="15" spans="1:34" ht="20.100000000000001" customHeight="1" x14ac:dyDescent="0.25">
      <c r="B15" s="51" t="str">
        <f>"Change from DMO "&amp;PY&amp; " price ($)"</f>
        <v>Change from DMO 2024-25 price ($)</v>
      </c>
      <c r="C15" s="106">
        <f ca="1">C9-H32</f>
        <v>228</v>
      </c>
      <c r="D15" s="106">
        <f ca="1">D9-Q32</f>
        <v>280</v>
      </c>
      <c r="E15" s="106">
        <f ca="1">E9-Z32</f>
        <v>489</v>
      </c>
      <c r="G15" s="78"/>
      <c r="AH15" s="80"/>
    </row>
    <row r="16" spans="1:34" ht="20.100000000000001" customHeight="1" thickBot="1" x14ac:dyDescent="0.3">
      <c r="B16" s="54" t="str">
        <f>"Change from DMO "&amp;PY&amp; " price (%)"</f>
        <v>Change from DMO 2024-25 price (%)</v>
      </c>
      <c r="C16" s="90">
        <f ca="1">C9/H32-1</f>
        <v>9.0728213290887316E-2</v>
      </c>
      <c r="D16" s="90">
        <f ca="1">D9/Q32-1</f>
        <v>9.5530535653360671E-2</v>
      </c>
      <c r="E16" s="90">
        <f ca="1">E9/Z32-1</f>
        <v>8.529565672422823E-2</v>
      </c>
      <c r="G16" s="78"/>
      <c r="AH16" s="80"/>
    </row>
    <row r="17" spans="2:34" ht="15.75" thickTop="1" x14ac:dyDescent="0.25">
      <c r="B17" s="72" t="s">
        <v>90</v>
      </c>
      <c r="G17" s="78"/>
      <c r="AH17" s="80"/>
    </row>
    <row r="18" spans="2:34" x14ac:dyDescent="0.25">
      <c r="G18" s="78"/>
      <c r="AH18" s="80"/>
    </row>
    <row r="19" spans="2:34" x14ac:dyDescent="0.25">
      <c r="C19" s="70"/>
      <c r="D19" s="117"/>
      <c r="G19" s="78"/>
      <c r="AH19" s="80"/>
    </row>
    <row r="20" spans="2:34" ht="15.75" x14ac:dyDescent="0.25">
      <c r="B20" s="32"/>
      <c r="D20" s="117"/>
      <c r="G20" s="78"/>
      <c r="AH20" s="80"/>
    </row>
    <row r="21" spans="2:34" ht="15" customHeight="1" thickBot="1" x14ac:dyDescent="0.3">
      <c r="F21" s="32"/>
      <c r="G21" s="83"/>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5"/>
    </row>
    <row r="22" spans="2:34" s="33" customFormat="1" ht="15.75" x14ac:dyDescent="0.25">
      <c r="F22" s="32"/>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2:34" s="33" customFormat="1" ht="15.75" hidden="1" x14ac:dyDescent="0.25">
      <c r="F23" s="32"/>
      <c r="G23" s="3"/>
      <c r="H23" s="3" t="str">
        <f>$H$27</f>
        <v>Residential</v>
      </c>
      <c r="I23" s="3" t="str">
        <f>$H$27</f>
        <v>Residential</v>
      </c>
      <c r="J23" s="3" t="str">
        <f>$H$27</f>
        <v>Residential</v>
      </c>
      <c r="K23" s="3"/>
      <c r="L23" s="3" t="str">
        <f>$H$27</f>
        <v>Residential</v>
      </c>
      <c r="M23" s="3" t="str">
        <f>$H$27</f>
        <v>Residential</v>
      </c>
      <c r="N23" s="3" t="str">
        <f>$H$27</f>
        <v>Residential</v>
      </c>
      <c r="O23" s="3" t="str">
        <f>$H$27</f>
        <v>Residential</v>
      </c>
      <c r="P23" s="3"/>
      <c r="Q23" s="3" t="str">
        <f>$Q$27</f>
        <v>Residential</v>
      </c>
      <c r="R23" s="3" t="str">
        <f>$Q$27</f>
        <v>Residential</v>
      </c>
      <c r="S23" s="3" t="str">
        <f>$Q$27</f>
        <v>Residential</v>
      </c>
      <c r="T23" s="3"/>
      <c r="U23" s="3" t="str">
        <f>$Q$27</f>
        <v>Residential</v>
      </c>
      <c r="V23" s="3" t="str">
        <f>$Q$27</f>
        <v>Residential</v>
      </c>
      <c r="W23" s="3" t="str">
        <f>$Q$27</f>
        <v>Residential</v>
      </c>
      <c r="X23" s="3" t="str">
        <f>$Q$27</f>
        <v>Residential</v>
      </c>
      <c r="Y23" s="3"/>
      <c r="Z23" s="3" t="str">
        <f>$Z$27</f>
        <v>Small Business</v>
      </c>
      <c r="AA23" s="3" t="str">
        <f>$Z$27</f>
        <v>Small Business</v>
      </c>
      <c r="AB23" s="3" t="str">
        <f>$Z$27</f>
        <v>Small Business</v>
      </c>
      <c r="AC23" s="3"/>
      <c r="AD23" s="3" t="str">
        <f>$Z$27</f>
        <v>Small Business</v>
      </c>
      <c r="AE23" s="3" t="str">
        <f>$Z$27</f>
        <v>Small Business</v>
      </c>
      <c r="AF23" s="3" t="str">
        <f>$Z$27</f>
        <v>Small Business</v>
      </c>
      <c r="AG23" s="3" t="str">
        <f>$Z$27</f>
        <v>Small Business</v>
      </c>
    </row>
    <row r="24" spans="2:34" s="33" customFormat="1" ht="15.75" hidden="1" x14ac:dyDescent="0.25">
      <c r="F24" s="32"/>
      <c r="G24" s="3"/>
      <c r="H24" s="3" t="str">
        <f>$H$28</f>
        <v>without CL</v>
      </c>
      <c r="I24" s="3" t="str">
        <f>$H$28</f>
        <v>without CL</v>
      </c>
      <c r="J24" s="3" t="str">
        <f>$H$28</f>
        <v>without CL</v>
      </c>
      <c r="K24" s="3"/>
      <c r="L24" s="3" t="str">
        <f>$H$28</f>
        <v>without CL</v>
      </c>
      <c r="M24" s="3" t="str">
        <f>$H$28</f>
        <v>without CL</v>
      </c>
      <c r="N24" s="3" t="str">
        <f>$H$28</f>
        <v>without CL</v>
      </c>
      <c r="O24" s="3" t="str">
        <f>$H$28</f>
        <v>without CL</v>
      </c>
      <c r="P24" s="3"/>
      <c r="Q24" s="3" t="str">
        <f>$Q$28</f>
        <v>with CL</v>
      </c>
      <c r="R24" s="3" t="str">
        <f>$Q$28</f>
        <v>with CL</v>
      </c>
      <c r="S24" s="3" t="str">
        <f>$Q$28</f>
        <v>with CL</v>
      </c>
      <c r="T24" s="3"/>
      <c r="U24" s="3" t="str">
        <f>$Q$28</f>
        <v>with CL</v>
      </c>
      <c r="V24" s="3" t="str">
        <f>$Q$28</f>
        <v>with CL</v>
      </c>
      <c r="W24" s="3" t="str">
        <f>$Q$28</f>
        <v>with CL</v>
      </c>
      <c r="X24" s="3" t="str">
        <f>$Q$28</f>
        <v>with CL</v>
      </c>
      <c r="Y24" s="3"/>
      <c r="Z24" s="3" t="str">
        <f>$Z$28</f>
        <v>without CL</v>
      </c>
      <c r="AA24" s="3" t="str">
        <f>$Z$28</f>
        <v>without CL</v>
      </c>
      <c r="AB24" s="3" t="str">
        <f>$Z$28</f>
        <v>without CL</v>
      </c>
      <c r="AC24" s="3"/>
      <c r="AD24" s="3" t="str">
        <f>$Z$28</f>
        <v>without CL</v>
      </c>
      <c r="AE24" s="3" t="str">
        <f>$Z$28</f>
        <v>without CL</v>
      </c>
      <c r="AF24" s="3" t="str">
        <f>$Z$28</f>
        <v>without CL</v>
      </c>
      <c r="AG24" s="3" t="str">
        <f>$Z$28</f>
        <v>without CL</v>
      </c>
    </row>
    <row r="25" spans="2:34" s="33" customFormat="1" ht="15.75" hidden="1" x14ac:dyDescent="0.25">
      <c r="F25" s="32"/>
      <c r="G25" s="3"/>
      <c r="H25" s="3"/>
      <c r="I25" s="3" t="str">
        <f>$I$29</f>
        <v>2024-25</v>
      </c>
      <c r="J25" s="3" t="str">
        <f>$I$29</f>
        <v>2024-25</v>
      </c>
      <c r="K25" s="3"/>
      <c r="L25" s="3" t="str">
        <f>$L$29</f>
        <v>2025-26</v>
      </c>
      <c r="M25" s="3" t="str">
        <f>$L$29</f>
        <v>2025-26</v>
      </c>
      <c r="N25" s="3" t="str">
        <f>$L$29</f>
        <v>2025-26</v>
      </c>
      <c r="O25" s="3" t="str">
        <f>$L$29</f>
        <v>2025-26</v>
      </c>
      <c r="P25" s="3"/>
      <c r="Q25" s="3"/>
      <c r="R25" s="3" t="str">
        <f>$R$29</f>
        <v>2024-25</v>
      </c>
      <c r="S25" s="3" t="str">
        <f>$R$29</f>
        <v>2024-25</v>
      </c>
      <c r="T25" s="3"/>
      <c r="U25" s="3" t="str">
        <f>$U$29</f>
        <v>2025-26</v>
      </c>
      <c r="V25" s="3" t="str">
        <f>$U$29</f>
        <v>2025-26</v>
      </c>
      <c r="W25" s="3" t="str">
        <f>$U$29</f>
        <v>2025-26</v>
      </c>
      <c r="X25" s="3" t="str">
        <f>$U$29</f>
        <v>2025-26</v>
      </c>
      <c r="Y25" s="3"/>
      <c r="Z25" s="3"/>
      <c r="AA25" s="3" t="str">
        <f>$AA$29</f>
        <v>2024-25</v>
      </c>
      <c r="AB25" s="3" t="str">
        <f>$AA$29</f>
        <v>2024-25</v>
      </c>
      <c r="AC25" s="3"/>
      <c r="AD25" s="3" t="str">
        <f>$AD$29</f>
        <v>2025-26</v>
      </c>
      <c r="AE25" s="3" t="str">
        <f>$AD$29</f>
        <v>2025-26</v>
      </c>
      <c r="AF25" s="3" t="str">
        <f>$AD$29</f>
        <v>2025-26</v>
      </c>
      <c r="AG25" s="3" t="str">
        <f>$AD$29</f>
        <v>2025-26</v>
      </c>
    </row>
    <row r="26" spans="2:34" s="33" customFormat="1" ht="15.75" x14ac:dyDescent="0.25">
      <c r="F26" s="32" t="s">
        <v>43</v>
      </c>
      <c r="G26" s="89" t="s">
        <v>129</v>
      </c>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2:34" s="33" customFormat="1" x14ac:dyDescent="0.25">
      <c r="F27" s="469" t="s">
        <v>32</v>
      </c>
      <c r="G27" s="73"/>
      <c r="H27" s="465" t="s">
        <v>6</v>
      </c>
      <c r="I27" s="465"/>
      <c r="J27" s="465"/>
      <c r="K27" s="465"/>
      <c r="L27" s="465"/>
      <c r="M27" s="465"/>
      <c r="N27" s="465"/>
      <c r="O27" s="465"/>
      <c r="P27" s="39"/>
      <c r="Q27" s="465" t="s">
        <v>6</v>
      </c>
      <c r="R27" s="465"/>
      <c r="S27" s="465"/>
      <c r="T27" s="465"/>
      <c r="U27" s="465"/>
      <c r="V27" s="465"/>
      <c r="W27" s="465"/>
      <c r="X27" s="465"/>
      <c r="Y27" s="39"/>
      <c r="Z27" s="465" t="s">
        <v>77</v>
      </c>
      <c r="AA27" s="465"/>
      <c r="AB27" s="465"/>
      <c r="AC27" s="465"/>
      <c r="AD27" s="465"/>
      <c r="AE27" s="465"/>
      <c r="AF27" s="465"/>
      <c r="AG27" s="465"/>
    </row>
    <row r="28" spans="2:34" ht="15.75" thickBot="1" x14ac:dyDescent="0.3">
      <c r="F28" s="469"/>
      <c r="G28" s="73"/>
      <c r="H28" s="466" t="s">
        <v>127</v>
      </c>
      <c r="I28" s="466"/>
      <c r="J28" s="466"/>
      <c r="K28" s="466"/>
      <c r="L28" s="466"/>
      <c r="M28" s="466"/>
      <c r="N28" s="466"/>
      <c r="O28" s="466"/>
      <c r="P28" s="39"/>
      <c r="Q28" s="466" t="s">
        <v>128</v>
      </c>
      <c r="R28" s="466"/>
      <c r="S28" s="466"/>
      <c r="T28" s="466"/>
      <c r="U28" s="466"/>
      <c r="V28" s="466"/>
      <c r="W28" s="466"/>
      <c r="X28" s="466"/>
      <c r="Y28" s="39"/>
      <c r="Z28" s="466" t="s">
        <v>127</v>
      </c>
      <c r="AA28" s="466"/>
      <c r="AB28" s="466"/>
      <c r="AC28" s="466"/>
      <c r="AD28" s="466"/>
      <c r="AE28" s="466"/>
      <c r="AF28" s="466"/>
      <c r="AG28" s="466"/>
    </row>
    <row r="29" spans="2:34" ht="15" customHeight="1" thickTop="1" x14ac:dyDescent="0.25">
      <c r="F29" s="469"/>
      <c r="G29" s="74"/>
      <c r="H29" s="39" t="s">
        <v>67</v>
      </c>
      <c r="I29" s="467" t="str">
        <f>PY</f>
        <v>2024-25</v>
      </c>
      <c r="J29" s="467"/>
      <c r="K29" s="39"/>
      <c r="L29" s="467" t="str">
        <f>FY</f>
        <v>2025-26</v>
      </c>
      <c r="M29" s="467"/>
      <c r="N29" s="467"/>
      <c r="O29" s="467"/>
      <c r="P29" s="39"/>
      <c r="Q29" s="39" t="s">
        <v>67</v>
      </c>
      <c r="R29" s="467" t="str">
        <f>PY</f>
        <v>2024-25</v>
      </c>
      <c r="S29" s="467"/>
      <c r="T29" s="39"/>
      <c r="U29" s="467" t="str">
        <f>FY</f>
        <v>2025-26</v>
      </c>
      <c r="V29" s="467"/>
      <c r="W29" s="467"/>
      <c r="X29" s="467"/>
      <c r="Y29" s="39"/>
      <c r="Z29" s="39" t="s">
        <v>67</v>
      </c>
      <c r="AA29" s="467" t="str">
        <f>PY</f>
        <v>2024-25</v>
      </c>
      <c r="AB29" s="467"/>
      <c r="AC29" s="39"/>
      <c r="AD29" s="467" t="str">
        <f>FY</f>
        <v>2025-26</v>
      </c>
      <c r="AE29" s="467"/>
      <c r="AF29" s="467"/>
      <c r="AG29" s="467"/>
    </row>
    <row r="30" spans="2:34" ht="25.5" x14ac:dyDescent="0.25">
      <c r="F30" s="469"/>
      <c r="G30" s="74"/>
      <c r="H30" s="154"/>
      <c r="I30" s="155" t="s">
        <v>21</v>
      </c>
      <c r="J30" s="155" t="s">
        <v>23</v>
      </c>
      <c r="K30" s="155"/>
      <c r="L30" s="155" t="s">
        <v>20</v>
      </c>
      <c r="M30" s="156" t="s">
        <v>160</v>
      </c>
      <c r="N30" s="155" t="s">
        <v>21</v>
      </c>
      <c r="O30" s="155" t="s">
        <v>23</v>
      </c>
      <c r="P30" s="155"/>
      <c r="Q30" s="155"/>
      <c r="R30" s="155" t="s">
        <v>21</v>
      </c>
      <c r="S30" s="155" t="s">
        <v>23</v>
      </c>
      <c r="T30" s="155"/>
      <c r="U30" s="155" t="s">
        <v>20</v>
      </c>
      <c r="V30" s="156" t="s">
        <v>50</v>
      </c>
      <c r="W30" s="155" t="s">
        <v>21</v>
      </c>
      <c r="X30" s="155" t="s">
        <v>23</v>
      </c>
      <c r="Y30" s="155"/>
      <c r="Z30" s="155"/>
      <c r="AA30" s="155" t="s">
        <v>21</v>
      </c>
      <c r="AB30" s="155" t="s">
        <v>23</v>
      </c>
      <c r="AC30" s="155"/>
      <c r="AD30" s="155" t="s">
        <v>20</v>
      </c>
      <c r="AE30" s="156" t="s">
        <v>50</v>
      </c>
      <c r="AF30" s="155" t="s">
        <v>21</v>
      </c>
      <c r="AG30" s="155" t="s">
        <v>23</v>
      </c>
    </row>
    <row r="31" spans="2:34" ht="15" customHeight="1" x14ac:dyDescent="0.25">
      <c r="F31" s="469"/>
      <c r="G31" s="74"/>
      <c r="H31" s="155" t="s">
        <v>68</v>
      </c>
      <c r="I31" s="155" t="s">
        <v>45</v>
      </c>
      <c r="J31" s="155" t="s">
        <v>27</v>
      </c>
      <c r="K31" s="155"/>
      <c r="L31" s="155" t="s">
        <v>27</v>
      </c>
      <c r="M31" s="155" t="s">
        <v>27</v>
      </c>
      <c r="N31" s="155" t="s">
        <v>45</v>
      </c>
      <c r="O31" s="155" t="s">
        <v>27</v>
      </c>
      <c r="P31" s="155"/>
      <c r="Q31" s="155"/>
      <c r="R31" s="155" t="s">
        <v>45</v>
      </c>
      <c r="S31" s="155" t="s">
        <v>27</v>
      </c>
      <c r="T31" s="155"/>
      <c r="U31" s="155" t="s">
        <v>27</v>
      </c>
      <c r="V31" s="155" t="s">
        <v>27</v>
      </c>
      <c r="W31" s="155" t="s">
        <v>45</v>
      </c>
      <c r="X31" s="155" t="s">
        <v>27</v>
      </c>
      <c r="Y31" s="155"/>
      <c r="Z31" s="155"/>
      <c r="AA31" s="155" t="s">
        <v>45</v>
      </c>
      <c r="AB31" s="155" t="s">
        <v>27</v>
      </c>
      <c r="AC31" s="155"/>
      <c r="AD31" s="155" t="s">
        <v>27</v>
      </c>
      <c r="AE31" s="155" t="s">
        <v>27</v>
      </c>
      <c r="AF31" s="155" t="s">
        <v>45</v>
      </c>
      <c r="AG31" s="155" t="s">
        <v>27</v>
      </c>
    </row>
    <row r="32" spans="2:34" ht="15" customHeight="1" x14ac:dyDescent="0.25">
      <c r="F32" s="44" t="str">
        <f>"DMO "&amp;PY&amp;" price"</f>
        <v>DMO 2024-25 price</v>
      </c>
      <c r="G32" s="44"/>
      <c r="H32" s="157">
        <f t="array" ref="H32">INDEX('Detail inputs'!$B$3:$K$195,MATCH($B$6&amp;H$27&amp;H$28&amp;H$29,'Detail inputs'!$B$3:$B$195&amp;'Detail inputs'!$D$3:$D$195&amp;'Detail inputs'!$E$3:$E$195&amp;'Detail inputs'!$F$3:$F$195&amp;'Detail inputs'!$G$3:$G$195,0),MATCH(I$29,'Detail inputs'!$B$3:$K$3,0))</f>
        <v>2513</v>
      </c>
      <c r="I32" s="158"/>
      <c r="J32" s="158"/>
      <c r="K32" s="158"/>
      <c r="L32" s="158"/>
      <c r="M32" s="158"/>
      <c r="N32" s="158"/>
      <c r="O32" s="158"/>
      <c r="P32" s="158"/>
      <c r="Q32" s="157">
        <f t="array" ref="Q32">INDEX('Detail inputs'!$B$3:$K$195,MATCH($B$6&amp;Q$27&amp;Q$28&amp;Q$29,'Detail inputs'!$B$3:$B$195&amp;'Detail inputs'!$D$3:$D$195&amp;'Detail inputs'!$E$3:$E$195&amp;'Detail inputs'!$F$3:$F$195&amp;'Detail inputs'!$G$3:$G$195,0),MATCH(R$29,'Detail inputs'!$B$3:$K$3,0))</f>
        <v>2931</v>
      </c>
      <c r="R32" s="157"/>
      <c r="S32" s="158"/>
      <c r="T32" s="158"/>
      <c r="U32" s="158"/>
      <c r="V32" s="158"/>
      <c r="W32" s="159"/>
      <c r="X32" s="158"/>
      <c r="Y32" s="159"/>
      <c r="Z32" s="157" cm="1">
        <f t="array" ref="Z32">INDEX('Detail inputs'!$B$3:$K$195,MATCH($B$6&amp;Z$27&amp;Z$28&amp;Z$29,'Detail inputs'!$B$3:$B$195&amp;'Detail inputs'!$D$3:$D$195&amp;'Detail inputs'!$E$3:$E$195&amp;'Detail inputs'!$F$3:$F$195&amp;'Detail inputs'!$G$3:$G$195,0),MATCH(AA$29,'Detail inputs'!$B$3:$K$3,0))</f>
        <v>5733</v>
      </c>
      <c r="AA32" s="157"/>
      <c r="AB32" s="158"/>
      <c r="AC32" s="158"/>
      <c r="AD32" s="158"/>
      <c r="AE32" s="158"/>
      <c r="AF32" s="158"/>
      <c r="AG32" s="158"/>
    </row>
    <row r="33" spans="2:34" ht="15" customHeight="1" x14ac:dyDescent="0.25">
      <c r="F33" s="45" t="s">
        <v>62</v>
      </c>
      <c r="G33" s="45"/>
      <c r="H33" s="159"/>
      <c r="I33" s="157">
        <f t="array" aca="1" ref="I33" ca="1">INDEX(INDIRECT("'"&amp;$F33&amp;"'!$B$3:$T$300"),MATCH($B$6&amp;H$27&amp;H$28&amp;"Total inc GST",INDIRECT("'"&amp;$F33&amp;"'!$B$3:$B$300")&amp;INDIRECT("'"&amp;$F33&amp;"'!$C$3:$C$300")&amp;INDIRECT("'"&amp;$F33&amp;"'!$D$3:$D$300")&amp;INDIRECT("'"&amp;$F33&amp;"'!$G$3:$G$300"),0),MATCH(I$29&amp;I$30,INDIRECT("'"&amp;$F33&amp;"'!$B$4:$T$4")&amp;INDIRECT("'"&amp;$F33&amp;"'!$B$5:$T$5"),0))</f>
        <v>1155.0889558312551</v>
      </c>
      <c r="J33" s="158">
        <f t="shared" ref="J33:J37" ca="1" si="0">I33/H$32</f>
        <v>0.45964542611669523</v>
      </c>
      <c r="K33" s="158"/>
      <c r="L33" s="160">
        <f t="array" aca="1" ref="L33" ca="1">INDEX(INDIRECT("'"&amp;$F33&amp;"'!$B$3:$T$300"),MATCH($B$6&amp;H$27&amp;H$28&amp;"Total inc GST",INDIRECT("'"&amp;$F33&amp;"'!$B$3:$B$300")&amp;INDIRECT("'"&amp;$F33&amp;"'!$C$3:$C$300")&amp;INDIRECT("'"&amp;$F33&amp;"'!$D$3:$D$300")&amp;INDIRECT("'"&amp;$F33&amp;"'!$G$3:$G$300"),0),MATCH(L$29&amp;L$30,INDIRECT("'"&amp;$F33&amp;"'!$B$4:$T$4")&amp;INDIRECT("'"&amp;$F33&amp;"'!$B$5:$T$5"),0))</f>
        <v>8.128543575699454E-2</v>
      </c>
      <c r="M33" s="160">
        <f ca="1">(N33-I33)/H32</f>
        <v>3.7362478755604958E-2</v>
      </c>
      <c r="N33" s="157">
        <f t="array" aca="1" ref="N33" ca="1">INDEX(INDIRECT("'"&amp;$F33&amp;"'!$B$3:$T$300"),MATCH($B$6&amp;H$27&amp;H$28&amp;"Total inc GST",INDIRECT("'"&amp;$F33&amp;"'!$B$3:$B$300")&amp;INDIRECT("'"&amp;$F33&amp;"'!$C$3:$C$300")&amp;INDIRECT("'"&amp;$F33&amp;"'!$D$3:$D$300")&amp;INDIRECT("'"&amp;$F33&amp;"'!$G$3:$G$300"),0),MATCH(L$29&amp;N$30,INDIRECT("'"&amp;$F33&amp;"'!$B$4:$T$4")&amp;INDIRECT("'"&amp;$F33&amp;"'!$B$5:$T$5"),0))</f>
        <v>1248.9808649440904</v>
      </c>
      <c r="O33" s="158">
        <f ca="1">N33/H$38</f>
        <v>0.45566613095369951</v>
      </c>
      <c r="P33" s="157"/>
      <c r="Q33" s="158"/>
      <c r="R33" s="157">
        <f t="array" aca="1" ref="R33" ca="1">INDEX(INDIRECT("'"&amp;$F33&amp;"'!$B$3:$T$300"),MATCH($B$6&amp;Q$27&amp;Q$28&amp;"Total inc GST",INDIRECT("'"&amp;$F33&amp;"'!$B$3:$B$300")&amp;INDIRECT("'"&amp;$F33&amp;"'!$C$3:$C$300")&amp;INDIRECT("'"&amp;$F33&amp;"'!$D$3:$D$300")&amp;INDIRECT("'"&amp;$F33&amp;"'!$G$3:$G$300"),0),MATCH(R$29&amp;R$30,INDIRECT("'"&amp;$F33&amp;"'!$B$4:$T$4")&amp;INDIRECT("'"&amp;$F33&amp;"'!$B$5:$T$5"),0))</f>
        <v>1276.3711230908807</v>
      </c>
      <c r="S33" s="158">
        <f t="shared" ref="S33:S37" ca="1" si="1">R33/Q$32</f>
        <v>0.43547291814769046</v>
      </c>
      <c r="T33" s="158"/>
      <c r="U33" s="160">
        <f t="array" aca="1" ref="U33" ca="1">INDEX(INDIRECT("'"&amp;$F33&amp;"'!$B$3:$T$300"),MATCH($B$6&amp;Q$27&amp;Q$28&amp;"Total inc GST",INDIRECT("'"&amp;$F33&amp;"'!$B$3:$B$300")&amp;INDIRECT("'"&amp;$F33&amp;"'!$C$3:$C$300")&amp;INDIRECT("'"&amp;$F33&amp;"'!$D$3:$D$300")&amp;INDIRECT("'"&amp;$F33&amp;"'!$G$3:$G$300"),0),MATCH(U$29&amp;U$30,INDIRECT("'"&amp;$F33&amp;"'!$B$4:$T$4")&amp;INDIRECT("'"&amp;$F33&amp;"'!$B$5:$T$5"),0))</f>
        <v>8.374129288242016E-2</v>
      </c>
      <c r="V33" s="160">
        <f ca="1">(W33-R33)/Q32</f>
        <v>3.6467065180967949E-2</v>
      </c>
      <c r="W33" s="157">
        <f t="array" aca="1" ref="W33" ca="1">INDEX(INDIRECT("'"&amp;$F33&amp;"'!$B$3:$T$300"),MATCH($B$6&amp;Q$27&amp;Q$28&amp;"Total inc GST",INDIRECT("'"&amp;$F33&amp;"'!$B$3:$B$300")&amp;INDIRECT("'"&amp;$F33&amp;"'!$C$3:$C$300")&amp;INDIRECT("'"&amp;$F33&amp;"'!$D$3:$D$300")&amp;INDIRECT("'"&amp;$F33&amp;"'!$G$3:$G$300"),0),MATCH(U$29&amp;W$30,INDIRECT("'"&amp;$F33&amp;"'!$B$4:$T$4")&amp;INDIRECT("'"&amp;$F33&amp;"'!$B$5:$T$5"),0))</f>
        <v>1383.2560911362978</v>
      </c>
      <c r="X33" s="158">
        <f ca="1">W33/Q$38</f>
        <v>0.43078669920158758</v>
      </c>
      <c r="Y33" s="159"/>
      <c r="Z33" s="159"/>
      <c r="AA33" s="157">
        <f t="array" aca="1" ref="AA33" ca="1">INDEX(INDIRECT("'"&amp;$F33&amp;"'!$B$3:$T$300"),MATCH($B$6&amp;Z$27&amp;Z$28&amp;"Total inc GST",INDIRECT("'"&amp;$F33&amp;"'!$B$3:$B$300")&amp;INDIRECT("'"&amp;$F33&amp;"'!$C$3:$C$300")&amp;INDIRECT("'"&amp;$F33&amp;"'!$D$3:$D$300")&amp;INDIRECT("'"&amp;$F33&amp;"'!$G$3:$G$300"),0),MATCH(AA$29&amp;AA$30,INDIRECT("'"&amp;$F33&amp;"'!$B$4:$T$4")&amp;INDIRECT("'"&amp;$F33&amp;"'!$B$5:$T$5"),0))</f>
        <v>2742.7828040793461</v>
      </c>
      <c r="AB33" s="158">
        <f t="shared" ref="AB33:AB37" ca="1" si="2">AA33/Z$32</f>
        <v>0.47842016467457632</v>
      </c>
      <c r="AC33" s="158"/>
      <c r="AD33" s="160">
        <f t="array" aca="1" ref="AD33" ca="1">INDEX(INDIRECT("'"&amp;$F33&amp;"'!$B$3:$T$300"),MATCH($B$6&amp;Z$27&amp;Z$28&amp;"Total inc GST",INDIRECT("'"&amp;$F33&amp;"'!$B$3:$B$300")&amp;INDIRECT("'"&amp;$F33&amp;"'!$C$3:$C$300")&amp;INDIRECT("'"&amp;$F33&amp;"'!$D$3:$D$300")&amp;INDIRECT("'"&amp;$F33&amp;"'!$G$3:$G$300"),0),MATCH(AD$29&amp;AD$30,INDIRECT("'"&amp;$F33&amp;"'!$B$4:$T$4")&amp;INDIRECT("'"&amp;$F33&amp;"'!$B$5:$T$5"),0))</f>
        <v>7.8883989941060051E-2</v>
      </c>
      <c r="AE33" s="160">
        <f ca="1">(AF33-AA33)/Z32</f>
        <v>3.7739691457789583E-2</v>
      </c>
      <c r="AF33" s="157">
        <f t="array" aca="1" ref="AF33" ca="1">INDEX(INDIRECT("'"&amp;$F33&amp;"'!$B$3:$T$300"),MATCH($B$6&amp;Z$27&amp;Z$28&amp;"Total inc GST",INDIRECT("'"&amp;$F33&amp;"'!$B$3:$B$300")&amp;INDIRECT("'"&amp;$F33&amp;"'!$C$3:$C$300")&amp;INDIRECT("'"&amp;$F33&amp;"'!$D$3:$D$300")&amp;INDIRECT("'"&amp;$F33&amp;"'!$G$3:$G$300"),0),MATCH(AD$29&amp;AF$30,INDIRECT("'"&amp;$F33&amp;"'!$B$4:$T$4")&amp;INDIRECT("'"&amp;$F33&amp;"'!$B$5:$T$5"),0))</f>
        <v>2959.1444552068538</v>
      </c>
      <c r="AG33" s="158">
        <f ca="1">AF33/Z$38</f>
        <v>0.4755937729358492</v>
      </c>
      <c r="AH33" s="86"/>
    </row>
    <row r="34" spans="2:34" ht="15" customHeight="1" x14ac:dyDescent="0.25">
      <c r="F34" s="45" t="s">
        <v>63</v>
      </c>
      <c r="G34" s="45"/>
      <c r="H34" s="159"/>
      <c r="I34" s="157">
        <f t="array" aca="1" ref="I34" ca="1">INDEX(INDIRECT("'"&amp;$F34&amp;"'!$B$3:$T$300"),MATCH($B$6&amp;H$27&amp;H$28&amp;"Total inc GST",INDIRECT("'"&amp;$F34&amp;"'!$B$3:$B$300")&amp;INDIRECT("'"&amp;$F34&amp;"'!$C$3:$C$300")&amp;INDIRECT("'"&amp;$F34&amp;"'!$D$3:$D$300")&amp;INDIRECT("'"&amp;$F34&amp;"'!$G$3:$G$300"),0),MATCH(I$29&amp;I$30,INDIRECT("'"&amp;$F34&amp;"'!$B$4:$T$4")&amp;INDIRECT("'"&amp;$F34&amp;"'!$B$5:$T$5"),0))</f>
        <v>838.80785182857142</v>
      </c>
      <c r="J34" s="158">
        <f t="shared" ca="1" si="0"/>
        <v>0.33378744601216531</v>
      </c>
      <c r="K34" s="158"/>
      <c r="L34" s="160">
        <f t="array" aca="1" ref="L34" ca="1">INDEX(INDIRECT("'"&amp;$F34&amp;"'!$B$3:$T$300"),MATCH($B$6&amp;H$27&amp;H$28&amp;"Total inc GST",INDIRECT("'"&amp;$F34&amp;"'!$B$3:$B$300")&amp;INDIRECT("'"&amp;$F34&amp;"'!$C$3:$C$300")&amp;INDIRECT("'"&amp;$F34&amp;"'!$D$3:$D$300")&amp;INDIRECT("'"&amp;$F34&amp;"'!$G$3:$G$300"),0),MATCH(L$29&amp;L$30,INDIRECT("'"&amp;$F34&amp;"'!$B$4:$T$4")&amp;INDIRECT("'"&amp;$F34&amp;"'!$B$5:$T$5"),0))</f>
        <v>7.7067027854404335E-2</v>
      </c>
      <c r="M34" s="160">
        <f ca="1">(N34-I34)/H32</f>
        <v>2.5724006399270041E-2</v>
      </c>
      <c r="N34" s="157">
        <f t="array" aca="1" ref="N34" ca="1">INDEX(INDIRECT("'"&amp;$F34&amp;"'!$B$3:$T$300"),MATCH($B$6&amp;H$27&amp;H$28&amp;"Total inc GST",INDIRECT("'"&amp;$F34&amp;"'!$B$3:$B$300")&amp;INDIRECT("'"&amp;$F34&amp;"'!$C$3:$C$300")&amp;INDIRECT("'"&amp;$F34&amp;"'!$D$3:$D$300")&amp;INDIRECT("'"&amp;$F34&amp;"'!$G$3:$G$300"),0),MATCH(L$29&amp;N$30,INDIRECT("'"&amp;$F34&amp;"'!$B$4:$T$4")&amp;INDIRECT("'"&amp;$F34&amp;"'!$B$5:$T$5"),0))</f>
        <v>903.45227990993703</v>
      </c>
      <c r="O34" s="158">
        <f ca="1">N34/H$38</f>
        <v>0.32960681499815286</v>
      </c>
      <c r="P34" s="158"/>
      <c r="Q34" s="158"/>
      <c r="R34" s="157">
        <f t="array" aca="1" ref="R34" ca="1">INDEX(INDIRECT("'"&amp;$F34&amp;"'!$B$3:$T$300"),MATCH($B$6&amp;Q$27&amp;Q$28&amp;"Total inc GST",INDIRECT("'"&amp;$F34&amp;"'!$B$3:$B$300")&amp;INDIRECT("'"&amp;$F34&amp;"'!$C$3:$C$300")&amp;INDIRECT("'"&amp;$F34&amp;"'!$D$3:$D$300")&amp;INDIRECT("'"&amp;$F34&amp;"'!$G$3:$G$300"),0),MATCH(R$29&amp;R$30,INDIRECT("'"&amp;$F34&amp;"'!$B$4:$T$4")&amp;INDIRECT("'"&amp;$F34&amp;"'!$B$5:$T$5"),0))</f>
        <v>1068.7608498285715</v>
      </c>
      <c r="S34" s="158">
        <f t="shared" ca="1" si="1"/>
        <v>0.36464034453380129</v>
      </c>
      <c r="T34" s="158"/>
      <c r="U34" s="160">
        <f t="array" aca="1" ref="U34" ca="1">INDEX(INDIRECT("'"&amp;$F34&amp;"'!$B$3:$T$300"),MATCH($B$6&amp;Q$27&amp;Q$28&amp;"Total inc GST",INDIRECT("'"&amp;$F34&amp;"'!$B$3:$B$300")&amp;INDIRECT("'"&amp;$F34&amp;"'!$C$3:$C$300")&amp;INDIRECT("'"&amp;$F34&amp;"'!$D$3:$D$300")&amp;INDIRECT("'"&amp;$F34&amp;"'!$G$3:$G$300"),0),MATCH(U$29&amp;U$30,INDIRECT("'"&amp;$F34&amp;"'!$B$4:$T$4")&amp;INDIRECT("'"&amp;$F34&amp;"'!$B$5:$T$5"),0))</f>
        <v>0.10034927515348779</v>
      </c>
      <c r="V34" s="160">
        <f ca="1">(W34-R34)/Q32</f>
        <v>3.659139426568498E-2</v>
      </c>
      <c r="W34" s="157">
        <f t="array" aca="1" ref="W34" ca="1">INDEX(INDIRECT("'"&amp;$F34&amp;"'!$B$3:$T$300"),MATCH($B$6&amp;Q$27&amp;Q$28&amp;"Total inc GST",INDIRECT("'"&amp;$F34&amp;"'!$B$3:$B$300")&amp;INDIRECT("'"&amp;$F34&amp;"'!$C$3:$C$300")&amp;INDIRECT("'"&amp;$F34&amp;"'!$D$3:$D$300")&amp;INDIRECT("'"&amp;$F34&amp;"'!$G$3:$G$300"),0),MATCH(U$29&amp;W$30,INDIRECT("'"&amp;$F34&amp;"'!$B$4:$T$4")&amp;INDIRECT("'"&amp;$F34&amp;"'!$B$5:$T$5"),0))</f>
        <v>1176.0102264212942</v>
      </c>
      <c r="X34" s="158">
        <f ca="1">W34/Q$38</f>
        <v>0.36624423121186367</v>
      </c>
      <c r="Y34" s="159"/>
      <c r="Z34" s="159"/>
      <c r="AA34" s="157">
        <f t="array" aca="1" ref="AA34" ca="1">INDEX(INDIRECT("'"&amp;$F34&amp;"'!$B$3:$T$300"),MATCH($B$6&amp;Z$27&amp;Z$28&amp;"Total inc GST",INDIRECT("'"&amp;$F34&amp;"'!$B$3:$B$300")&amp;INDIRECT("'"&amp;$F34&amp;"'!$C$3:$C$300")&amp;INDIRECT("'"&amp;$F34&amp;"'!$D$3:$D$300")&amp;INDIRECT("'"&amp;$F34&amp;"'!$G$3:$G$300"),0),MATCH(AA$29&amp;AA$30,INDIRECT("'"&amp;$F34&amp;"'!$B$4:$T$4")&amp;INDIRECT("'"&amp;$F34&amp;"'!$B$5:$T$5"),0))</f>
        <v>1808.1213464285713</v>
      </c>
      <c r="AB34" s="158">
        <f t="shared" ca="1" si="2"/>
        <v>0.31538833881537959</v>
      </c>
      <c r="AC34" s="158"/>
      <c r="AD34" s="160">
        <f t="array" aca="1" ref="AD34" ca="1">INDEX(INDIRECT("'"&amp;$F34&amp;"'!$B$3:$T$300"),MATCH($B$6&amp;Z$27&amp;Z$28&amp;"Total inc GST",INDIRECT("'"&amp;$F34&amp;"'!$B$3:$B$300")&amp;INDIRECT("'"&amp;$F34&amp;"'!$C$3:$C$300")&amp;INDIRECT("'"&amp;$F34&amp;"'!$D$3:$D$300")&amp;INDIRECT("'"&amp;$F34&amp;"'!$G$3:$G$300"),0),MATCH(AD$29&amp;AD$30,INDIRECT("'"&amp;$F34&amp;"'!$B$4:$T$4")&amp;INDIRECT("'"&amp;$F34&amp;"'!$B$5:$T$5"),0))</f>
        <v>7.6344344032196254E-2</v>
      </c>
      <c r="AE34" s="160">
        <f ca="1">(AF34-AA34)/Z32</f>
        <v>2.4078115842264214E-2</v>
      </c>
      <c r="AF34" s="157">
        <f t="array" aca="1" ref="AF34" ca="1">INDEX(INDIRECT("'"&amp;$F34&amp;"'!$B$3:$T$300"),MATCH($B$6&amp;Z$27&amp;Z$28&amp;"Total inc GST",INDIRECT("'"&amp;$F34&amp;"'!$B$3:$B$300")&amp;INDIRECT("'"&amp;$F34&amp;"'!$C$3:$C$300")&amp;INDIRECT("'"&amp;$F34&amp;"'!$D$3:$D$300")&amp;INDIRECT("'"&amp;$F34&amp;"'!$G$3:$G$300"),0),MATCH(AD$29&amp;AF$30,INDIRECT("'"&amp;$F34&amp;"'!$B$4:$T$4")&amp;INDIRECT("'"&amp;$F34&amp;"'!$B$5:$T$5"),0))</f>
        <v>1946.1611845522721</v>
      </c>
      <c r="AG34" s="158">
        <f ca="1">AF34/Z$38</f>
        <v>0.31278707562717328</v>
      </c>
    </row>
    <row r="35" spans="2:34" ht="15" customHeight="1" x14ac:dyDescent="0.25">
      <c r="F35" s="45" t="s">
        <v>64</v>
      </c>
      <c r="G35" s="45"/>
      <c r="H35" s="159"/>
      <c r="I35" s="157" cm="1">
        <f t="array" aca="1" ref="I35" ca="1">INDEX(INDIRECT("'"&amp;$F35&amp;"'!$B$3:$T$300"),MATCH($B$6&amp;H$27&amp;H$28&amp;"Total inc GST",INDIRECT("'"&amp;$F35&amp;"'!$B$3:$B$300")&amp;INDIRECT("'"&amp;$F35&amp;"'!$C$3:$C$300")&amp;INDIRECT("'"&amp;$F35&amp;"'!$D$3:$D$300")&amp;INDIRECT("'"&amp;$F35&amp;"'!$G$3:$G$300"),0),MATCH(I$29&amp;I$30,INDIRECT("'"&amp;$F35&amp;"'!$B$4:$T$4")&amp;INDIRECT("'"&amp;$F35&amp;"'!$B$5:$T$5"),0))</f>
        <v>97.860399999999998</v>
      </c>
      <c r="J35" s="158">
        <f t="shared" ca="1" si="0"/>
        <v>3.8941663350576999E-2</v>
      </c>
      <c r="K35" s="158"/>
      <c r="L35" s="160">
        <f t="array" aca="1" ref="L35" ca="1">INDEX(INDIRECT("'"&amp;$F35&amp;"'!$B$3:$T$300"),MATCH($B$6&amp;H$27&amp;H$28&amp;"Total inc GST",INDIRECT("'"&amp;$F35&amp;"'!$B$3:$B$300")&amp;INDIRECT("'"&amp;$F35&amp;"'!$C$3:$C$300")&amp;INDIRECT("'"&amp;$F35&amp;"'!$D$3:$D$300")&amp;INDIRECT("'"&amp;$F35&amp;"'!$G$3:$G$300"),0),MATCH(L$29&amp;L$30,INDIRECT("'"&amp;$F35&amp;"'!$B$4:$T$4")&amp;INDIRECT("'"&amp;$F35&amp;"'!$B$5:$T$5"),0))</f>
        <v>-0.1807676387221645</v>
      </c>
      <c r="M35" s="160">
        <f ca="1">(N35-I35)/H32</f>
        <v>-7.0393925317972584E-3</v>
      </c>
      <c r="N35" s="157" cm="1">
        <f t="array" aca="1" ref="N35" ca="1">INDEX(INDIRECT("'"&amp;$F35&amp;"'!$B$3:$T$300"),MATCH($B$6&amp;H$27&amp;H$28&amp;"Total inc GST",INDIRECT("'"&amp;$F35&amp;"'!$B$3:$B$300")&amp;INDIRECT("'"&amp;$F35&amp;"'!$C$3:$C$300")&amp;INDIRECT("'"&amp;$F35&amp;"'!$D$3:$D$300")&amp;INDIRECT("'"&amp;$F35&amp;"'!$G$3:$G$300"),0),MATCH(L$29&amp;N$30,INDIRECT("'"&amp;$F35&amp;"'!$B$4:$T$4")&amp;INDIRECT("'"&amp;$F35&amp;"'!$B$5:$T$5"),0))</f>
        <v>80.170406567593488</v>
      </c>
      <c r="O35" s="158">
        <f ca="1">N35/H$38</f>
        <v>2.9248597799194996E-2</v>
      </c>
      <c r="P35" s="158"/>
      <c r="Q35" s="158"/>
      <c r="R35" s="157">
        <f t="array" aca="1" ref="R35" ca="1">INDEX(INDIRECT("'"&amp;$F35&amp;"'!$B$3:$T$300"),MATCH($B$6&amp;Q$27&amp;Q$28&amp;"Total inc GST",INDIRECT("'"&amp;$F35&amp;"'!$B$3:$B$300")&amp;INDIRECT("'"&amp;$F35&amp;"'!$C$3:$C$300")&amp;INDIRECT("'"&amp;$F35&amp;"'!$D$3:$D$300")&amp;INDIRECT("'"&amp;$F35&amp;"'!$G$3:$G$300"),0),MATCH(R$29&amp;R$30,INDIRECT("'"&amp;$F35&amp;"'!$B$4:$T$4")&amp;INDIRECT("'"&amp;$F35&amp;"'!$B$5:$T$5"),0))</f>
        <v>140.4084</v>
      </c>
      <c r="S35" s="158">
        <f t="shared" ca="1" si="1"/>
        <v>4.7904605936540431E-2</v>
      </c>
      <c r="T35" s="158"/>
      <c r="U35" s="160">
        <f t="array" aca="1" ref="U35" ca="1">INDEX(INDIRECT("'"&amp;$F35&amp;"'!$B$3:$T$300"),MATCH($B$6&amp;Q$27&amp;Q$28&amp;"Total inc GST",INDIRECT("'"&amp;$F35&amp;"'!$B$3:$B$300")&amp;INDIRECT("'"&amp;$F35&amp;"'!$C$3:$C$300")&amp;INDIRECT("'"&amp;$F35&amp;"'!$D$3:$D$300")&amp;INDIRECT("'"&amp;$F35&amp;"'!$G$3:$G$300"),0),MATCH(U$29&amp;U$30,INDIRECT("'"&amp;$F35&amp;"'!$B$4:$T$4")&amp;INDIRECT("'"&amp;$F35&amp;"'!$B$5:$T$5"),0))</f>
        <v>-0.18076763872216461</v>
      </c>
      <c r="V35" s="160">
        <f ca="1">(W35-R35)/Q32</f>
        <v>-8.6596024990642003E-3</v>
      </c>
      <c r="W35" s="157">
        <f t="array" aca="1" ref="W35" ca="1">INDEX(INDIRECT("'"&amp;$F35&amp;"'!$B$3:$T$300"),MATCH($B$6&amp;Q$27&amp;Q$28&amp;"Total inc GST",INDIRECT("'"&amp;$F35&amp;"'!$B$3:$B$300")&amp;INDIRECT("'"&amp;$F35&amp;"'!$C$3:$C$300")&amp;INDIRECT("'"&amp;$F35&amp;"'!$D$3:$D$300")&amp;INDIRECT("'"&amp;$F35&amp;"'!$G$3:$G$300"),0),MATCH(U$29&amp;W$30,INDIRECT("'"&amp;$F35&amp;"'!$B$4:$T$4")&amp;INDIRECT("'"&amp;$F35&amp;"'!$B$5:$T$5"),0))</f>
        <v>115.02710507524283</v>
      </c>
      <c r="X35" s="158">
        <f ca="1">W35/Q$38</f>
        <v>3.5822829360088085E-2</v>
      </c>
      <c r="Y35" s="159"/>
      <c r="Z35" s="159"/>
      <c r="AA35" s="157">
        <f t="array" aca="1" ref="AA35" ca="1">INDEX(INDIRECT("'"&amp;$F35&amp;"'!$B$3:$T$300"),MATCH($B$6&amp;Z$27&amp;Z$28&amp;"Total inc GST",INDIRECT("'"&amp;$F35&amp;"'!$B$3:$B$300")&amp;INDIRECT("'"&amp;$F35&amp;"'!$C$3:$C$300")&amp;INDIRECT("'"&amp;$F35&amp;"'!$D$3:$D$300")&amp;INDIRECT("'"&amp;$F35&amp;"'!$G$3:$G$300"),0),MATCH(AA$29&amp;AA$30,INDIRECT("'"&amp;$F35&amp;"'!$B$4:$T$4")&amp;INDIRECT("'"&amp;$F35&amp;"'!$B$5:$T$5"),0))</f>
        <v>212.74</v>
      </c>
      <c r="AB35" s="158">
        <f t="shared" ca="1" si="2"/>
        <v>3.7107971393685678E-2</v>
      </c>
      <c r="AC35" s="158"/>
      <c r="AD35" s="160">
        <f t="array" aca="1" ref="AD35" ca="1">INDEX(INDIRECT("'"&amp;$F35&amp;"'!$B$3:$T$300"),MATCH($B$6&amp;Z$27&amp;Z$28&amp;"Total inc GST",INDIRECT("'"&amp;$F35&amp;"'!$B$3:$B$300")&amp;INDIRECT("'"&amp;$F35&amp;"'!$C$3:$C$300")&amp;INDIRECT("'"&amp;$F35&amp;"'!$D$3:$D$300")&amp;INDIRECT("'"&amp;$F35&amp;"'!$G$3:$G$300"),0),MATCH(AD$29&amp;AD$30,INDIRECT("'"&amp;$F35&amp;"'!$B$4:$T$4")&amp;INDIRECT("'"&amp;$F35&amp;"'!$B$5:$T$5"),0))</f>
        <v>-0.18076763872216473</v>
      </c>
      <c r="AE35" s="160">
        <f ca="1">(AF35-AA35)/Z32</f>
        <v>-6.7079203666061951E-3</v>
      </c>
      <c r="AF35" s="157">
        <f t="array" aca="1" ref="AF35" ca="1">INDEX(INDIRECT("'"&amp;$F35&amp;"'!$B$3:$T$300"),MATCH($B$6&amp;Z$27&amp;Z$28&amp;"Total inc GST",INDIRECT("'"&amp;$F35&amp;"'!$B$3:$B$300")&amp;INDIRECT("'"&amp;$F35&amp;"'!$C$3:$C$300")&amp;INDIRECT("'"&amp;$F35&amp;"'!$D$3:$D$300")&amp;INDIRECT("'"&amp;$F35&amp;"'!$G$3:$G$300"),0),MATCH(AD$29&amp;AF$30,INDIRECT("'"&amp;$F35&amp;"'!$B$4:$T$4")&amp;INDIRECT("'"&amp;$F35&amp;"'!$B$5:$T$5"),0))</f>
        <v>174.28349253824669</v>
      </c>
      <c r="AG35" s="158">
        <f ca="1">AF35/Z$38</f>
        <v>2.8010847402482591E-2</v>
      </c>
    </row>
    <row r="36" spans="2:34" ht="15" customHeight="1" x14ac:dyDescent="0.25">
      <c r="F36" s="45" t="s">
        <v>168</v>
      </c>
      <c r="G36" s="45"/>
      <c r="H36" s="159"/>
      <c r="I36" s="157" cm="1">
        <f t="array" aca="1" ref="I36" ca="1">INDEX(INDIRECT("'"&amp;$F36&amp;"'!$B$3:$T$300"),MATCH($B$6&amp;H$27&amp;H$28&amp;"Total inc GST",INDIRECT("'"&amp;$F36&amp;"'!$B$3:$B$300")&amp;INDIRECT("'"&amp;$F36&amp;"'!$C$3:$C$300")&amp;INDIRECT("'"&amp;$F36&amp;"'!$D$3:$D$300")&amp;INDIRECT("'"&amp;$F36&amp;"'!$G$3:$G$300"),0),MATCH(I$29&amp;I$30,INDIRECT("'"&amp;$F36&amp;"'!$B$4:$T$4")&amp;INDIRECT("'"&amp;$F36&amp;"'!$B$5:$T$5"),0))</f>
        <v>270.02784441600005</v>
      </c>
      <c r="J36" s="158">
        <f t="shared" ca="1" si="0"/>
        <v>0.10745238536251495</v>
      </c>
      <c r="K36" s="158"/>
      <c r="L36" s="160">
        <f ca="1">IFERROR((N36-I36)/I36,"New cost component")</f>
        <v>0.27305946224386435</v>
      </c>
      <c r="M36" s="160">
        <f ca="1">(N36-I36)/H32</f>
        <v>2.9340890563908813E-2</v>
      </c>
      <c r="N36" s="157" cm="1">
        <f t="array" aca="1" ref="N36" ca="1">INDEX(INDIRECT("'"&amp;$F36&amp;"'!$B$3:$T$300"),MATCH($B$6&amp;H$27&amp;H$28&amp;"Total inc GST",INDIRECT("'"&amp;$F36&amp;"'!$B$3:$B$300")&amp;INDIRECT("'"&amp;$F36&amp;"'!$C$3:$C$300")&amp;INDIRECT("'"&amp;$F36&amp;"'!$D$3:$D$300")&amp;INDIRECT("'"&amp;$F36&amp;"'!$G$3:$G$300"),0),MATCH(L$29&amp;N$30,INDIRECT("'"&amp;$F36&amp;"'!$B$4:$T$4")&amp;INDIRECT("'"&amp;$F36&amp;"'!$B$5:$T$5"),0))</f>
        <v>343.7615024031029</v>
      </c>
      <c r="O36" s="158">
        <f ca="1">N36/H$38</f>
        <v>0.12541463057391569</v>
      </c>
      <c r="P36" s="158"/>
      <c r="Q36" s="158"/>
      <c r="R36" s="157" cm="1">
        <f t="array" aca="1" ref="R36" ca="1">INDEX(INDIRECT("'"&amp;$F36&amp;"'!$B$3:$T$300"),MATCH($B$6&amp;Q$27&amp;Q$28&amp;"Total inc GST",INDIRECT("'"&amp;$F36&amp;"'!$B$3:$B$300")&amp;INDIRECT("'"&amp;$F36&amp;"'!$C$3:$C$300")&amp;INDIRECT("'"&amp;$F36&amp;"'!$D$3:$D$300")&amp;INDIRECT("'"&amp;$F36&amp;"'!$G$3:$G$300"),0),MATCH(R$29&amp;R$30,INDIRECT("'"&amp;$F36&amp;"'!$B$4:$T$4")&amp;INDIRECT("'"&amp;$F36&amp;"'!$B$5:$T$5"),0))</f>
        <v>270.02784441600005</v>
      </c>
      <c r="S36" s="158">
        <f t="shared" ca="1" si="1"/>
        <v>9.2128230779938605E-2</v>
      </c>
      <c r="T36" s="158"/>
      <c r="U36" s="160">
        <f ca="1">IFERROR((W36-R36)/R36,"New cost component")</f>
        <v>0.27305946224386435</v>
      </c>
      <c r="V36" s="160">
        <f ca="1">(W36-R36)/Q32</f>
        <v>2.5156485154248669E-2</v>
      </c>
      <c r="W36" s="157" cm="1">
        <f t="array" aca="1" ref="W36" ca="1">INDEX(INDIRECT("'"&amp;$F36&amp;"'!$B$3:$T$300"),MATCH($B$6&amp;Q$27&amp;Q$28&amp;"Total inc GST",INDIRECT("'"&amp;$F36&amp;"'!$B$3:$B$300")&amp;INDIRECT("'"&amp;$F36&amp;"'!$C$3:$C$300")&amp;INDIRECT("'"&amp;$F36&amp;"'!$D$3:$D$300")&amp;INDIRECT("'"&amp;$F36&amp;"'!$G$3:$G$300"),0),MATCH(U$29&amp;W$30,INDIRECT("'"&amp;$F36&amp;"'!$B$4:$T$4")&amp;INDIRECT("'"&amp;$F36&amp;"'!$B$5:$T$5"),0))</f>
        <v>343.7615024031029</v>
      </c>
      <c r="X36" s="158">
        <f ca="1">W36/Q$38</f>
        <v>0.10705745948399342</v>
      </c>
      <c r="Y36" s="159"/>
      <c r="Z36" s="159"/>
      <c r="AA36" s="157" cm="1">
        <f t="array" aca="1" ref="AA36" ca="1">INDEX(INDIRECT("'"&amp;$F36&amp;"'!$B$3:$T$300"),MATCH($B$6&amp;Z$27&amp;Z$28&amp;"Total inc GST",INDIRECT("'"&amp;$F36&amp;"'!$B$3:$B$300")&amp;INDIRECT("'"&amp;$F36&amp;"'!$C$3:$C$300")&amp;INDIRECT("'"&amp;$F36&amp;"'!$D$3:$D$300")&amp;INDIRECT("'"&amp;$F36&amp;"'!$G$3:$G$300"),0),MATCH(AA$29&amp;AA$30,INDIRECT("'"&amp;$F36&amp;"'!$B$4:$T$4")&amp;INDIRECT("'"&amp;$F36&amp;"'!$B$5:$T$5"),0))</f>
        <v>338.80741012800001</v>
      </c>
      <c r="AB36" s="158">
        <f t="shared" ca="1" si="2"/>
        <v>5.9097751635792783E-2</v>
      </c>
      <c r="AC36" s="158"/>
      <c r="AD36" s="160">
        <f ca="1">IFERROR((AF36-AA36)/AA36,"New cost component")</f>
        <v>0.35193587148069538</v>
      </c>
      <c r="AE36" s="160">
        <f ca="1">(AF36-AA36)/Z32</f>
        <v>2.0798618724492426E-2</v>
      </c>
      <c r="AF36" s="157" cm="1">
        <f t="array" aca="1" ref="AF36" ca="1">INDEX(INDIRECT("'"&amp;$F36&amp;"'!$B$3:$T$300"),MATCH($B$6&amp;Z$27&amp;Z$28&amp;"Total inc GST",INDIRECT("'"&amp;$F36&amp;"'!$B$3:$B$300")&amp;INDIRECT("'"&amp;$F36&amp;"'!$C$3:$C$300")&amp;INDIRECT("'"&amp;$F36&amp;"'!$D$3:$D$300")&amp;INDIRECT("'"&amp;$F36&amp;"'!$G$3:$G$300"),0),MATCH(AD$29&amp;AF$30,INDIRECT("'"&amp;$F36&amp;"'!$B$4:$T$4")&amp;INDIRECT("'"&amp;$F36&amp;"'!$B$5:$T$5"),0))</f>
        <v>458.04589127551509</v>
      </c>
      <c r="AG36" s="158">
        <f ca="1">AF36/Z$38</f>
        <v>7.361714742454438E-2</v>
      </c>
    </row>
    <row r="37" spans="2:34" ht="15" customHeight="1" x14ac:dyDescent="0.25">
      <c r="F37" s="45" t="s">
        <v>210</v>
      </c>
      <c r="G37" s="45"/>
      <c r="H37" s="159"/>
      <c r="I37" s="157">
        <f ca="1">SUM(I33:I36)/(1-SUMIFS('Detail inputs'!$I:$I,'Detail inputs'!$B:$B,$B$6,'Detail inputs'!$G:$G,$F$37,'Detail inputs'!$D:$D,$H$27,'Detail inputs'!$E:$E,$H28))-SUM(I33:I36)</f>
        <v>150.75223736654243</v>
      </c>
      <c r="J37" s="158">
        <f t="shared" ca="1" si="0"/>
        <v>5.9988952394167301E-2</v>
      </c>
      <c r="K37" s="158"/>
      <c r="L37" s="160">
        <f ca="1">IFERROR((N37-I37)/I37,"New cost component")</f>
        <v>9.0855008824911349E-2</v>
      </c>
      <c r="M37" s="160">
        <f ca="1">(N37-I37)/H32</f>
        <v>5.4502967991692571E-3</v>
      </c>
      <c r="N37" s="157">
        <f ca="1">SUM(N33:N36)/(1-SUMIFS('Detail inputs'!$J:$J,'Detail inputs'!$B:$B,$B$6,'Detail inputs'!$G:$G,$F$37,'Detail inputs'!$D:$D,$H$27,'Detail inputs'!$E:$E,$H28))-SUM(N33:N36)+IF(+Summary!AE65=1,+Summary!AC60,+Summary!AD60)</f>
        <v>164.44883322285477</v>
      </c>
      <c r="O37" s="158">
        <f ca="1">N37/H$38</f>
        <v>5.999592602074235E-2</v>
      </c>
      <c r="P37" s="158"/>
      <c r="Q37" s="158"/>
      <c r="R37" s="157">
        <f ca="1">SUM(R33:R36)/(1-SUMIFS('Detail inputs'!$I:$I,'Detail inputs'!$B:$B,$B$6,'Detail inputs'!$G:$G,$F$37,'Detail inputs'!$D:$D,$Q$27,'Detail inputs'!$E:$E,$Q28))-SUM(R33:R36)</f>
        <v>175.88733302141191</v>
      </c>
      <c r="S37" s="158">
        <f t="shared" ca="1" si="1"/>
        <v>6.0009325493487517E-2</v>
      </c>
      <c r="T37" s="158"/>
      <c r="U37" s="160">
        <f ca="1">IFERROR((W37-R37)/R37,"New cost component")</f>
        <v>9.5256835250589353E-2</v>
      </c>
      <c r="V37" s="160">
        <f ca="1">(W37-R37)/Q32</f>
        <v>5.7162984320321313E-3</v>
      </c>
      <c r="W37" s="157">
        <f ca="1">SUM(W33:W36)/(1-SUMIFS('Detail inputs'!$J:$J,'Detail inputs'!$B:$B,$B$6,'Detail inputs'!$G:$G,$F$37,'Detail inputs'!$D:$D,$Q$27,'Detail inputs'!$E:$E,$Q28))-SUM(W33:W36)+IF(+Summary!AE65=1,+Summary!AC60,+Summary!AD60)</f>
        <v>192.64180372569808</v>
      </c>
      <c r="X37" s="158">
        <f ca="1">W37/Q$38</f>
        <v>5.9994333144097814E-2</v>
      </c>
      <c r="Y37" s="159"/>
      <c r="Z37" s="159"/>
      <c r="AA37" s="157">
        <f ca="1">SUM(AA33:AA36)/(1-SUMIFS('Detail inputs'!$I:$I,'Detail inputs'!$B:$B,$B$6,'Detail inputs'!$G:$G,$F$37,'Detail inputs'!$D:$D,$Z$27,'Detail inputs'!$E:$E,$Z28))-SUM(AA33:AA36)</f>
        <v>630.64008052803456</v>
      </c>
      <c r="AB37" s="158">
        <f t="shared" ca="1" si="2"/>
        <v>0.11000175833386265</v>
      </c>
      <c r="AC37" s="158"/>
      <c r="AD37" s="160">
        <f ca="1">IFERROR((AF37-AA37)/AA37,"New cost component")</f>
        <v>8.5289092461806923E-2</v>
      </c>
      <c r="AE37" s="160">
        <f ca="1">(AF37-AA37)/Z32</f>
        <v>9.3819501374981518E-3</v>
      </c>
      <c r="AF37" s="157">
        <f ca="1">SUM(AF33:AF36)/(1-SUMIFS('Detail inputs'!$J:$J,'Detail inputs'!$B:$B,$B$6,'Detail inputs'!$G:$G,$F$37,'Detail inputs'!$D:$D,$Z$27,'Detail inputs'!$E:$E,$Z28))-SUM(AF33:AF36)+IF(+Summary!AE65=1,+Summary!AC61,+Summary!AD61)</f>
        <v>684.42680066631146</v>
      </c>
      <c r="AG37" s="158">
        <f ca="1">AF37/Z$38</f>
        <v>0.11000109300326445</v>
      </c>
    </row>
    <row r="38" spans="2:34" ht="15.75" thickBot="1" x14ac:dyDescent="0.3">
      <c r="B38" s="72"/>
      <c r="F38" s="69" t="str">
        <f>"DMO "&amp;FY&amp;" price"</f>
        <v>DMO 2025-26 price</v>
      </c>
      <c r="G38" s="69"/>
      <c r="H38" s="161">
        <f ca="1">ROUND(SUM(N33:N37),0)</f>
        <v>2741</v>
      </c>
      <c r="I38" s="162"/>
      <c r="J38" s="162"/>
      <c r="K38" s="162"/>
      <c r="L38" s="162">
        <f ca="1">H38/H32-1</f>
        <v>9.0728213290887316E-2</v>
      </c>
      <c r="M38" s="162"/>
      <c r="N38" s="162"/>
      <c r="O38" s="162"/>
      <c r="P38" s="162"/>
      <c r="Q38" s="161">
        <f ca="1">ROUND(SUM(W33:W37),0)</f>
        <v>3211</v>
      </c>
      <c r="R38" s="161"/>
      <c r="S38" s="162"/>
      <c r="T38" s="162"/>
      <c r="U38" s="162">
        <f ca="1">Q38/Q32-1</f>
        <v>9.5530535653360671E-2</v>
      </c>
      <c r="V38" s="162"/>
      <c r="W38" s="163"/>
      <c r="X38" s="163"/>
      <c r="Y38" s="163"/>
      <c r="Z38" s="161">
        <f ca="1">ROUND(SUM(AF33:AF37),0)</f>
        <v>6222</v>
      </c>
      <c r="AA38" s="161"/>
      <c r="AB38" s="162"/>
      <c r="AC38" s="162"/>
      <c r="AD38" s="162">
        <f ca="1">Z38/Z32-1</f>
        <v>8.529565672422823E-2</v>
      </c>
      <c r="AE38" s="162"/>
      <c r="AF38" s="162"/>
      <c r="AG38" s="162"/>
    </row>
    <row r="39" spans="2:34" ht="15.75" thickTop="1" x14ac:dyDescent="0.25">
      <c r="F39" s="100"/>
    </row>
    <row r="40" spans="2:34" x14ac:dyDescent="0.25">
      <c r="F40" s="89"/>
      <c r="H40" s="86"/>
      <c r="M40" s="187"/>
      <c r="N40" s="86"/>
      <c r="P40" s="203"/>
      <c r="Q40" s="86"/>
      <c r="W40" s="86"/>
      <c r="X40" s="189"/>
      <c r="Z40" s="86"/>
      <c r="AA40" s="86"/>
      <c r="AF40" s="86"/>
    </row>
    <row r="41" spans="2:34" x14ac:dyDescent="0.25">
      <c r="H41" s="86"/>
      <c r="I41" s="198"/>
      <c r="L41" s="224"/>
      <c r="M41" s="187"/>
      <c r="N41" s="70"/>
      <c r="O41" s="70"/>
      <c r="P41" s="70"/>
      <c r="Q41" s="70"/>
      <c r="R41" s="70"/>
      <c r="S41" s="70"/>
      <c r="T41" s="70"/>
      <c r="U41" s="70"/>
      <c r="V41" s="70"/>
      <c r="W41" s="70"/>
      <c r="X41" s="70"/>
      <c r="Z41" s="86"/>
      <c r="AA41" s="198"/>
      <c r="AF41" s="70"/>
    </row>
    <row r="42" spans="2:34" x14ac:dyDescent="0.25">
      <c r="F42" s="100"/>
      <c r="L42" s="224"/>
      <c r="M42" s="187"/>
      <c r="N42" s="70"/>
      <c r="O42" s="70"/>
      <c r="P42" s="70"/>
      <c r="Q42" s="70"/>
      <c r="R42" s="70"/>
      <c r="S42" s="70"/>
      <c r="T42" s="70"/>
      <c r="U42" s="70"/>
      <c r="V42" s="70"/>
      <c r="W42" s="70"/>
      <c r="X42" s="70"/>
      <c r="Z42" s="86"/>
      <c r="AF42" s="70"/>
    </row>
    <row r="43" spans="2:34" s="87" customFormat="1" x14ac:dyDescent="0.25">
      <c r="H43" s="88"/>
      <c r="L43" s="224"/>
      <c r="M43" s="187"/>
      <c r="N43" s="70"/>
      <c r="O43" s="70"/>
      <c r="P43" s="70"/>
      <c r="Q43" s="70"/>
      <c r="R43" s="70"/>
      <c r="S43" s="70"/>
      <c r="T43" s="70"/>
      <c r="U43" s="70"/>
      <c r="V43" s="70"/>
      <c r="W43" s="70"/>
      <c r="X43" s="70"/>
      <c r="AA43" s="88"/>
      <c r="AF43" s="70"/>
    </row>
    <row r="44" spans="2:34" x14ac:dyDescent="0.25">
      <c r="L44" s="224"/>
      <c r="M44" s="187"/>
      <c r="N44" s="70"/>
      <c r="O44" s="70"/>
      <c r="P44" s="70"/>
      <c r="Q44" s="70"/>
      <c r="R44" s="70"/>
      <c r="S44" s="70"/>
      <c r="T44" s="70"/>
      <c r="U44" s="70"/>
      <c r="V44" s="70"/>
      <c r="W44" s="70"/>
      <c r="X44" s="70"/>
      <c r="AF44" s="70"/>
    </row>
    <row r="45" spans="2:34" x14ac:dyDescent="0.25">
      <c r="L45" s="224"/>
      <c r="M45" s="187"/>
      <c r="N45" s="70"/>
      <c r="O45" s="70"/>
      <c r="P45" s="70"/>
      <c r="Q45" s="70"/>
      <c r="R45" s="70"/>
      <c r="S45" s="70"/>
      <c r="T45" s="70"/>
      <c r="U45" s="70"/>
      <c r="V45" s="70"/>
      <c r="W45" s="70"/>
      <c r="X45" s="70"/>
      <c r="AF45" s="70"/>
    </row>
    <row r="47" spans="2:34" x14ac:dyDescent="0.25">
      <c r="H47" s="70"/>
    </row>
  </sheetData>
  <sheetProtection algorithmName="SHA-256" hashValue="aAo4KDHQpHgzU1pG4IHH0nH1XsdnnRwAJf5W1M0O23o=" saltValue="2VJE11y7z5aSvSFh8lM5CQ==" spinCount="100000" sheet="1" formatCells="0" formatColumns="0" formatRows="0" insertColumns="0" insertRows="0" insertHyperlinks="0" deleteColumns="0" deleteRows="0" sort="0" autoFilter="0" pivotTables="0"/>
  <mergeCells count="15">
    <mergeCell ref="Z27:AG27"/>
    <mergeCell ref="H28:O28"/>
    <mergeCell ref="Q28:X28"/>
    <mergeCell ref="Z28:AG28"/>
    <mergeCell ref="I29:J29"/>
    <mergeCell ref="AA29:AB29"/>
    <mergeCell ref="AD29:AG29"/>
    <mergeCell ref="A1:B1"/>
    <mergeCell ref="B6:B7"/>
    <mergeCell ref="F27:F31"/>
    <mergeCell ref="H27:O27"/>
    <mergeCell ref="Q27:X27"/>
    <mergeCell ref="L29:O29"/>
    <mergeCell ref="R29:S29"/>
    <mergeCell ref="U29:X29"/>
  </mergeCells>
  <conditionalFormatting sqref="F38:M38">
    <cfRule type="expression" dxfId="304" priority="11">
      <formula>AND(MOD(ROW(),2)=0,F$30="Proportion",$F38="Overall change in costs (%)")</formula>
    </cfRule>
    <cfRule type="expression" dxfId="303" priority="12">
      <formula>AND(MOD(ROW(),1)=0,F$30="Proportion",$F38="Overall change in costs (%)")</formula>
    </cfRule>
  </conditionalFormatting>
  <conditionalFormatting sqref="F32:AG37">
    <cfRule type="expression" dxfId="302" priority="2">
      <formula>AND(MOD(ROW(),2)=0,F$30="Proportion",$F32="Overall change in costs (%)")</formula>
    </cfRule>
    <cfRule type="expression" dxfId="301" priority="3">
      <formula>AND(MOD(ROW(),1)=0,F$30="Proportion",$F32="Overall change in costs (%)")</formula>
    </cfRule>
  </conditionalFormatting>
  <conditionalFormatting sqref="F32:AG38">
    <cfRule type="expression" dxfId="300" priority="1">
      <formula>MOD(ROW(),2)=0</formula>
    </cfRule>
  </conditionalFormatting>
  <conditionalFormatting sqref="G43:K43">
    <cfRule type="cellIs" dxfId="299" priority="19" operator="equal">
      <formula>FALSE</formula>
    </cfRule>
    <cfRule type="cellIs" dxfId="298" priority="20" operator="equal">
      <formula>TRUE</formula>
    </cfRule>
  </conditionalFormatting>
  <conditionalFormatting sqref="N38 W38 AF38">
    <cfRule type="expression" dxfId="297" priority="71">
      <formula>AND(MOD(ROW(),2)=0,#REF!="Proportion",$F38="Overall change in costs (%)")</formula>
    </cfRule>
    <cfRule type="expression" dxfId="296" priority="72">
      <formula>AND(MOD(ROW(),1)=0,#REF!="Proportion",$F38="Overall change in costs (%)")</formula>
    </cfRule>
  </conditionalFormatting>
  <conditionalFormatting sqref="O38 X38 AG38">
    <cfRule type="expression" dxfId="295" priority="68">
      <formula>AND(MOD(ROW(),2)=0,N$30="Proportion",$F38="Overall change in costs (%)")</formula>
    </cfRule>
    <cfRule type="expression" dxfId="294" priority="69">
      <formula>AND(MOD(ROW(),1)=0,N$30="Proportion",$F38="Overall change in costs (%)")</formula>
    </cfRule>
  </conditionalFormatting>
  <conditionalFormatting sqref="P38:V38">
    <cfRule type="expression" dxfId="293" priority="14">
      <formula>AND(MOD(ROW(),2)=0,P$30="Proportion",$F38="Overall change in costs (%)")</formula>
    </cfRule>
    <cfRule type="expression" dxfId="292" priority="15">
      <formula>AND(MOD(ROW(),1)=0,P$30="Proportion",$F38="Overall change in costs (%)")</formula>
    </cfRule>
  </conditionalFormatting>
  <conditionalFormatting sqref="Y38:AE38">
    <cfRule type="expression" dxfId="291" priority="17">
      <formula>AND(MOD(ROW(),2)=0,Y$30="Proportion",$F38="Overall change in costs (%)")</formula>
    </cfRule>
    <cfRule type="expression" dxfId="290" priority="18">
      <formula>AND(MOD(ROW(),1)=0,Y$30="Proportion",$F38="Overall change in costs (%)")</formula>
    </cfRule>
  </conditionalFormatting>
  <conditionalFormatting sqref="Y43:AE43">
    <cfRule type="cellIs" dxfId="289" priority="23" operator="equal">
      <formula>FALSE</formula>
    </cfRule>
    <cfRule type="cellIs" dxfId="288" priority="24" operator="equal">
      <formula>TRUE</formula>
    </cfRule>
  </conditionalFormatting>
  <conditionalFormatting sqref="AG43">
    <cfRule type="cellIs" dxfId="287" priority="27" operator="equal">
      <formula>FALSE</formula>
    </cfRule>
    <cfRule type="cellIs" dxfId="286" priority="28" operator="equal">
      <formula>TRUE</formula>
    </cfRule>
  </conditionalFormatting>
  <hyperlinks>
    <hyperlink ref="A1" location="Index!A1" display="&lt;&lt;Back to Index" xr:uid="{95C6A9F0-7B65-4A80-8680-8AB7B6D6C01F}"/>
  </hyperlinks>
  <pageMargins left="0.7" right="0.7" top="0.75" bottom="0.75" header="0.3" footer="0.3"/>
  <pageSetup paperSize="9" orientation="portrait" r:id="rId1"/>
  <headerFooter>
    <oddHeader>&amp;C&amp;"Calibri"&amp;10&amp;KFF0000 OFFICIAL SENSITIVE&amp;1#_x000D_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35724-62A2-4531-BF35-DD917C38F1ED}">
  <sheetPr>
    <tabColor rgb="FF00B050"/>
  </sheetPr>
  <dimension ref="A1:AH45"/>
  <sheetViews>
    <sheetView zoomScaleNormal="100" workbookViewId="0">
      <selection sqref="A1:B1"/>
    </sheetView>
  </sheetViews>
  <sheetFormatPr defaultColWidth="8.85546875" defaultRowHeight="15" x14ac:dyDescent="0.25"/>
  <cols>
    <col min="1" max="1" width="1.85546875" style="3" customWidth="1"/>
    <col min="2" max="2" width="33.85546875" style="3" bestFit="1" customWidth="1"/>
    <col min="3" max="5" width="13.140625" style="3" customWidth="1"/>
    <col min="6" max="6" width="26.85546875" style="3" customWidth="1"/>
    <col min="7" max="7" width="5.85546875" style="3" customWidth="1"/>
    <col min="8" max="10" width="10.85546875" style="3" customWidth="1"/>
    <col min="11" max="11" width="1.85546875" style="3" customWidth="1"/>
    <col min="12" max="12" width="10.85546875" style="3" customWidth="1"/>
    <col min="13" max="13" width="12.5703125" style="3" customWidth="1"/>
    <col min="14" max="14" width="13.140625" style="3" customWidth="1"/>
    <col min="15" max="15" width="10.85546875" style="3" customWidth="1"/>
    <col min="16" max="16" width="5.85546875" style="3" customWidth="1"/>
    <col min="17" max="19" width="10.85546875" style="3" customWidth="1"/>
    <col min="20" max="20" width="1.85546875" style="3" customWidth="1"/>
    <col min="21" max="21" width="10.85546875" style="3" customWidth="1"/>
    <col min="22" max="22" width="12.5703125" style="3" customWidth="1"/>
    <col min="23" max="23" width="13.140625" style="3" customWidth="1"/>
    <col min="24" max="24" width="10.85546875" style="3" customWidth="1"/>
    <col min="25" max="25" width="5.85546875" style="3" customWidth="1"/>
    <col min="26" max="28" width="10.85546875" style="3" customWidth="1"/>
    <col min="29" max="29" width="1.85546875" style="3" customWidth="1"/>
    <col min="30" max="30" width="10.85546875" style="3" customWidth="1"/>
    <col min="31" max="31" width="12.42578125" style="3" customWidth="1"/>
    <col min="32" max="32" width="9.7109375" style="3" customWidth="1"/>
    <col min="33" max="33" width="10.85546875" style="3" customWidth="1"/>
    <col min="34" max="16384" width="8.85546875" style="3"/>
  </cols>
  <sheetData>
    <row r="1" spans="1:34" ht="10.35" customHeight="1" x14ac:dyDescent="0.25">
      <c r="A1" s="430" t="s">
        <v>18</v>
      </c>
      <c r="B1" s="431"/>
    </row>
    <row r="2" spans="1:34" s="14" customFormat="1" ht="22.5" customHeight="1" x14ac:dyDescent="0.25">
      <c r="A2" s="15" t="s">
        <v>0</v>
      </c>
    </row>
    <row r="3" spans="1:34" s="64" customFormat="1" ht="15.75" thickBot="1" x14ac:dyDescent="0.3">
      <c r="C3" s="64" t="str">
        <f>$A$2&amp;" "&amp;C6&amp;" "&amp;C7</f>
        <v>Energex Residential without CL</v>
      </c>
      <c r="D3" s="64" t="str">
        <f>$A$2&amp;" "&amp;D6&amp;" "&amp;D7</f>
        <v>Energex Residential with CL</v>
      </c>
      <c r="E3" s="64" t="str">
        <f>$A$2&amp;" "&amp;E6&amp;" "&amp;E7</f>
        <v>Energex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row>
    <row r="4" spans="1:34" ht="15.75" x14ac:dyDescent="0.25">
      <c r="B4" s="32" t="s">
        <v>17</v>
      </c>
      <c r="F4" s="32"/>
      <c r="G4" s="75" t="s">
        <v>91</v>
      </c>
      <c r="H4" s="76"/>
      <c r="I4" s="76"/>
      <c r="J4" s="76"/>
      <c r="K4" s="76"/>
      <c r="L4" s="76"/>
      <c r="M4" s="76"/>
      <c r="N4" s="76"/>
      <c r="O4" s="76"/>
      <c r="P4" s="76"/>
      <c r="Q4" s="76"/>
      <c r="R4" s="76"/>
      <c r="S4" s="76"/>
      <c r="T4" s="76"/>
      <c r="U4" s="76"/>
      <c r="V4" s="76"/>
      <c r="W4" s="76"/>
      <c r="X4" s="76"/>
      <c r="Y4" s="76"/>
      <c r="Z4" s="76"/>
      <c r="AA4" s="76"/>
      <c r="AB4" s="76"/>
      <c r="AC4" s="76"/>
      <c r="AD4" s="76"/>
      <c r="AE4" s="76"/>
      <c r="AF4" s="76"/>
      <c r="AG4" s="76"/>
      <c r="AH4" s="77"/>
    </row>
    <row r="5" spans="1:34" ht="5.0999999999999996" customHeight="1" x14ac:dyDescent="0.25">
      <c r="B5" s="5"/>
      <c r="G5" s="78"/>
      <c r="H5" s="79"/>
      <c r="AH5" s="80"/>
    </row>
    <row r="6" spans="1:34" ht="20.100000000000001" customHeight="1" x14ac:dyDescent="0.25">
      <c r="B6" s="468" t="str">
        <f>A2</f>
        <v>Energex</v>
      </c>
      <c r="C6" s="42" t="s">
        <v>6</v>
      </c>
      <c r="D6" s="42" t="s">
        <v>6</v>
      </c>
      <c r="E6" s="42" t="s">
        <v>77</v>
      </c>
      <c r="G6" s="78"/>
      <c r="H6" s="79"/>
      <c r="AH6" s="80"/>
    </row>
    <row r="7" spans="1:34" ht="20.100000000000001" customHeight="1" x14ac:dyDescent="0.25">
      <c r="B7" s="468"/>
      <c r="C7" s="43" t="s">
        <v>127</v>
      </c>
      <c r="D7" s="43" t="s">
        <v>128</v>
      </c>
      <c r="E7" s="43" t="s">
        <v>127</v>
      </c>
      <c r="G7" s="78"/>
      <c r="AH7" s="80"/>
    </row>
    <row r="8" spans="1:34" ht="2.1" customHeight="1" x14ac:dyDescent="0.25">
      <c r="C8" s="19"/>
      <c r="D8" s="19"/>
      <c r="E8" s="19"/>
      <c r="G8" s="78"/>
      <c r="AH8" s="80"/>
    </row>
    <row r="9" spans="1:34" s="40" customFormat="1" ht="30" customHeight="1" x14ac:dyDescent="0.25">
      <c r="B9" s="46" t="str">
        <f>"DMO "&amp;FY&amp;" price ($ pa, inc GST)"</f>
        <v>DMO 2025-26 price ($ pa, inc GST)</v>
      </c>
      <c r="C9" s="116">
        <f ca="1">ROUND(H38,0)</f>
        <v>2143</v>
      </c>
      <c r="D9" s="116">
        <f ca="1">ROUND(Q38,0)</f>
        <v>2425</v>
      </c>
      <c r="E9" s="116">
        <f ca="1">ROUND(Z38,0)</f>
        <v>4294</v>
      </c>
      <c r="F9" s="3"/>
      <c r="G9" s="78"/>
      <c r="H9" s="3"/>
      <c r="I9" s="3"/>
      <c r="J9" s="3"/>
      <c r="K9" s="3"/>
      <c r="L9" s="3"/>
      <c r="M9" s="3"/>
      <c r="N9" s="3"/>
      <c r="O9" s="3"/>
      <c r="P9" s="3"/>
      <c r="Q9" s="3"/>
      <c r="R9" s="3"/>
      <c r="S9" s="3"/>
      <c r="T9" s="3"/>
      <c r="U9" s="3"/>
      <c r="V9" s="3"/>
      <c r="W9" s="3"/>
      <c r="X9" s="3"/>
      <c r="Y9" s="3"/>
      <c r="Z9" s="3"/>
      <c r="AA9" s="3"/>
      <c r="AB9" s="3"/>
      <c r="AC9" s="3"/>
      <c r="AD9" s="3"/>
      <c r="AE9" s="3"/>
      <c r="AF9" s="3"/>
      <c r="AG9" s="3"/>
      <c r="AH9" s="81"/>
    </row>
    <row r="10" spans="1:34" ht="2.1" customHeight="1" x14ac:dyDescent="0.25">
      <c r="B10" s="47"/>
      <c r="C10" s="48"/>
      <c r="D10" s="48"/>
      <c r="E10" s="48"/>
      <c r="F10" s="40"/>
      <c r="G10" s="82"/>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80"/>
    </row>
    <row r="11" spans="1:34" ht="20.100000000000001" customHeight="1" x14ac:dyDescent="0.25">
      <c r="B11" s="49" t="s">
        <v>48</v>
      </c>
      <c r="C11" s="50">
        <f>SUM(C12:C13)</f>
        <v>4600</v>
      </c>
      <c r="D11" s="50">
        <f>SUM(D12:D13)</f>
        <v>6300</v>
      </c>
      <c r="E11" s="50">
        <f>SUM(E12:E13)</f>
        <v>10000</v>
      </c>
      <c r="G11" s="78"/>
      <c r="AH11" s="80"/>
    </row>
    <row r="12" spans="1:34" ht="20.100000000000001" customHeight="1" x14ac:dyDescent="0.25">
      <c r="B12" s="51" t="s">
        <v>52</v>
      </c>
      <c r="C12" s="52">
        <f t="array" ref="C12">INDEX(Usage!$B$5:$M$18,MATCH($B6,Usage!$B$5:$B$18,0),MATCH(C$6&amp;C$7&amp;"Flat rate"&amp;"Total",Usage!$B$5:$M$5&amp;Usage!$B$6:$M$6&amp;Usage!$B$7:$M$7&amp;Usage!$B$13:$M$13,0))</f>
        <v>4600</v>
      </c>
      <c r="D12" s="52">
        <f t="array" ref="D12">INDEX(Usage!$B$5:$M$18,MATCH($B6,Usage!$B$5:$B$18,0),MATCH(D$6&amp;D$7&amp;"Flat rate"&amp;"Total",Usage!$B$5:$M$5&amp;Usage!$B$6:$M$6&amp;Usage!$B$7:$M$7&amp;Usage!$B$13:$M$13,0))</f>
        <v>4400</v>
      </c>
      <c r="E12" s="52">
        <f t="array" ref="E12">INDEX(Usage!$B$5:$M$18,MATCH($B6,Usage!$B$5:$B$18,0),MATCH(E$6&amp;E$7&amp;"Flat rate"&amp;"Total",Usage!$B$5:$M$5&amp;Usage!$B$6:$M$6&amp;Usage!$B$7:$M$7&amp;Usage!$B$13:$M$13,0))</f>
        <v>10000</v>
      </c>
      <c r="G12" s="78"/>
      <c r="AH12" s="80"/>
    </row>
    <row r="13" spans="1:34" ht="20.100000000000001" customHeight="1" x14ac:dyDescent="0.25">
      <c r="B13" s="51" t="s">
        <v>51</v>
      </c>
      <c r="C13" s="52"/>
      <c r="D13" s="52">
        <f t="array" ref="D13">INDEX(Usage!$B$5:$M$18,MATCH($B6,Usage!$B$5:$B$18,0),MATCH(D$6&amp;D$7&amp;"CL"&amp;"Total",Usage!$B$5:$M$5&amp;Usage!$B$6:$M$6&amp;Usage!$B$7:$M$7&amp;Usage!$B$13:$M$13,0))</f>
        <v>1900</v>
      </c>
      <c r="E13" s="52"/>
      <c r="G13" s="78"/>
      <c r="AH13" s="80"/>
    </row>
    <row r="14" spans="1:34" ht="2.1" customHeight="1" x14ac:dyDescent="0.25">
      <c r="B14" s="53"/>
      <c r="C14" s="53"/>
      <c r="D14" s="53"/>
      <c r="E14" s="53"/>
      <c r="G14" s="78"/>
      <c r="AH14" s="80"/>
    </row>
    <row r="15" spans="1:34" ht="20.100000000000001" customHeight="1" x14ac:dyDescent="0.25">
      <c r="B15" s="51" t="str">
        <f>"Change from DMO "&amp;PY&amp; " price ($)"</f>
        <v>Change from DMO 2024-25 price ($)</v>
      </c>
      <c r="C15" s="106">
        <f ca="1">C9-H32</f>
        <v>77</v>
      </c>
      <c r="D15" s="106">
        <f ca="1">D9-Q32</f>
        <v>11</v>
      </c>
      <c r="E15" s="106">
        <f ca="1">E9-Z32</f>
        <v>33</v>
      </c>
      <c r="G15" s="78"/>
      <c r="AH15" s="80"/>
    </row>
    <row r="16" spans="1:34" ht="20.100000000000001" customHeight="1" thickBot="1" x14ac:dyDescent="0.3">
      <c r="B16" s="54" t="str">
        <f>"Change from DMO "&amp;PY&amp; " price (%)"</f>
        <v>Change from DMO 2024-25 price (%)</v>
      </c>
      <c r="C16" s="90">
        <f ca="1">C9/H32-1</f>
        <v>3.7270087124879003E-2</v>
      </c>
      <c r="D16" s="90">
        <f ca="1">D9/Q32-1</f>
        <v>4.5567522783760417E-3</v>
      </c>
      <c r="E16" s="90">
        <f ca="1">E9/Z32-1</f>
        <v>7.7446608777282933E-3</v>
      </c>
      <c r="G16" s="78"/>
      <c r="AH16" s="80"/>
    </row>
    <row r="17" spans="2:34" ht="15.75" thickTop="1" x14ac:dyDescent="0.25">
      <c r="B17" s="72" t="s">
        <v>90</v>
      </c>
      <c r="G17" s="78"/>
      <c r="AH17" s="80"/>
    </row>
    <row r="18" spans="2:34" x14ac:dyDescent="0.25">
      <c r="G18" s="78"/>
      <c r="AH18" s="80"/>
    </row>
    <row r="19" spans="2:34" x14ac:dyDescent="0.25">
      <c r="C19" s="70"/>
      <c r="D19" s="117"/>
      <c r="G19" s="78"/>
      <c r="AH19" s="80"/>
    </row>
    <row r="20" spans="2:34" ht="15.75" x14ac:dyDescent="0.25">
      <c r="B20" s="32"/>
      <c r="D20" s="117"/>
      <c r="G20" s="78"/>
      <c r="AH20" s="80"/>
    </row>
    <row r="21" spans="2:34" ht="15" customHeight="1" thickBot="1" x14ac:dyDescent="0.3">
      <c r="F21" s="32"/>
      <c r="G21" s="83"/>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5"/>
    </row>
    <row r="22" spans="2:34" s="33" customFormat="1" ht="15.75" x14ac:dyDescent="0.25">
      <c r="F22" s="32"/>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2:34" s="33" customFormat="1" ht="15.75" hidden="1" x14ac:dyDescent="0.25">
      <c r="F23" s="32"/>
      <c r="G23" s="3"/>
      <c r="H23" s="3" t="str">
        <f>$H$27</f>
        <v>Residential</v>
      </c>
      <c r="I23" s="3" t="str">
        <f>$H$27</f>
        <v>Residential</v>
      </c>
      <c r="J23" s="3" t="str">
        <f>$H$27</f>
        <v>Residential</v>
      </c>
      <c r="K23" s="3"/>
      <c r="L23" s="3" t="str">
        <f>$H$27</f>
        <v>Residential</v>
      </c>
      <c r="M23" s="3" t="str">
        <f>$H$27</f>
        <v>Residential</v>
      </c>
      <c r="N23" s="3" t="str">
        <f>$H$27</f>
        <v>Residential</v>
      </c>
      <c r="O23" s="3" t="str">
        <f>$H$27</f>
        <v>Residential</v>
      </c>
      <c r="P23" s="3"/>
      <c r="Q23" s="3" t="str">
        <f>$Q$27</f>
        <v>Residential</v>
      </c>
      <c r="R23" s="3" t="str">
        <f>$Q$27</f>
        <v>Residential</v>
      </c>
      <c r="S23" s="3" t="str">
        <f>$Q$27</f>
        <v>Residential</v>
      </c>
      <c r="T23" s="3"/>
      <c r="U23" s="3" t="str">
        <f>$Q$27</f>
        <v>Residential</v>
      </c>
      <c r="V23" s="3" t="str">
        <f>$Q$27</f>
        <v>Residential</v>
      </c>
      <c r="W23" s="3" t="str">
        <f>$Q$27</f>
        <v>Residential</v>
      </c>
      <c r="X23" s="3" t="str">
        <f>$Q$27</f>
        <v>Residential</v>
      </c>
      <c r="Y23" s="3"/>
      <c r="Z23" s="3" t="str">
        <f>$Z$27</f>
        <v>Small Business</v>
      </c>
      <c r="AA23" s="3" t="str">
        <f>$Z$27</f>
        <v>Small Business</v>
      </c>
      <c r="AB23" s="3" t="str">
        <f>$Z$27</f>
        <v>Small Business</v>
      </c>
      <c r="AC23" s="3"/>
      <c r="AD23" s="3" t="str">
        <f>$Z$27</f>
        <v>Small Business</v>
      </c>
      <c r="AE23" s="3" t="str">
        <f>$Z$27</f>
        <v>Small Business</v>
      </c>
      <c r="AF23" s="3" t="str">
        <f>$Z$27</f>
        <v>Small Business</v>
      </c>
      <c r="AG23" s="3" t="str">
        <f>$Z$27</f>
        <v>Small Business</v>
      </c>
    </row>
    <row r="24" spans="2:34" s="33" customFormat="1" ht="15.75" hidden="1" x14ac:dyDescent="0.25">
      <c r="F24" s="32"/>
      <c r="G24" s="3"/>
      <c r="H24" s="3" t="str">
        <f>$H$28</f>
        <v>without CL</v>
      </c>
      <c r="I24" s="3" t="str">
        <f>$H$28</f>
        <v>without CL</v>
      </c>
      <c r="J24" s="3" t="str">
        <f>$H$28</f>
        <v>without CL</v>
      </c>
      <c r="K24" s="3"/>
      <c r="L24" s="3" t="str">
        <f>$H$28</f>
        <v>without CL</v>
      </c>
      <c r="M24" s="3" t="str">
        <f>$H$28</f>
        <v>without CL</v>
      </c>
      <c r="N24" s="3" t="str">
        <f>$H$28</f>
        <v>without CL</v>
      </c>
      <c r="O24" s="3" t="str">
        <f>$H$28</f>
        <v>without CL</v>
      </c>
      <c r="P24" s="3"/>
      <c r="Q24" s="3" t="str">
        <f>$Q$28</f>
        <v>with CL</v>
      </c>
      <c r="R24" s="3" t="str">
        <f>$Q$28</f>
        <v>with CL</v>
      </c>
      <c r="S24" s="3" t="str">
        <f>$Q$28</f>
        <v>with CL</v>
      </c>
      <c r="T24" s="3"/>
      <c r="U24" s="3" t="str">
        <f>$Q$28</f>
        <v>with CL</v>
      </c>
      <c r="V24" s="3" t="str">
        <f>$Q$28</f>
        <v>with CL</v>
      </c>
      <c r="W24" s="3" t="str">
        <f>$Q$28</f>
        <v>with CL</v>
      </c>
      <c r="X24" s="3" t="str">
        <f>$Q$28</f>
        <v>with CL</v>
      </c>
      <c r="Y24" s="3"/>
      <c r="Z24" s="3" t="str">
        <f>$Z$28</f>
        <v>without CL</v>
      </c>
      <c r="AA24" s="3" t="str">
        <f>$Z$28</f>
        <v>without CL</v>
      </c>
      <c r="AB24" s="3" t="str">
        <f>$Z$28</f>
        <v>without CL</v>
      </c>
      <c r="AC24" s="3"/>
      <c r="AD24" s="3" t="str">
        <f>$Z$28</f>
        <v>without CL</v>
      </c>
      <c r="AE24" s="3" t="str">
        <f>$Z$28</f>
        <v>without CL</v>
      </c>
      <c r="AF24" s="3" t="str">
        <f>$Z$28</f>
        <v>without CL</v>
      </c>
      <c r="AG24" s="3" t="str">
        <f>$Z$28</f>
        <v>without CL</v>
      </c>
    </row>
    <row r="25" spans="2:34" s="33" customFormat="1" ht="15.75" hidden="1" x14ac:dyDescent="0.25">
      <c r="F25" s="32"/>
      <c r="G25" s="3"/>
      <c r="H25" s="3"/>
      <c r="I25" s="3" t="str">
        <f>$I$29</f>
        <v>2024-25</v>
      </c>
      <c r="J25" s="3" t="str">
        <f>$I$29</f>
        <v>2024-25</v>
      </c>
      <c r="K25" s="3"/>
      <c r="L25" s="3" t="str">
        <f>$L$29</f>
        <v>2025-26</v>
      </c>
      <c r="M25" s="3" t="str">
        <f>$L$29</f>
        <v>2025-26</v>
      </c>
      <c r="N25" s="3" t="str">
        <f>$L$29</f>
        <v>2025-26</v>
      </c>
      <c r="O25" s="3" t="str">
        <f>$L$29</f>
        <v>2025-26</v>
      </c>
      <c r="P25" s="3"/>
      <c r="Q25" s="3"/>
      <c r="R25" s="3" t="str">
        <f>$R$29</f>
        <v>2024-25</v>
      </c>
      <c r="S25" s="3" t="str">
        <f>$R$29</f>
        <v>2024-25</v>
      </c>
      <c r="T25" s="3"/>
      <c r="U25" s="3" t="str">
        <f>$U$29</f>
        <v>2025-26</v>
      </c>
      <c r="V25" s="3" t="str">
        <f>$U$29</f>
        <v>2025-26</v>
      </c>
      <c r="W25" s="3" t="str">
        <f>$U$29</f>
        <v>2025-26</v>
      </c>
      <c r="X25" s="3" t="str">
        <f>$U$29</f>
        <v>2025-26</v>
      </c>
      <c r="Y25" s="3"/>
      <c r="Z25" s="3"/>
      <c r="AA25" s="3" t="str">
        <f>$AA$29</f>
        <v>2024-25</v>
      </c>
      <c r="AB25" s="3" t="str">
        <f>$AA$29</f>
        <v>2024-25</v>
      </c>
      <c r="AC25" s="3"/>
      <c r="AD25" s="3" t="str">
        <f>$AD$29</f>
        <v>2025-26</v>
      </c>
      <c r="AE25" s="3" t="str">
        <f>$AD$29</f>
        <v>2025-26</v>
      </c>
      <c r="AF25" s="3" t="str">
        <f>$AD$29</f>
        <v>2025-26</v>
      </c>
      <c r="AG25" s="3" t="str">
        <f>$AD$29</f>
        <v>2025-26</v>
      </c>
    </row>
    <row r="26" spans="2:34" s="33" customFormat="1" ht="15.75" x14ac:dyDescent="0.25">
      <c r="F26" s="32" t="s">
        <v>43</v>
      </c>
      <c r="G26" s="89" t="s">
        <v>129</v>
      </c>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2:34" s="33" customFormat="1" x14ac:dyDescent="0.25">
      <c r="F27" s="469" t="s">
        <v>32</v>
      </c>
      <c r="G27" s="73"/>
      <c r="H27" s="465" t="s">
        <v>6</v>
      </c>
      <c r="I27" s="465"/>
      <c r="J27" s="465"/>
      <c r="K27" s="465"/>
      <c r="L27" s="465"/>
      <c r="M27" s="465"/>
      <c r="N27" s="465"/>
      <c r="O27" s="465"/>
      <c r="P27" s="39"/>
      <c r="Q27" s="465" t="s">
        <v>6</v>
      </c>
      <c r="R27" s="465"/>
      <c r="S27" s="465"/>
      <c r="T27" s="465"/>
      <c r="U27" s="465"/>
      <c r="V27" s="465"/>
      <c r="W27" s="465"/>
      <c r="X27" s="465"/>
      <c r="Y27" s="39"/>
      <c r="Z27" s="465" t="s">
        <v>77</v>
      </c>
      <c r="AA27" s="465"/>
      <c r="AB27" s="465"/>
      <c r="AC27" s="465"/>
      <c r="AD27" s="465"/>
      <c r="AE27" s="465"/>
      <c r="AF27" s="465"/>
      <c r="AG27" s="465"/>
    </row>
    <row r="28" spans="2:34" ht="15.75" thickBot="1" x14ac:dyDescent="0.3">
      <c r="F28" s="469"/>
      <c r="G28" s="73"/>
      <c r="H28" s="466" t="s">
        <v>127</v>
      </c>
      <c r="I28" s="466"/>
      <c r="J28" s="466"/>
      <c r="K28" s="466"/>
      <c r="L28" s="466"/>
      <c r="M28" s="466"/>
      <c r="N28" s="466"/>
      <c r="O28" s="466"/>
      <c r="P28" s="39"/>
      <c r="Q28" s="466" t="s">
        <v>128</v>
      </c>
      <c r="R28" s="466"/>
      <c r="S28" s="466"/>
      <c r="T28" s="466"/>
      <c r="U28" s="466"/>
      <c r="V28" s="466"/>
      <c r="W28" s="466"/>
      <c r="X28" s="466"/>
      <c r="Y28" s="39"/>
      <c r="Z28" s="466" t="s">
        <v>127</v>
      </c>
      <c r="AA28" s="466"/>
      <c r="AB28" s="466"/>
      <c r="AC28" s="466"/>
      <c r="AD28" s="466"/>
      <c r="AE28" s="466"/>
      <c r="AF28" s="466"/>
      <c r="AG28" s="466"/>
    </row>
    <row r="29" spans="2:34" ht="15" customHeight="1" thickTop="1" x14ac:dyDescent="0.25">
      <c r="F29" s="469"/>
      <c r="G29" s="74"/>
      <c r="H29" s="39" t="s">
        <v>67</v>
      </c>
      <c r="I29" s="467" t="str">
        <f>PY</f>
        <v>2024-25</v>
      </c>
      <c r="J29" s="467"/>
      <c r="K29" s="39"/>
      <c r="L29" s="467" t="str">
        <f>FY</f>
        <v>2025-26</v>
      </c>
      <c r="M29" s="467"/>
      <c r="N29" s="467"/>
      <c r="O29" s="467"/>
      <c r="P29" s="39"/>
      <c r="Q29" s="39" t="s">
        <v>67</v>
      </c>
      <c r="R29" s="467" t="str">
        <f>PY</f>
        <v>2024-25</v>
      </c>
      <c r="S29" s="467"/>
      <c r="T29" s="39"/>
      <c r="U29" s="467" t="str">
        <f>FY</f>
        <v>2025-26</v>
      </c>
      <c r="V29" s="467"/>
      <c r="W29" s="467"/>
      <c r="X29" s="467"/>
      <c r="Y29" s="39"/>
      <c r="Z29" s="39" t="s">
        <v>67</v>
      </c>
      <c r="AA29" s="467" t="str">
        <f>PY</f>
        <v>2024-25</v>
      </c>
      <c r="AB29" s="467"/>
      <c r="AC29" s="39"/>
      <c r="AD29" s="467" t="str">
        <f>FY</f>
        <v>2025-26</v>
      </c>
      <c r="AE29" s="467"/>
      <c r="AF29" s="467"/>
      <c r="AG29" s="467"/>
    </row>
    <row r="30" spans="2:34" ht="25.5" x14ac:dyDescent="0.25">
      <c r="F30" s="469"/>
      <c r="G30" s="74"/>
      <c r="H30" s="154"/>
      <c r="I30" s="155" t="s">
        <v>21</v>
      </c>
      <c r="J30" s="155" t="s">
        <v>23</v>
      </c>
      <c r="K30" s="155"/>
      <c r="L30" s="155" t="s">
        <v>20</v>
      </c>
      <c r="M30" s="156" t="s">
        <v>160</v>
      </c>
      <c r="N30" s="155" t="s">
        <v>21</v>
      </c>
      <c r="O30" s="155" t="s">
        <v>23</v>
      </c>
      <c r="P30" s="155"/>
      <c r="Q30" s="155"/>
      <c r="R30" s="155" t="s">
        <v>21</v>
      </c>
      <c r="S30" s="155" t="s">
        <v>23</v>
      </c>
      <c r="T30" s="155"/>
      <c r="U30" s="155" t="s">
        <v>20</v>
      </c>
      <c r="V30" s="156" t="s">
        <v>50</v>
      </c>
      <c r="W30" s="155" t="s">
        <v>21</v>
      </c>
      <c r="X30" s="155" t="s">
        <v>23</v>
      </c>
      <c r="Y30" s="155"/>
      <c r="Z30" s="155"/>
      <c r="AA30" s="155" t="s">
        <v>21</v>
      </c>
      <c r="AB30" s="155" t="s">
        <v>23</v>
      </c>
      <c r="AC30" s="155"/>
      <c r="AD30" s="155" t="s">
        <v>20</v>
      </c>
      <c r="AE30" s="156" t="s">
        <v>50</v>
      </c>
      <c r="AF30" s="155" t="s">
        <v>21</v>
      </c>
      <c r="AG30" s="155" t="s">
        <v>23</v>
      </c>
    </row>
    <row r="31" spans="2:34" ht="15" customHeight="1" x14ac:dyDescent="0.25">
      <c r="F31" s="469"/>
      <c r="G31" s="74"/>
      <c r="H31" s="155" t="s">
        <v>68</v>
      </c>
      <c r="I31" s="155" t="s">
        <v>45</v>
      </c>
      <c r="J31" s="155" t="s">
        <v>27</v>
      </c>
      <c r="K31" s="155"/>
      <c r="L31" s="155" t="s">
        <v>27</v>
      </c>
      <c r="M31" s="155" t="s">
        <v>27</v>
      </c>
      <c r="N31" s="155" t="s">
        <v>45</v>
      </c>
      <c r="O31" s="155" t="s">
        <v>27</v>
      </c>
      <c r="P31" s="155"/>
      <c r="Q31" s="155"/>
      <c r="R31" s="155" t="s">
        <v>45</v>
      </c>
      <c r="S31" s="155" t="s">
        <v>27</v>
      </c>
      <c r="T31" s="155"/>
      <c r="U31" s="155" t="s">
        <v>27</v>
      </c>
      <c r="V31" s="155" t="s">
        <v>27</v>
      </c>
      <c r="W31" s="155" t="s">
        <v>45</v>
      </c>
      <c r="X31" s="155" t="s">
        <v>27</v>
      </c>
      <c r="Y31" s="155"/>
      <c r="Z31" s="155"/>
      <c r="AA31" s="155" t="s">
        <v>45</v>
      </c>
      <c r="AB31" s="155" t="s">
        <v>27</v>
      </c>
      <c r="AC31" s="155"/>
      <c r="AD31" s="155" t="s">
        <v>27</v>
      </c>
      <c r="AE31" s="155" t="s">
        <v>27</v>
      </c>
      <c r="AF31" s="155" t="s">
        <v>45</v>
      </c>
      <c r="AG31" s="155" t="s">
        <v>27</v>
      </c>
    </row>
    <row r="32" spans="2:34" ht="15" customHeight="1" x14ac:dyDescent="0.25">
      <c r="F32" s="44" t="str">
        <f>"DMO "&amp;PY&amp;" price"</f>
        <v>DMO 2024-25 price</v>
      </c>
      <c r="G32" s="44"/>
      <c r="H32" s="157">
        <f t="array" ref="H32">INDEX('Detail inputs'!$B$3:$K$195,MATCH($B$6&amp;H$27&amp;H$28&amp;H$29,'Detail inputs'!$B$3:$B$195&amp;'Detail inputs'!$D$3:$D$195&amp;'Detail inputs'!$E$3:$E$195&amp;'Detail inputs'!$F$3:$F$195&amp;'Detail inputs'!$G$3:$G$195,0),MATCH(I$29,'Detail inputs'!$B$3:$K$3,0))</f>
        <v>2066</v>
      </c>
      <c r="I32" s="158"/>
      <c r="J32" s="158"/>
      <c r="K32" s="158"/>
      <c r="L32" s="158"/>
      <c r="M32" s="158"/>
      <c r="N32" s="158"/>
      <c r="O32" s="158"/>
      <c r="P32" s="158"/>
      <c r="Q32" s="157">
        <f t="array" ref="Q32">INDEX('Detail inputs'!$B$3:$K$195,MATCH($B$6&amp;Q$27&amp;Q$28&amp;Q$29,'Detail inputs'!$B$3:$B$195&amp;'Detail inputs'!$D$3:$D$195&amp;'Detail inputs'!$E$3:$E$195&amp;'Detail inputs'!$F$3:$F$195&amp;'Detail inputs'!$G$3:$G$195,0),MATCH(R$29,'Detail inputs'!$B$3:$K$3,0))</f>
        <v>2414</v>
      </c>
      <c r="R32" s="157"/>
      <c r="S32" s="158"/>
      <c r="T32" s="158"/>
      <c r="U32" s="158"/>
      <c r="V32" s="158"/>
      <c r="W32" s="159"/>
      <c r="X32" s="158"/>
      <c r="Y32" s="159"/>
      <c r="Z32" s="157">
        <f t="array" ref="Z32">INDEX('Detail inputs'!$B$3:$K$195,MATCH($B$6&amp;Z$27&amp;Z$28&amp;Z$29,'Detail inputs'!$B$3:$B$195&amp;'Detail inputs'!$D$3:$D$195&amp;'Detail inputs'!$E$3:$E$195&amp;'Detail inputs'!$F$3:$F$195&amp;'Detail inputs'!$G$3:$G$195,0),MATCH(AA$29,'Detail inputs'!$B$3:$K$3,0))</f>
        <v>4261</v>
      </c>
      <c r="AA32" s="157"/>
      <c r="AB32" s="158"/>
      <c r="AC32" s="158"/>
      <c r="AD32" s="158"/>
      <c r="AE32" s="158"/>
      <c r="AF32" s="158"/>
      <c r="AG32" s="158"/>
    </row>
    <row r="33" spans="2:33" ht="15" customHeight="1" x14ac:dyDescent="0.25">
      <c r="F33" s="45" t="s">
        <v>62</v>
      </c>
      <c r="G33" s="45"/>
      <c r="H33" s="159"/>
      <c r="I33" s="157">
        <f t="array" aca="1" ref="I33" ca="1">INDEX(INDIRECT("'"&amp;$F33&amp;"'!$B$3:$T$300"),MATCH($B$6&amp;H$27&amp;H$28&amp;"Total inc GST",INDIRECT("'"&amp;$F33&amp;"'!$B$3:$B$300")&amp;INDIRECT("'"&amp;$F33&amp;"'!$C$3:$C$300")&amp;INDIRECT("'"&amp;$F33&amp;"'!$D$3:$D$300")&amp;INDIRECT("'"&amp;$F33&amp;"'!$G$3:$G$300"),0),MATCH(I$29&amp;I$30,INDIRECT("'"&amp;$F33&amp;"'!$B$4:$T$4")&amp;INDIRECT("'"&amp;$F33&amp;"'!$B$5:$T$5"),0))</f>
        <v>767.70429999999988</v>
      </c>
      <c r="J33" s="158">
        <f t="shared" ref="J33:J37" ca="1" si="0">I33/H$32</f>
        <v>0.37158969022265242</v>
      </c>
      <c r="K33" s="158"/>
      <c r="L33" s="160">
        <f t="array" aca="1" ref="L33" ca="1">INDEX(INDIRECT("'"&amp;$F33&amp;"'!$B$3:$T$300"),MATCH($B$6&amp;H$27&amp;H$28&amp;"Total inc GST",INDIRECT("'"&amp;$F33&amp;"'!$B$3:$B$300")&amp;INDIRECT("'"&amp;$F33&amp;"'!$C$3:$C$300")&amp;INDIRECT("'"&amp;$F33&amp;"'!$D$3:$D$300")&amp;INDIRECT("'"&amp;$F33&amp;"'!$G$3:$G$300"),0),MATCH(L$29&amp;L$30,INDIRECT("'"&amp;$F33&amp;"'!$B$4:$T$4")&amp;INDIRECT("'"&amp;$F33&amp;"'!$B$5:$T$5"),0))</f>
        <v>1.3996452809067916E-2</v>
      </c>
      <c r="M33" s="160">
        <f ca="1">(N33-I33)/H32</f>
        <v>5.2009375635374945E-3</v>
      </c>
      <c r="N33" s="157">
        <f t="array" aca="1" ref="N33" ca="1">INDEX(INDIRECT("'"&amp;$F33&amp;"'!$B$3:$T$300"),MATCH($B$6&amp;H$27&amp;H$28&amp;"Total inc GST",INDIRECT("'"&amp;$F33&amp;"'!$B$3:$B$300")&amp;INDIRECT("'"&amp;$F33&amp;"'!$C$3:$C$300")&amp;INDIRECT("'"&amp;$F33&amp;"'!$D$3:$D$300")&amp;INDIRECT("'"&amp;$F33&amp;"'!$G$3:$G$300"),0),MATCH(L$29&amp;N$30,INDIRECT("'"&amp;$F33&amp;"'!$B$4:$T$4")&amp;INDIRECT("'"&amp;$F33&amp;"'!$B$5:$T$5"),0))</f>
        <v>778.44943700626834</v>
      </c>
      <c r="O33" s="158">
        <f ca="1">N33/H$38</f>
        <v>0.36325218712378365</v>
      </c>
      <c r="P33" s="158"/>
      <c r="Q33" s="158"/>
      <c r="R33" s="157">
        <f t="array" aca="1" ref="R33" ca="1">INDEX(INDIRECT("'"&amp;$F33&amp;"'!$B$3:$T$300"),MATCH($B$6&amp;Q$27&amp;Q$28&amp;"Total inc GST",INDIRECT("'"&amp;$F33&amp;"'!$B$3:$B$300")&amp;INDIRECT("'"&amp;$F33&amp;"'!$C$3:$C$300")&amp;INDIRECT("'"&amp;$F33&amp;"'!$D$3:$D$300")&amp;INDIRECT("'"&amp;$F33&amp;"'!$G$3:$G$300"),0),MATCH(R$29&amp;R$30,INDIRECT("'"&amp;$F33&amp;"'!$B$4:$T$4")&amp;INDIRECT("'"&amp;$F33&amp;"'!$B$5:$T$5"),0))</f>
        <v>870.27213900000015</v>
      </c>
      <c r="S33" s="158">
        <f t="shared" ref="S33:S37" ca="1" si="1">R33/Q$32</f>
        <v>0.360510413835957</v>
      </c>
      <c r="T33" s="158"/>
      <c r="U33" s="160">
        <f t="array" aca="1" ref="U33" ca="1">INDEX(INDIRECT("'"&amp;$F33&amp;"'!$B$3:$T$300"),MATCH($B$6&amp;Q$27&amp;Q$28&amp;"Total inc GST",INDIRECT("'"&amp;$F33&amp;"'!$B$3:$B$300")&amp;INDIRECT("'"&amp;$F33&amp;"'!$C$3:$C$300")&amp;INDIRECT("'"&amp;$F33&amp;"'!$D$3:$D$300")&amp;INDIRECT("'"&amp;$F33&amp;"'!$G$3:$G$300"),0),MATCH(U$29&amp;U$30,INDIRECT("'"&amp;$F33&amp;"'!$B$4:$T$4")&amp;INDIRECT("'"&amp;$F33&amp;"'!$B$5:$T$5"),0))</f>
        <v>-6.8015853135029336E-2</v>
      </c>
      <c r="V33" s="160">
        <f ca="1">(W33-R33)/Q32</f>
        <v>-2.4520423361115078E-2</v>
      </c>
      <c r="W33" s="157">
        <f t="array" aca="1" ref="W33" ca="1">INDEX(INDIRECT("'"&amp;$F33&amp;"'!$B$3:$T$300"),MATCH($B$6&amp;Q$27&amp;Q$28&amp;"Total inc GST",INDIRECT("'"&amp;$F33&amp;"'!$B$3:$B$300")&amp;INDIRECT("'"&amp;$F33&amp;"'!$C$3:$C$300")&amp;INDIRECT("'"&amp;$F33&amp;"'!$D$3:$D$300")&amp;INDIRECT("'"&amp;$F33&amp;"'!$G$3:$G$300"),0),MATCH(U$29&amp;W$30,INDIRECT("'"&amp;$F33&amp;"'!$B$4:$T$4")&amp;INDIRECT("'"&amp;$F33&amp;"'!$B$5:$T$5"),0))</f>
        <v>811.07983700626835</v>
      </c>
      <c r="X33" s="158">
        <f ca="1">W33/Q$38</f>
        <v>0.33446591216753335</v>
      </c>
      <c r="Y33" s="159"/>
      <c r="Z33" s="159"/>
      <c r="AA33" s="157">
        <f t="array" aca="1" ref="AA33" ca="1">INDEX(INDIRECT("'"&amp;$F33&amp;"'!$B$3:$T$300"),MATCH($B$6&amp;Z$27&amp;Z$28&amp;"Total inc GST",INDIRECT("'"&amp;$F33&amp;"'!$B$3:$B$300")&amp;INDIRECT("'"&amp;$F33&amp;"'!$C$3:$C$300")&amp;INDIRECT("'"&amp;$F33&amp;"'!$D$3:$D$300")&amp;INDIRECT("'"&amp;$F33&amp;"'!$G$3:$G$300"),0),MATCH(AA$29&amp;AA$30,INDIRECT("'"&amp;$F33&amp;"'!$B$4:$T$4")&amp;INDIRECT("'"&amp;$F33&amp;"'!$B$5:$T$5"),0))</f>
        <v>1475.3915000000002</v>
      </c>
      <c r="AB33" s="158">
        <f t="shared" ref="AB33:AB37" ca="1" si="2">AA33/Z$32</f>
        <v>0.34625475240553866</v>
      </c>
      <c r="AC33" s="158"/>
      <c r="AD33" s="160">
        <f t="array" aca="1" ref="AD33" ca="1">INDEX(INDIRECT("'"&amp;$F33&amp;"'!$B$3:$T$300"),MATCH($B$6&amp;Z$27&amp;Z$28&amp;"Total inc GST",INDIRECT("'"&amp;$F33&amp;"'!$B$3:$B$300")&amp;INDIRECT("'"&amp;$F33&amp;"'!$C$3:$C$300")&amp;INDIRECT("'"&amp;$F33&amp;"'!$D$3:$D$300")&amp;INDIRECT("'"&amp;$F33&amp;"'!$G$3:$G$300"),0),MATCH(AD$29&amp;AD$30,INDIRECT("'"&amp;$F33&amp;"'!$B$4:$T$4")&amp;INDIRECT("'"&amp;$F33&amp;"'!$B$5:$T$5"),0))</f>
        <v>2.0997570479610594E-2</v>
      </c>
      <c r="AE33" s="160">
        <f ca="1">(AF33-AA33)/Z32</f>
        <v>7.2705085675354086E-3</v>
      </c>
      <c r="AF33" s="157">
        <f t="array" aca="1" ref="AF33" ca="1">INDEX(INDIRECT("'"&amp;$F33&amp;"'!$B$3:$T$300"),MATCH($B$6&amp;Z$27&amp;Z$28&amp;"Total inc GST",INDIRECT("'"&amp;$F33&amp;"'!$B$3:$B$300")&amp;INDIRECT("'"&amp;$F33&amp;"'!$C$3:$C$300")&amp;INDIRECT("'"&amp;$F33&amp;"'!$D$3:$D$300")&amp;INDIRECT("'"&amp;$F33&amp;"'!$G$3:$G$300"),0),MATCH(AD$29&amp;AF$30,INDIRECT("'"&amp;$F33&amp;"'!$B$4:$T$4")&amp;INDIRECT("'"&amp;$F33&amp;"'!$B$5:$T$5"),0))</f>
        <v>1506.3711370062686</v>
      </c>
      <c r="AG33" s="158">
        <f ca="1">AF33/Z$38</f>
        <v>0.35080836912116176</v>
      </c>
    </row>
    <row r="34" spans="2:33" ht="15" customHeight="1" x14ac:dyDescent="0.25">
      <c r="F34" s="45" t="s">
        <v>63</v>
      </c>
      <c r="G34" s="45"/>
      <c r="H34" s="159"/>
      <c r="I34" s="157">
        <f t="array" aca="1" ref="I34" ca="1">INDEX(INDIRECT("'"&amp;$F34&amp;"'!$B$3:$T$300"),MATCH($B$6&amp;H$27&amp;H$28&amp;"Total inc GST",INDIRECT("'"&amp;$F34&amp;"'!$B$3:$B$300")&amp;INDIRECT("'"&amp;$F34&amp;"'!$C$3:$C$300")&amp;INDIRECT("'"&amp;$F34&amp;"'!$D$3:$D$300")&amp;INDIRECT("'"&amp;$F34&amp;"'!$G$3:$G$300"),0),MATCH(I$29&amp;I$30,INDIRECT("'"&amp;$F34&amp;"'!$B$4:$T$4")&amp;INDIRECT("'"&amp;$F34&amp;"'!$B$5:$T$5"),0))</f>
        <v>847.86525182857145</v>
      </c>
      <c r="J34" s="158">
        <f t="shared" ca="1" si="0"/>
        <v>0.41038976371179642</v>
      </c>
      <c r="K34" s="158"/>
      <c r="L34" s="160">
        <f t="array" aca="1" ref="L34" ca="1">INDEX(INDIRECT("'"&amp;$F34&amp;"'!$B$3:$T$300"),MATCH($B$6&amp;H$27&amp;H$28&amp;"Total inc GST",INDIRECT("'"&amp;$F34&amp;"'!$B$3:$B$300")&amp;INDIRECT("'"&amp;$F34&amp;"'!$C$3:$C$300")&amp;INDIRECT("'"&amp;$F34&amp;"'!$D$3:$D$300")&amp;INDIRECT("'"&amp;$F34&amp;"'!$G$3:$G$300"),0),MATCH(L$29&amp;L$30,INDIRECT("'"&amp;$F34&amp;"'!$B$4:$T$4")&amp;INDIRECT("'"&amp;$F34&amp;"'!$B$5:$T$5"),0))</f>
        <v>-1.0122996063427481E-3</v>
      </c>
      <c r="M34" s="160">
        <f ca="1">(N34-I34)/H32</f>
        <v>-4.1543739625254136E-4</v>
      </c>
      <c r="N34" s="157">
        <f t="array" aca="1" ref="N34" ca="1">INDEX(INDIRECT("'"&amp;$F34&amp;"'!$B$3:$T$300"),MATCH($B$6&amp;H$27&amp;H$28&amp;"Total inc GST",INDIRECT("'"&amp;$F34&amp;"'!$B$3:$B$300")&amp;INDIRECT("'"&amp;$F34&amp;"'!$C$3:$C$300")&amp;INDIRECT("'"&amp;$F34&amp;"'!$D$3:$D$300")&amp;INDIRECT("'"&amp;$F34&amp;"'!$G$3:$G$300"),0),MATCH(L$29&amp;N$30,INDIRECT("'"&amp;$F34&amp;"'!$B$4:$T$4")&amp;INDIRECT("'"&amp;$F34&amp;"'!$B$5:$T$5"),0))</f>
        <v>847.00695816791369</v>
      </c>
      <c r="O34" s="158">
        <f ca="1">N34/H$38</f>
        <v>0.39524356424074369</v>
      </c>
      <c r="P34" s="158"/>
      <c r="Q34" s="158"/>
      <c r="R34" s="157">
        <f t="array" aca="1" ref="R34" ca="1">INDEX(INDIRECT("'"&amp;$F34&amp;"'!$B$3:$T$300"),MATCH($B$6&amp;Q$27&amp;Q$28&amp;"Total inc GST",INDIRECT("'"&amp;$F34&amp;"'!$B$3:$B$300")&amp;INDIRECT("'"&amp;$F34&amp;"'!$C$3:$C$300")&amp;INDIRECT("'"&amp;$F34&amp;"'!$D$3:$D$300")&amp;INDIRECT("'"&amp;$F34&amp;"'!$G$3:$G$300"),0),MATCH(R$29&amp;R$30,INDIRECT("'"&amp;$F34&amp;"'!$B$4:$T$4")&amp;INDIRECT("'"&amp;$F34&amp;"'!$B$5:$T$5"),0))</f>
        <v>1041.8040771285714</v>
      </c>
      <c r="S34" s="158">
        <f t="shared" ca="1" si="1"/>
        <v>0.43156755473428809</v>
      </c>
      <c r="T34" s="158"/>
      <c r="U34" s="160">
        <f t="array" aca="1" ref="U34" ca="1">INDEX(INDIRECT("'"&amp;$F34&amp;"'!$B$3:$T$300"),MATCH($B$6&amp;Q$27&amp;Q$28&amp;"Total inc GST",INDIRECT("'"&amp;$F34&amp;"'!$B$3:$B$300")&amp;INDIRECT("'"&amp;$F34&amp;"'!$C$3:$C$300")&amp;INDIRECT("'"&amp;$F34&amp;"'!$D$3:$D$300")&amp;INDIRECT("'"&amp;$F34&amp;"'!$G$3:$G$300"),0),MATCH(U$29&amp;U$30,INDIRECT("'"&amp;$F34&amp;"'!$B$4:$T$4")&amp;INDIRECT("'"&amp;$F34&amp;"'!$B$5:$T$5"),0))</f>
        <v>1.4956075412587255E-2</v>
      </c>
      <c r="V34" s="160">
        <f ca="1">(W34-R34)/Q32</f>
        <v>6.4545568942319101E-3</v>
      </c>
      <c r="W34" s="157">
        <f t="array" aca="1" ref="W34" ca="1">INDEX(INDIRECT("'"&amp;$F34&amp;"'!$B$3:$T$300"),MATCH($B$6&amp;Q$27&amp;Q$28&amp;"Total inc GST",INDIRECT("'"&amp;$F34&amp;"'!$B$3:$B$300")&amp;INDIRECT("'"&amp;$F34&amp;"'!$C$3:$C$300")&amp;INDIRECT("'"&amp;$F34&amp;"'!$D$3:$D$300")&amp;INDIRECT("'"&amp;$F34&amp;"'!$G$3:$G$300"),0),MATCH(U$29&amp;W$30,INDIRECT("'"&amp;$F34&amp;"'!$B$4:$T$4")&amp;INDIRECT("'"&amp;$F34&amp;"'!$B$5:$T$5"),0))</f>
        <v>1057.3853774712472</v>
      </c>
      <c r="X34" s="158">
        <f ca="1">W34/Q$38</f>
        <v>0.43603520720463801</v>
      </c>
      <c r="Y34" s="159"/>
      <c r="Z34" s="159"/>
      <c r="AA34" s="157">
        <f t="array" aca="1" ref="AA34" ca="1">INDEX(INDIRECT("'"&amp;$F34&amp;"'!$B$3:$T$300"),MATCH($B$6&amp;Z$27&amp;Z$28&amp;"Total inc GST",INDIRECT("'"&amp;$F34&amp;"'!$B$3:$B$300")&amp;INDIRECT("'"&amp;$F34&amp;"'!$C$3:$C$300")&amp;INDIRECT("'"&amp;$F34&amp;"'!$D$3:$D$300")&amp;INDIRECT("'"&amp;$F34&amp;"'!$G$3:$G$300"),0),MATCH(AA$29&amp;AA$30,INDIRECT("'"&amp;$F34&amp;"'!$B$4:$T$4")&amp;INDIRECT("'"&amp;$F34&amp;"'!$B$5:$T$5"),0))</f>
        <v>1827.8113464285716</v>
      </c>
      <c r="AB34" s="158">
        <f t="shared" ca="1" si="2"/>
        <v>0.42896300080464012</v>
      </c>
      <c r="AC34" s="158"/>
      <c r="AD34" s="160">
        <f t="array" aca="1" ref="AD34" ca="1">INDEX(INDIRECT("'"&amp;$F34&amp;"'!$B$3:$T$300"),MATCH($B$6&amp;Z$27&amp;Z$28&amp;"Total inc GST",INDIRECT("'"&amp;$F34&amp;"'!$B$3:$B$300")&amp;INDIRECT("'"&amp;$F34&amp;"'!$C$3:$C$300")&amp;INDIRECT("'"&amp;$F34&amp;"'!$D$3:$D$300")&amp;INDIRECT("'"&amp;$F34&amp;"'!$G$3:$G$300"),0),MATCH(AD$29&amp;AD$30,INDIRECT("'"&amp;$F34&amp;"'!$B$4:$T$4")&amp;INDIRECT("'"&amp;$F34&amp;"'!$B$5:$T$5"),0))</f>
        <v>-2.383934787977493E-3</v>
      </c>
      <c r="AE34" s="160">
        <f ca="1">(AF34-AA34)/Z32</f>
        <v>-1.0226198203734079E-3</v>
      </c>
      <c r="AF34" s="157">
        <f t="array" aca="1" ref="AF34" ca="1">INDEX(INDIRECT("'"&amp;$F34&amp;"'!$B$3:$T$300"),MATCH($B$6&amp;Z$27&amp;Z$28&amp;"Total inc GST",INDIRECT("'"&amp;$F34&amp;"'!$B$3:$B$300")&amp;INDIRECT("'"&amp;$F34&amp;"'!$C$3:$C$300")&amp;INDIRECT("'"&amp;$F34&amp;"'!$D$3:$D$300")&amp;INDIRECT("'"&amp;$F34&amp;"'!$G$3:$G$300"),0),MATCH(AD$29&amp;AF$30,INDIRECT("'"&amp;$F34&amp;"'!$B$4:$T$4")&amp;INDIRECT("'"&amp;$F34&amp;"'!$B$5:$T$5"),0))</f>
        <v>1823.4539633739605</v>
      </c>
      <c r="AG34" s="158">
        <f ca="1">AF34/Z$38</f>
        <v>0.42465159836375421</v>
      </c>
    </row>
    <row r="35" spans="2:33" ht="15" customHeight="1" x14ac:dyDescent="0.25">
      <c r="F35" s="45" t="s">
        <v>64</v>
      </c>
      <c r="G35" s="45"/>
      <c r="H35" s="159"/>
      <c r="I35" s="157" cm="1">
        <f t="array" aca="1" ref="I35" ca="1">INDEX(INDIRECT("'"&amp;$F35&amp;"'!$B$3:$T$300"),MATCH($B$6&amp;H$27&amp;H$28&amp;"Total inc GST",INDIRECT("'"&amp;$F35&amp;"'!$B$3:$B$300")&amp;INDIRECT("'"&amp;$F35&amp;"'!$C$3:$C$300")&amp;INDIRECT("'"&amp;$F35&amp;"'!$D$3:$D$300")&amp;INDIRECT("'"&amp;$F35&amp;"'!$G$3:$G$300"),0),MATCH(I$29&amp;I$30,INDIRECT("'"&amp;$F35&amp;"'!$B$4:$T$4")&amp;INDIRECT("'"&amp;$F35&amp;"'!$B$5:$T$5"),0))</f>
        <v>83.641799999999989</v>
      </c>
      <c r="J35" s="158">
        <f t="shared" ca="1" si="0"/>
        <v>4.0484898354307838E-2</v>
      </c>
      <c r="K35" s="158"/>
      <c r="L35" s="160">
        <f t="array" aca="1" ref="L35" ca="1">INDEX(INDIRECT("'"&amp;$F35&amp;"'!$B$3:$T$300"),MATCH($B$6&amp;H$27&amp;H$28&amp;"Total inc GST",INDIRECT("'"&amp;$F35&amp;"'!$B$3:$B$300")&amp;INDIRECT("'"&amp;$F35&amp;"'!$C$3:$C$300")&amp;INDIRECT("'"&amp;$F35&amp;"'!$D$3:$D$300")&amp;INDIRECT("'"&amp;$F35&amp;"'!$G$3:$G$300"),0),MATCH(L$29&amp;L$30,INDIRECT("'"&amp;$F35&amp;"'!$B$4:$T$4")&amp;INDIRECT("'"&amp;$F35&amp;"'!$B$5:$T$5"),0))</f>
        <v>-0.2790062105346941</v>
      </c>
      <c r="M35" s="160">
        <f ca="1">(N35-I35)/H32</f>
        <v>-1.1295538073717703E-2</v>
      </c>
      <c r="N35" s="157" cm="1">
        <f t="array" aca="1" ref="N35" ca="1">INDEX(INDIRECT("'"&amp;$F35&amp;"'!$B$3:$T$300"),MATCH($B$6&amp;H$27&amp;H$28&amp;"Total inc GST",INDIRECT("'"&amp;$F35&amp;"'!$B$3:$B$300")&amp;INDIRECT("'"&amp;$F35&amp;"'!$C$3:$C$300")&amp;INDIRECT("'"&amp;$F35&amp;"'!$D$3:$D$300")&amp;INDIRECT("'"&amp;$F35&amp;"'!$G$3:$G$300"),0),MATCH(L$29&amp;N$30,INDIRECT("'"&amp;$F35&amp;"'!$B$4:$T$4")&amp;INDIRECT("'"&amp;$F35&amp;"'!$B$5:$T$5"),0))</f>
        <v>60.305218339699216</v>
      </c>
      <c r="O35" s="158">
        <f ca="1">N35/H$38</f>
        <v>2.8140559187913774E-2</v>
      </c>
      <c r="P35" s="158"/>
      <c r="Q35" s="158"/>
      <c r="R35" s="157">
        <f t="array" aca="1" ref="R35" ca="1">INDEX(INDIRECT("'"&amp;$F35&amp;"'!$B$3:$T$300"),MATCH($B$6&amp;Q$27&amp;Q$28&amp;"Total inc GST",INDIRECT("'"&amp;$F35&amp;"'!$B$3:$B$300")&amp;INDIRECT("'"&amp;$F35&amp;"'!$C$3:$C$300")&amp;INDIRECT("'"&amp;$F35&amp;"'!$D$3:$D$300")&amp;INDIRECT("'"&amp;$F35&amp;"'!$G$3:$G$300"),0),MATCH(R$29&amp;R$30,INDIRECT("'"&amp;$F35&amp;"'!$B$4:$T$4")&amp;INDIRECT("'"&amp;$F35&amp;"'!$B$5:$T$5"),0))</f>
        <v>114.55289999999999</v>
      </c>
      <c r="S35" s="158">
        <f t="shared" ca="1" si="1"/>
        <v>4.7453562551781271E-2</v>
      </c>
      <c r="T35" s="158"/>
      <c r="U35" s="160">
        <f t="array" aca="1" ref="U35" ca="1">INDEX(INDIRECT("'"&amp;$F35&amp;"'!$B$3:$T$300"),MATCH($B$6&amp;Q$27&amp;Q$28&amp;"Total inc GST",INDIRECT("'"&amp;$F35&amp;"'!$B$3:$B$300")&amp;INDIRECT("'"&amp;$F35&amp;"'!$C$3:$C$300")&amp;INDIRECT("'"&amp;$F35&amp;"'!$D$3:$D$300")&amp;INDIRECT("'"&amp;$F35&amp;"'!$G$3:$G$300"),0),MATCH(U$29&amp;U$30,INDIRECT("'"&amp;$F35&amp;"'!$B$4:$T$4")&amp;INDIRECT("'"&amp;$F35&amp;"'!$B$5:$T$5"),0))</f>
        <v>-0.27900621053469421</v>
      </c>
      <c r="V35" s="160">
        <f ca="1">(W35-R35)/Q32</f>
        <v>-1.3239838663943565E-2</v>
      </c>
      <c r="W35" s="157">
        <f t="array" aca="1" ref="W35" ca="1">INDEX(INDIRECT("'"&amp;$F35&amp;"'!$B$3:$T$300"),MATCH($B$6&amp;Q$27&amp;Q$28&amp;"Total inc GST",INDIRECT("'"&amp;$F35&amp;"'!$B$3:$B$300")&amp;INDIRECT("'"&amp;$F35&amp;"'!$C$3:$C$300")&amp;INDIRECT("'"&amp;$F35&amp;"'!$D$3:$D$300")&amp;INDIRECT("'"&amp;$F35&amp;"'!$G$3:$G$300"),0),MATCH(U$29&amp;W$30,INDIRECT("'"&amp;$F35&amp;"'!$B$4:$T$4")&amp;INDIRECT("'"&amp;$F35&amp;"'!$B$5:$T$5"),0))</f>
        <v>82.591929465240227</v>
      </c>
      <c r="X35" s="158">
        <f ca="1">W35/Q$38</f>
        <v>3.4058527614532055E-2</v>
      </c>
      <c r="Y35" s="159"/>
      <c r="Z35" s="159"/>
      <c r="AA35" s="157">
        <f t="array" aca="1" ref="AA35" ca="1">INDEX(INDIRECT("'"&amp;$F35&amp;"'!$B$3:$T$300"),MATCH($B$6&amp;Z$27&amp;Z$28&amp;"Total inc GST",INDIRECT("'"&amp;$F35&amp;"'!$B$3:$B$300")&amp;INDIRECT("'"&amp;$F35&amp;"'!$C$3:$C$300")&amp;INDIRECT("'"&amp;$F35&amp;"'!$D$3:$D$300")&amp;INDIRECT("'"&amp;$F35&amp;"'!$G$3:$G$300"),0),MATCH(AA$29&amp;AA$30,INDIRECT("'"&amp;$F35&amp;"'!$B$4:$T$4")&amp;INDIRECT("'"&amp;$F35&amp;"'!$B$5:$T$5"),0))</f>
        <v>181.83</v>
      </c>
      <c r="AB35" s="158">
        <f t="shared" ca="1" si="2"/>
        <v>4.2673081436282567E-2</v>
      </c>
      <c r="AC35" s="158"/>
      <c r="AD35" s="160">
        <f t="array" aca="1" ref="AD35" ca="1">INDEX(INDIRECT("'"&amp;$F35&amp;"'!$B$3:$T$300"),MATCH($B$6&amp;Z$27&amp;Z$28&amp;"Total inc GST",INDIRECT("'"&amp;$F35&amp;"'!$B$3:$B$300")&amp;INDIRECT("'"&amp;$F35&amp;"'!$C$3:$C$300")&amp;INDIRECT("'"&amp;$F35&amp;"'!$D$3:$D$300")&amp;INDIRECT("'"&amp;$F35&amp;"'!$G$3:$G$300"),0),MATCH(AD$29&amp;AD$30,INDIRECT("'"&amp;$F35&amp;"'!$B$4:$T$4")&amp;INDIRECT("'"&amp;$F35&amp;"'!$B$5:$T$5"),0))</f>
        <v>-0.27900621053469421</v>
      </c>
      <c r="AE35" s="160">
        <f ca="1">(AF35-AA35)/Z32</f>
        <v>-1.1906054743375607E-2</v>
      </c>
      <c r="AF35" s="157">
        <f t="array" aca="1" ref="AF35" ca="1">INDEX(INDIRECT("'"&amp;$F35&amp;"'!$B$3:$T$300"),MATCH($B$6&amp;Z$27&amp;Z$28&amp;"Total inc GST",INDIRECT("'"&amp;$F35&amp;"'!$B$3:$B$300")&amp;INDIRECT("'"&amp;$F35&amp;"'!$C$3:$C$300")&amp;INDIRECT("'"&amp;$F35&amp;"'!$D$3:$D$300")&amp;INDIRECT("'"&amp;$F35&amp;"'!$G$3:$G$300"),0),MATCH(AD$29&amp;AF$30,INDIRECT("'"&amp;$F35&amp;"'!$B$4:$T$4")&amp;INDIRECT("'"&amp;$F35&amp;"'!$B$5:$T$5"),0))</f>
        <v>131.09830073847655</v>
      </c>
      <c r="AG35" s="158">
        <f ca="1">AF35/Z$38</f>
        <v>3.053057772204857E-2</v>
      </c>
    </row>
    <row r="36" spans="2:33" ht="15" customHeight="1" x14ac:dyDescent="0.25">
      <c r="F36" s="45" t="s">
        <v>168</v>
      </c>
      <c r="G36" s="45"/>
      <c r="H36" s="159"/>
      <c r="I36" s="157" cm="1">
        <f t="array" aca="1" ref="I36" ca="1">INDEX(INDIRECT("'"&amp;$F36&amp;"'!$B$3:$T$300"),MATCH($B$6&amp;H$27&amp;H$28&amp;"Total inc GST",INDIRECT("'"&amp;$F36&amp;"'!$B$3:$B$300")&amp;INDIRECT("'"&amp;$F36&amp;"'!$C$3:$C$300")&amp;INDIRECT("'"&amp;$F36&amp;"'!$D$3:$D$300")&amp;INDIRECT("'"&amp;$F36&amp;"'!$G$3:$G$300"),0),MATCH(I$29&amp;I$30,INDIRECT("'"&amp;$F36&amp;"'!$B$4:$T$4")&amp;INDIRECT("'"&amp;$F36&amp;"'!$B$5:$T$5"),0))</f>
        <v>242.45474457600002</v>
      </c>
      <c r="J36" s="158">
        <f t="shared" ca="1" si="0"/>
        <v>0.11735466823620525</v>
      </c>
      <c r="K36" s="158"/>
      <c r="L36" s="160">
        <f ca="1">IFERROR((N36-I36)/I36,"New cost component")</f>
        <v>0.35366874928501768</v>
      </c>
      <c r="M36" s="160">
        <f ca="1">(N36-I36)/H32</f>
        <v>4.1504678737856897E-2</v>
      </c>
      <c r="N36" s="157" cm="1">
        <f t="array" aca="1" ref="N36" ca="1">INDEX(INDIRECT("'"&amp;$F36&amp;"'!$B$3:$T$300"),MATCH($B$6&amp;H$27&amp;H$28&amp;"Total inc GST",INDIRECT("'"&amp;$F36&amp;"'!$B$3:$B$300")&amp;INDIRECT("'"&amp;$F36&amp;"'!$C$3:$C$300")&amp;INDIRECT("'"&amp;$F36&amp;"'!$D$3:$D$300")&amp;INDIRECT("'"&amp;$F36&amp;"'!$G$3:$G$300"),0),MATCH(L$29&amp;N$30,INDIRECT("'"&amp;$F36&amp;"'!$B$4:$T$4")&amp;INDIRECT("'"&amp;$F36&amp;"'!$B$5:$T$5"),0))</f>
        <v>328.20341084841237</v>
      </c>
      <c r="O36" s="158">
        <f ca="1">N36/H$38</f>
        <v>0.15315138163714997</v>
      </c>
      <c r="P36" s="158"/>
      <c r="Q36" s="158"/>
      <c r="R36" s="157" cm="1">
        <f t="array" aca="1" ref="R36" ca="1">INDEX(INDIRECT("'"&amp;$F36&amp;"'!$B$3:$T$300"),MATCH($B$6&amp;Q$27&amp;Q$28&amp;"Total inc GST",INDIRECT("'"&amp;$F36&amp;"'!$B$3:$B$300")&amp;INDIRECT("'"&amp;$F36&amp;"'!$C$3:$C$300")&amp;INDIRECT("'"&amp;$F36&amp;"'!$D$3:$D$300")&amp;INDIRECT("'"&amp;$F36&amp;"'!$G$3:$G$300"),0),MATCH(R$29&amp;R$30,INDIRECT("'"&amp;$F36&amp;"'!$B$4:$T$4")&amp;INDIRECT("'"&amp;$F36&amp;"'!$B$5:$T$5"),0))</f>
        <v>242.45474457600002</v>
      </c>
      <c r="S36" s="158">
        <f t="shared" ca="1" si="1"/>
        <v>0.10043692815907208</v>
      </c>
      <c r="T36" s="158"/>
      <c r="U36" s="160">
        <f ca="1">IFERROR((W36-R36)/R36,"New cost component")</f>
        <v>0.35366874928501768</v>
      </c>
      <c r="V36" s="160">
        <f ca="1">(W36-R36)/Q32</f>
        <v>3.55214027640482E-2</v>
      </c>
      <c r="W36" s="157" cm="1">
        <f t="array" aca="1" ref="W36" ca="1">INDEX(INDIRECT("'"&amp;$F36&amp;"'!$B$3:$T$300"),MATCH($B$6&amp;Q$27&amp;Q$28&amp;"Total inc GST",INDIRECT("'"&amp;$F36&amp;"'!$B$3:$B$300")&amp;INDIRECT("'"&amp;$F36&amp;"'!$C$3:$C$300")&amp;INDIRECT("'"&amp;$F36&amp;"'!$D$3:$D$300")&amp;INDIRECT("'"&amp;$F36&amp;"'!$G$3:$G$300"),0),MATCH(U$29&amp;W$30,INDIRECT("'"&amp;$F36&amp;"'!$B$4:$T$4")&amp;INDIRECT("'"&amp;$F36&amp;"'!$B$5:$T$5"),0))</f>
        <v>328.20341084841237</v>
      </c>
      <c r="X36" s="158">
        <f ca="1">W36/Q$38</f>
        <v>0.13534161272099479</v>
      </c>
      <c r="Y36" s="159"/>
      <c r="Z36" s="159"/>
      <c r="AA36" s="157" cm="1">
        <f t="array" aca="1" ref="AA36" ca="1">INDEX(INDIRECT("'"&amp;$F36&amp;"'!$B$3:$T$300"),MATCH($B$6&amp;Z$27&amp;Z$28&amp;"Total inc GST",INDIRECT("'"&amp;$F36&amp;"'!$B$3:$B$300")&amp;INDIRECT("'"&amp;$F36&amp;"'!$C$3:$C$300")&amp;INDIRECT("'"&amp;$F36&amp;"'!$D$3:$D$300")&amp;INDIRECT("'"&amp;$F36&amp;"'!$G$3:$G$300"),0),MATCH(AA$29&amp;AA$30,INDIRECT("'"&amp;$F36&amp;"'!$B$4:$T$4")&amp;INDIRECT("'"&amp;$F36&amp;"'!$B$5:$T$5"),0))</f>
        <v>306.96872817600007</v>
      </c>
      <c r="AB36" s="158">
        <f t="shared" ca="1" si="2"/>
        <v>7.2041475751232126E-2</v>
      </c>
      <c r="AC36" s="158"/>
      <c r="AD36" s="160">
        <f ca="1">IFERROR((AF36-AA36)/AA36,"New cost component")</f>
        <v>0.17490386217645304</v>
      </c>
      <c r="AE36" s="160">
        <f ca="1">(AF36-AA36)/Z32</f>
        <v>1.2600332345781786E-2</v>
      </c>
      <c r="AF36" s="157" cm="1">
        <f t="array" aca="1" ref="AF36" ca="1">INDEX(INDIRECT("'"&amp;$F36&amp;"'!$B$3:$T$300"),MATCH($B$6&amp;Z$27&amp;Z$28&amp;"Total inc GST",INDIRECT("'"&amp;$F36&amp;"'!$B$3:$B$300")&amp;INDIRECT("'"&amp;$F36&amp;"'!$C$3:$C$300")&amp;INDIRECT("'"&amp;$F36&amp;"'!$D$3:$D$300")&amp;INDIRECT("'"&amp;$F36&amp;"'!$G$3:$G$300"),0),MATCH(AD$29&amp;AF$30,INDIRECT("'"&amp;$F36&amp;"'!$B$4:$T$4")&amp;INDIRECT("'"&amp;$F36&amp;"'!$B$5:$T$5"),0))</f>
        <v>360.65874430137626</v>
      </c>
      <c r="AG36" s="158">
        <f ca="1">AF36/Z$38</f>
        <v>8.3991323777684271E-2</v>
      </c>
    </row>
    <row r="37" spans="2:33" ht="15" customHeight="1" x14ac:dyDescent="0.25">
      <c r="F37" s="45" t="s">
        <v>210</v>
      </c>
      <c r="G37" s="45"/>
      <c r="H37" s="159"/>
      <c r="I37" s="157">
        <f ca="1">SUM(I33:I36)/(1-SUMIFS('Detail inputs'!$I:$I,'Detail inputs'!$B:$B,$B$6,'Detail inputs'!$G:$G,$F$37,'Detail inputs'!$D:$D,$H$27,'Detail inputs'!$E:$E,$H28))-SUM(I33:I36)</f>
        <v>123.93613381305795</v>
      </c>
      <c r="J37" s="158">
        <f t="shared" ca="1" si="0"/>
        <v>5.9988448118614687E-2</v>
      </c>
      <c r="K37" s="158"/>
      <c r="L37" s="160">
        <f ca="1">IFERROR((N37-I37)/I37,"New cost component")</f>
        <v>3.7235510313333067E-2</v>
      </c>
      <c r="M37" s="160">
        <f ca="1">(N37-I37)/H32</f>
        <v>2.2337004786015229E-3</v>
      </c>
      <c r="N37" s="157">
        <f ca="1">SUM(N33:N36)/(1-SUMIFS('Detail inputs'!$J:$J,'Detail inputs'!$B:$B,$B$6,'Detail inputs'!$G:$G,$F$37,'Detail inputs'!$D:$D,$H$27,'Detail inputs'!$E:$E,$H28))-SUM(N33:N36)+IF(+Summary!AE65=1,+Summary!AC60,+Summary!AD60)</f>
        <v>128.5509590018487</v>
      </c>
      <c r="O37" s="158">
        <f ca="1">N37/H$38</f>
        <v>5.9986448437633552E-2</v>
      </c>
      <c r="P37" s="158"/>
      <c r="Q37" s="158"/>
      <c r="R37" s="157">
        <f ca="1">SUM(R33:R36)/(1-SUMIFS('Detail inputs'!$I:$I,'Detail inputs'!$B:$B,$B$6,'Detail inputs'!$G:$G,$F$37,'Detail inputs'!$D:$D,$Q$27,'Detail inputs'!$E:$E,$Q28))-SUM(R33:R36)</f>
        <v>144.83514004497283</v>
      </c>
      <c r="S37" s="158">
        <f t="shared" ca="1" si="1"/>
        <v>5.9997986762623377E-2</v>
      </c>
      <c r="T37" s="158"/>
      <c r="U37" s="160">
        <f ca="1">IFERROR((W37-R37)/R37,"New cost component")</f>
        <v>4.4849352035136779E-3</v>
      </c>
      <c r="V37" s="160">
        <f ca="1">(W37-R37)/Q32</f>
        <v>2.6908708297163726E-4</v>
      </c>
      <c r="W37" s="157">
        <f ca="1">SUM(W33:W36)/(1-SUMIFS('Detail inputs'!$J:$J,'Detail inputs'!$B:$B,$B$6,'Detail inputs'!$G:$G,$F$37,'Detail inputs'!$D:$D,$Q$27,'Detail inputs'!$E:$E,$Q28))-SUM(W33:W36)+IF(+Summary!AE65=1,+Summary!AC60,+Summary!AD60)</f>
        <v>145.48471626326636</v>
      </c>
      <c r="X37" s="158">
        <f ca="1">W37/Q$38</f>
        <v>5.9993697428151076E-2</v>
      </c>
      <c r="Y37" s="159"/>
      <c r="Z37" s="159"/>
      <c r="AA37" s="157">
        <f ca="1">SUM(AA33:AA36)/(1-SUMIFS('Detail inputs'!$I:$I,'Detail inputs'!$B:$B,$B$6,'Detail inputs'!$G:$G,$F$37,'Detail inputs'!$D:$D,$Z$27,'Detail inputs'!$E:$E,$Z28))-SUM(AA33:AA36)</f>
        <v>468.67435191741879</v>
      </c>
      <c r="AB37" s="158">
        <f t="shared" ca="1" si="2"/>
        <v>0.1099916338693778</v>
      </c>
      <c r="AC37" s="158"/>
      <c r="AD37" s="160">
        <f ca="1">IFERROR((AF37-AA37)/AA37,"New cost component")</f>
        <v>7.8007802036837914E-3</v>
      </c>
      <c r="AE37" s="160">
        <f ca="1">(AF37-AA37)/Z32</f>
        <v>8.5802056005907792E-4</v>
      </c>
      <c r="AF37" s="157">
        <f ca="1">SUM(AF33:AF36)/(1-SUMIFS('Detail inputs'!$J:$J,'Detail inputs'!$B:$B,$B$6,'Detail inputs'!$G:$G,$F$37,'Detail inputs'!$D:$D,$Z$27,'Detail inputs'!$E:$E,$Z28))-SUM(AF33:AF36)+IF(+Summary!AE65=1,+Summary!AC61,+Summary!AD61)</f>
        <v>472.33037752383052</v>
      </c>
      <c r="AG37" s="158">
        <f ca="1">AF37/Z$38</f>
        <v>0.10999775908799034</v>
      </c>
    </row>
    <row r="38" spans="2:33" ht="15.75" thickBot="1" x14ac:dyDescent="0.3">
      <c r="B38" s="72"/>
      <c r="F38" s="69" t="str">
        <f>"DMO "&amp;FY&amp;" price"</f>
        <v>DMO 2025-26 price</v>
      </c>
      <c r="G38" s="69"/>
      <c r="H38" s="161">
        <f ca="1">ROUND(SUM(N33:N37),0)</f>
        <v>2143</v>
      </c>
      <c r="I38" s="162"/>
      <c r="J38" s="162"/>
      <c r="K38" s="162"/>
      <c r="L38" s="162">
        <f ca="1">H38/H32-1</f>
        <v>3.7270087124879003E-2</v>
      </c>
      <c r="M38" s="162"/>
      <c r="N38" s="162"/>
      <c r="O38" s="162"/>
      <c r="P38" s="162"/>
      <c r="Q38" s="161">
        <f ca="1">ROUND(SUM(W33:W37),0)</f>
        <v>2425</v>
      </c>
      <c r="R38" s="161"/>
      <c r="S38" s="162"/>
      <c r="T38" s="162"/>
      <c r="U38" s="162">
        <f ca="1">Q38/Q32-1</f>
        <v>4.5567522783760417E-3</v>
      </c>
      <c r="V38" s="162"/>
      <c r="W38" s="163"/>
      <c r="X38" s="163"/>
      <c r="Y38" s="163"/>
      <c r="Z38" s="161">
        <f ca="1">ROUND(SUM(AF33:AF37),0)</f>
        <v>4294</v>
      </c>
      <c r="AA38" s="161"/>
      <c r="AB38" s="162"/>
      <c r="AC38" s="162"/>
      <c r="AD38" s="162">
        <f ca="1">Z38/Z32-1</f>
        <v>7.7446608777282933E-3</v>
      </c>
      <c r="AE38" s="162"/>
      <c r="AF38" s="162"/>
      <c r="AG38" s="162"/>
    </row>
    <row r="39" spans="2:33" ht="15.75" thickTop="1" x14ac:dyDescent="0.25">
      <c r="N39" s="70"/>
    </row>
    <row r="40" spans="2:33" x14ac:dyDescent="0.25">
      <c r="F40" s="89"/>
      <c r="H40" s="86"/>
      <c r="M40" s="187"/>
      <c r="N40" s="86"/>
      <c r="P40" s="203"/>
      <c r="Q40" s="86"/>
      <c r="W40" s="86"/>
      <c r="X40" s="189"/>
      <c r="Z40" s="86"/>
      <c r="AA40" s="86"/>
      <c r="AF40" s="86"/>
    </row>
    <row r="41" spans="2:33" x14ac:dyDescent="0.25">
      <c r="H41" s="86"/>
      <c r="I41" s="198"/>
      <c r="L41" s="224"/>
      <c r="M41" s="187"/>
      <c r="N41" s="70"/>
      <c r="O41" s="70"/>
      <c r="P41" s="70"/>
      <c r="Q41" s="70"/>
      <c r="R41" s="70"/>
      <c r="S41" s="70"/>
      <c r="T41" s="70"/>
      <c r="U41" s="70"/>
      <c r="V41" s="70"/>
      <c r="W41" s="70"/>
      <c r="X41" s="70"/>
      <c r="Z41" s="86"/>
      <c r="AA41" s="198"/>
      <c r="AF41" s="70"/>
    </row>
    <row r="42" spans="2:33" x14ac:dyDescent="0.25">
      <c r="F42" s="100"/>
      <c r="L42" s="224"/>
      <c r="M42" s="187"/>
      <c r="N42" s="70"/>
      <c r="O42" s="70"/>
      <c r="P42" s="70"/>
      <c r="Q42" s="70"/>
      <c r="R42" s="70"/>
      <c r="S42" s="70"/>
      <c r="T42" s="70"/>
      <c r="U42" s="70"/>
      <c r="V42" s="70"/>
      <c r="W42" s="70"/>
      <c r="X42" s="70"/>
      <c r="Z42" s="86"/>
      <c r="AF42" s="70"/>
    </row>
    <row r="43" spans="2:33" s="87" customFormat="1" x14ac:dyDescent="0.25">
      <c r="H43" s="88"/>
      <c r="L43" s="224"/>
      <c r="M43" s="187"/>
      <c r="N43" s="70"/>
      <c r="O43" s="70"/>
      <c r="P43" s="70"/>
      <c r="Q43" s="70"/>
      <c r="R43" s="70"/>
      <c r="S43" s="70"/>
      <c r="T43" s="70"/>
      <c r="U43" s="70"/>
      <c r="V43" s="70"/>
      <c r="W43" s="70"/>
      <c r="X43" s="70"/>
      <c r="AA43" s="88"/>
      <c r="AF43" s="70"/>
    </row>
    <row r="44" spans="2:33" x14ac:dyDescent="0.25">
      <c r="L44" s="224"/>
      <c r="M44" s="187"/>
      <c r="N44" s="70"/>
      <c r="O44" s="70"/>
      <c r="P44" s="70"/>
      <c r="Q44" s="70"/>
      <c r="R44" s="70"/>
      <c r="S44" s="70"/>
      <c r="T44" s="70"/>
      <c r="U44" s="70"/>
      <c r="V44" s="70"/>
      <c r="W44" s="70"/>
      <c r="X44" s="70"/>
      <c r="AF44" s="70"/>
    </row>
    <row r="45" spans="2:33" x14ac:dyDescent="0.25">
      <c r="L45" s="224"/>
      <c r="M45" s="187"/>
      <c r="N45" s="70"/>
      <c r="O45" s="70"/>
      <c r="P45" s="70"/>
      <c r="Q45" s="70"/>
      <c r="R45" s="70"/>
      <c r="S45" s="70"/>
      <c r="T45" s="70"/>
      <c r="U45" s="70"/>
      <c r="V45" s="70"/>
      <c r="W45" s="70"/>
      <c r="X45" s="70"/>
      <c r="AF45" s="70"/>
    </row>
  </sheetData>
  <sheetProtection algorithmName="SHA-256" hashValue="8Zms1MpV/fvmKnoxpoWXvtrkOp8A5FFKQViWgQ/opUc=" saltValue="anQkejA4CXosp75LCLYVKQ==" spinCount="100000" sheet="1" formatCells="0" formatColumns="0" formatRows="0" insertColumns="0" insertRows="0" insertHyperlinks="0" deleteColumns="0" deleteRows="0" sort="0" autoFilter="0" pivotTables="0"/>
  <mergeCells count="15">
    <mergeCell ref="Z27:AG27"/>
    <mergeCell ref="H28:O28"/>
    <mergeCell ref="Q28:X28"/>
    <mergeCell ref="Z28:AG28"/>
    <mergeCell ref="I29:J29"/>
    <mergeCell ref="AA29:AB29"/>
    <mergeCell ref="AD29:AG29"/>
    <mergeCell ref="A1:B1"/>
    <mergeCell ref="B6:B7"/>
    <mergeCell ref="F27:F31"/>
    <mergeCell ref="H27:O27"/>
    <mergeCell ref="Q27:X27"/>
    <mergeCell ref="L29:O29"/>
    <mergeCell ref="R29:S29"/>
    <mergeCell ref="U29:X29"/>
  </mergeCells>
  <conditionalFormatting sqref="F38:M38 P38:V38 Y38:AE38">
    <cfRule type="expression" dxfId="285" priority="72">
      <formula>AND(MOD(ROW(),2)=0,F$30="Proportion",$F38="Overall change in costs (%)")</formula>
    </cfRule>
    <cfRule type="expression" dxfId="284" priority="73">
      <formula>AND(MOD(ROW(),1)=0,F$30="Proportion",$F38="Overall change in costs (%)")</formula>
    </cfRule>
  </conditionalFormatting>
  <conditionalFormatting sqref="F32:AG37">
    <cfRule type="expression" dxfId="283" priority="2">
      <formula>AND(MOD(ROW(),2)=0,F$30="Proportion",$F32="Overall change in costs (%)")</formula>
    </cfRule>
    <cfRule type="expression" dxfId="282" priority="3">
      <formula>AND(MOD(ROW(),1)=0,F$30="Proportion",$F32="Overall change in costs (%)")</formula>
    </cfRule>
  </conditionalFormatting>
  <conditionalFormatting sqref="F32:AG38">
    <cfRule type="expression" dxfId="281" priority="1">
      <formula>MOD(ROW(),2)=0</formula>
    </cfRule>
  </conditionalFormatting>
  <conditionalFormatting sqref="G43:K43">
    <cfRule type="cellIs" dxfId="280" priority="10" operator="equal">
      <formula>FALSE</formula>
    </cfRule>
    <cfRule type="cellIs" dxfId="279" priority="11" operator="equal">
      <formula>TRUE</formula>
    </cfRule>
  </conditionalFormatting>
  <conditionalFormatting sqref="N38 W38 AF38">
    <cfRule type="expression" dxfId="278" priority="78">
      <formula>AND(MOD(ROW(),2)=0,#REF!="Proportion",$F38="Overall change in costs (%)")</formula>
    </cfRule>
    <cfRule type="expression" dxfId="277" priority="79">
      <formula>AND(MOD(ROW(),1)=0,#REF!="Proportion",$F38="Overall change in costs (%)")</formula>
    </cfRule>
  </conditionalFormatting>
  <conditionalFormatting sqref="O38 X38 AG38">
    <cfRule type="expression" dxfId="276" priority="75">
      <formula>AND(MOD(ROW(),2)=0,N$30="Proportion",$F38="Overall change in costs (%)")</formula>
    </cfRule>
    <cfRule type="expression" dxfId="275" priority="76">
      <formula>AND(MOD(ROW(),1)=0,N$30="Proportion",$F38="Overall change in costs (%)")</formula>
    </cfRule>
  </conditionalFormatting>
  <conditionalFormatting sqref="Y43:AE43">
    <cfRule type="cellIs" dxfId="274" priority="14" operator="equal">
      <formula>FALSE</formula>
    </cfRule>
    <cfRule type="cellIs" dxfId="273" priority="15" operator="equal">
      <formula>TRUE</formula>
    </cfRule>
  </conditionalFormatting>
  <conditionalFormatting sqref="AG43">
    <cfRule type="cellIs" dxfId="272" priority="18" operator="equal">
      <formula>FALSE</formula>
    </cfRule>
    <cfRule type="cellIs" dxfId="271" priority="19" operator="equal">
      <formula>TRUE</formula>
    </cfRule>
  </conditionalFormatting>
  <hyperlinks>
    <hyperlink ref="A1" location="Index!A1" display="&lt;&lt;Back to Index" xr:uid="{B1F915EC-EDE5-4D1F-B6D7-A55C506A8AEF}"/>
  </hyperlinks>
  <pageMargins left="0.7" right="0.7" top="0.75" bottom="0.75" header="0.3" footer="0.3"/>
  <pageSetup paperSize="9" orientation="portrait" r:id="rId1"/>
  <headerFooter>
    <oddHeader>&amp;C&amp;"Calibri"&amp;10&amp;KFF0000 OFFICIAL SENSITIVE&amp;1#_x000D_</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E977-F6BE-41C2-A478-E2515844C8C1}">
  <sheetPr>
    <tabColor rgb="FF00B050"/>
  </sheetPr>
  <dimension ref="A1:AH47"/>
  <sheetViews>
    <sheetView zoomScaleNormal="100" workbookViewId="0">
      <selection sqref="A1:B1"/>
    </sheetView>
  </sheetViews>
  <sheetFormatPr defaultColWidth="8.85546875" defaultRowHeight="15" x14ac:dyDescent="0.25"/>
  <cols>
    <col min="1" max="1" width="1.85546875" style="3" customWidth="1"/>
    <col min="2" max="2" width="33.85546875" style="3" bestFit="1" customWidth="1"/>
    <col min="3" max="5" width="13.140625" style="3" customWidth="1"/>
    <col min="6" max="6" width="26.85546875" style="3" customWidth="1"/>
    <col min="7" max="7" width="5.85546875" style="3" customWidth="1"/>
    <col min="8" max="10" width="10.85546875" style="3" customWidth="1"/>
    <col min="11" max="11" width="1.85546875" style="3" customWidth="1"/>
    <col min="12" max="12" width="10.85546875" style="3" customWidth="1"/>
    <col min="13" max="13" width="12.5703125" style="3" customWidth="1"/>
    <col min="14" max="14" width="13.140625" style="3" customWidth="1"/>
    <col min="15" max="15" width="10.85546875" style="3" customWidth="1"/>
    <col min="16" max="16" width="7.85546875" style="3" customWidth="1"/>
    <col min="17" max="19" width="10.85546875" style="3" customWidth="1"/>
    <col min="20" max="20" width="1.85546875" style="3" customWidth="1"/>
    <col min="21" max="21" width="10.85546875" style="3" customWidth="1"/>
    <col min="22" max="23" width="13.140625" style="3" customWidth="1"/>
    <col min="24" max="24" width="10.85546875" style="3" customWidth="1"/>
    <col min="25" max="25" width="5.85546875" style="3" customWidth="1"/>
    <col min="26" max="28" width="10.85546875" style="3" customWidth="1"/>
    <col min="29" max="29" width="1.85546875" style="3" customWidth="1"/>
    <col min="30" max="30" width="10.85546875" style="3" customWidth="1"/>
    <col min="31" max="31" width="13" style="3" customWidth="1"/>
    <col min="32" max="32" width="9.42578125" style="3" customWidth="1"/>
    <col min="33" max="33" width="10.85546875" style="3" customWidth="1"/>
    <col min="34" max="16384" width="8.85546875" style="3"/>
  </cols>
  <sheetData>
    <row r="1" spans="1:34" ht="10.35" customHeight="1" x14ac:dyDescent="0.25">
      <c r="A1" s="430" t="s">
        <v>18</v>
      </c>
      <c r="B1" s="431"/>
    </row>
    <row r="2" spans="1:34" s="14" customFormat="1" ht="22.5" customHeight="1" x14ac:dyDescent="0.25">
      <c r="A2" s="15" t="s">
        <v>5</v>
      </c>
    </row>
    <row r="3" spans="1:34" s="64" customFormat="1" ht="15.75" thickBot="1" x14ac:dyDescent="0.3">
      <c r="C3" s="64" t="str">
        <f>$A$2&amp;" "&amp;C6&amp;" "&amp;C7</f>
        <v>SAPN Residential without CL</v>
      </c>
      <c r="D3" s="64" t="str">
        <f>$A$2&amp;" "&amp;D6&amp;" "&amp;D7</f>
        <v>SAPN Residential with CL</v>
      </c>
      <c r="E3" s="64" t="str">
        <f>$A$2&amp;" "&amp;E6&amp;" "&amp;E7</f>
        <v>SAPN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row>
    <row r="4" spans="1:34" ht="15.75" x14ac:dyDescent="0.25">
      <c r="B4" s="32" t="s">
        <v>17</v>
      </c>
      <c r="F4" s="32"/>
      <c r="G4" s="75" t="s">
        <v>91</v>
      </c>
      <c r="H4" s="76"/>
      <c r="I4" s="76"/>
      <c r="J4" s="76"/>
      <c r="K4" s="76"/>
      <c r="L4" s="76"/>
      <c r="M4" s="76"/>
      <c r="N4" s="76"/>
      <c r="O4" s="76"/>
      <c r="P4" s="76"/>
      <c r="Q4" s="76"/>
      <c r="R4" s="76"/>
      <c r="S4" s="76"/>
      <c r="T4" s="76"/>
      <c r="U4" s="76"/>
      <c r="V4" s="76"/>
      <c r="W4" s="76"/>
      <c r="X4" s="76"/>
      <c r="Y4" s="76"/>
      <c r="Z4" s="76"/>
      <c r="AA4" s="76"/>
      <c r="AB4" s="76"/>
      <c r="AC4" s="76"/>
      <c r="AD4" s="76"/>
      <c r="AE4" s="76"/>
      <c r="AF4" s="76"/>
      <c r="AG4" s="76"/>
      <c r="AH4" s="77"/>
    </row>
    <row r="5" spans="1:34" ht="5.0999999999999996" customHeight="1" x14ac:dyDescent="0.25">
      <c r="B5" s="5"/>
      <c r="G5" s="78"/>
      <c r="H5" s="79"/>
      <c r="AH5" s="80"/>
    </row>
    <row r="6" spans="1:34" ht="20.100000000000001" customHeight="1" x14ac:dyDescent="0.25">
      <c r="B6" s="468" t="str">
        <f>A2</f>
        <v>SAPN</v>
      </c>
      <c r="C6" s="42" t="s">
        <v>6</v>
      </c>
      <c r="D6" s="42" t="s">
        <v>6</v>
      </c>
      <c r="E6" s="42" t="s">
        <v>77</v>
      </c>
      <c r="G6" s="78"/>
      <c r="H6" s="79"/>
      <c r="AH6" s="80"/>
    </row>
    <row r="7" spans="1:34" ht="20.100000000000001" customHeight="1" x14ac:dyDescent="0.25">
      <c r="B7" s="468"/>
      <c r="C7" s="43" t="s">
        <v>127</v>
      </c>
      <c r="D7" s="43" t="s">
        <v>128</v>
      </c>
      <c r="E7" s="43" t="s">
        <v>127</v>
      </c>
      <c r="G7" s="78"/>
      <c r="AH7" s="80"/>
    </row>
    <row r="8" spans="1:34" ht="2.1" customHeight="1" x14ac:dyDescent="0.25">
      <c r="C8" s="19"/>
      <c r="D8" s="19"/>
      <c r="E8" s="19"/>
      <c r="G8" s="78"/>
      <c r="AH8" s="80"/>
    </row>
    <row r="9" spans="1:34" s="40" customFormat="1" ht="30" customHeight="1" x14ac:dyDescent="0.25">
      <c r="B9" s="46" t="str">
        <f>"DMO "&amp;FY&amp;" price ($ pa, inc GST)"</f>
        <v>DMO 2025-26 price ($ pa, inc GST)</v>
      </c>
      <c r="C9" s="116">
        <f ca="1">ROUND(H38,0)</f>
        <v>2301</v>
      </c>
      <c r="D9" s="116">
        <f ca="1">ROUND(Q38,0)</f>
        <v>2824</v>
      </c>
      <c r="E9" s="116">
        <f ca="1">ROUND(Z38,0)</f>
        <v>5541</v>
      </c>
      <c r="F9" s="3"/>
      <c r="G9" s="78"/>
      <c r="H9" s="3"/>
      <c r="I9" s="3"/>
      <c r="J9" s="3"/>
      <c r="K9" s="3"/>
      <c r="L9" s="3"/>
      <c r="M9" s="3"/>
      <c r="N9" s="3"/>
      <c r="O9" s="3"/>
      <c r="P9" s="3"/>
      <c r="Q9" s="3"/>
      <c r="R9" s="3"/>
      <c r="S9" s="3"/>
      <c r="T9" s="3"/>
      <c r="U9" s="3"/>
      <c r="V9" s="3"/>
      <c r="W9" s="3"/>
      <c r="X9" s="3"/>
      <c r="Y9" s="3"/>
      <c r="Z9" s="3"/>
      <c r="AA9" s="3"/>
      <c r="AB9" s="3"/>
      <c r="AC9" s="3"/>
      <c r="AD9" s="3"/>
      <c r="AE9" s="3"/>
      <c r="AF9" s="3"/>
      <c r="AG9" s="3"/>
      <c r="AH9" s="81"/>
    </row>
    <row r="10" spans="1:34" ht="2.1" customHeight="1" x14ac:dyDescent="0.25">
      <c r="B10" s="47"/>
      <c r="C10" s="48"/>
      <c r="D10" s="48"/>
      <c r="E10" s="48"/>
      <c r="F10" s="40"/>
      <c r="G10" s="82"/>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80"/>
    </row>
    <row r="11" spans="1:34" ht="20.100000000000001" customHeight="1" x14ac:dyDescent="0.25">
      <c r="B11" s="49" t="s">
        <v>48</v>
      </c>
      <c r="C11" s="50">
        <f>SUM(C12:C13)</f>
        <v>4000</v>
      </c>
      <c r="D11" s="50">
        <f>SUM(D12:D13)</f>
        <v>6000</v>
      </c>
      <c r="E11" s="50">
        <f>SUM(E12:E13)</f>
        <v>10000</v>
      </c>
      <c r="G11" s="78"/>
      <c r="AH11" s="80"/>
    </row>
    <row r="12" spans="1:34" ht="20.100000000000001" customHeight="1" x14ac:dyDescent="0.25">
      <c r="B12" s="51" t="s">
        <v>52</v>
      </c>
      <c r="C12" s="52">
        <f t="array" ref="C12">INDEX(Usage!$B$5:$M$18,MATCH($B6,Usage!$B$5:$B$18,0),MATCH(C$6&amp;C$7&amp;"Flat rate"&amp;"Total",Usage!$B$5:$M$5&amp;Usage!$B$6:$M$6&amp;Usage!$B$7:$M$7&amp;Usage!$B$13:$M$13,0))</f>
        <v>4000</v>
      </c>
      <c r="D12" s="52">
        <f t="array" ref="D12">INDEX(Usage!$B$5:$M$18,MATCH($B6,Usage!$B$5:$B$18,0),MATCH(D$6&amp;D$7&amp;"Flat rate"&amp;"Total",Usage!$B$5:$M$5&amp;Usage!$B$6:$M$6&amp;Usage!$B$7:$M$7&amp;Usage!$B$13:$M$13,0))</f>
        <v>4200</v>
      </c>
      <c r="E12" s="52">
        <f t="array" ref="E12">INDEX(Usage!$B$5:$M$18,MATCH($B6,Usage!$B$5:$B$18,0),MATCH(E$6&amp;E$7&amp;"Flat rate"&amp;"Total",Usage!$B$5:$M$5&amp;Usage!$B$6:$M$6&amp;Usage!$B$7:$M$7&amp;Usage!$B$13:$M$13,0))</f>
        <v>10000</v>
      </c>
      <c r="G12" s="78"/>
      <c r="AH12" s="80"/>
    </row>
    <row r="13" spans="1:34" ht="20.100000000000001" customHeight="1" x14ac:dyDescent="0.25">
      <c r="B13" s="51" t="s">
        <v>51</v>
      </c>
      <c r="C13" s="52"/>
      <c r="D13" s="52">
        <f t="array" ref="D13">INDEX(Usage!$B$5:$M$18,MATCH($B6,Usage!$B$5:$B$18,0),MATCH(D$6&amp;D$7&amp;"CL"&amp;"Total",Usage!$B$5:$M$5&amp;Usage!$B$6:$M$6&amp;Usage!$B$7:$M$7&amp;Usage!$B$13:$M$13,0))</f>
        <v>1800</v>
      </c>
      <c r="E13" s="52"/>
      <c r="G13" s="78"/>
      <c r="AH13" s="80"/>
    </row>
    <row r="14" spans="1:34" ht="2.1" customHeight="1" x14ac:dyDescent="0.25">
      <c r="B14" s="53"/>
      <c r="C14" s="53"/>
      <c r="D14" s="53"/>
      <c r="E14" s="53"/>
      <c r="G14" s="78"/>
      <c r="AH14" s="80"/>
    </row>
    <row r="15" spans="1:34" ht="20.100000000000001" customHeight="1" x14ac:dyDescent="0.25">
      <c r="B15" s="51" t="str">
        <f>"Change from DMO "&amp;PY&amp; " price ($)"</f>
        <v>Change from DMO 2024-25 price ($)</v>
      </c>
      <c r="C15" s="106">
        <f ca="1">C9-H32</f>
        <v>71</v>
      </c>
      <c r="D15" s="106">
        <f ca="1">D9-Q32</f>
        <v>64</v>
      </c>
      <c r="E15" s="106">
        <f ca="1">E9-Z32</f>
        <v>189</v>
      </c>
      <c r="G15" s="78"/>
      <c r="AH15" s="80"/>
    </row>
    <row r="16" spans="1:34" ht="20.100000000000001" customHeight="1" thickBot="1" x14ac:dyDescent="0.3">
      <c r="B16" s="54" t="str">
        <f>"Change from DMO "&amp;PY&amp; " price (%)"</f>
        <v>Change from DMO 2024-25 price (%)</v>
      </c>
      <c r="C16" s="90">
        <f ca="1">C9/H32-1</f>
        <v>3.183856502242155E-2</v>
      </c>
      <c r="D16" s="90">
        <f ca="1">D9/Q32-1</f>
        <v>2.3188405797101463E-2</v>
      </c>
      <c r="E16" s="90">
        <f ca="1">E9/Z32-1</f>
        <v>3.5313901345291443E-2</v>
      </c>
      <c r="G16" s="78"/>
      <c r="AH16" s="80"/>
    </row>
    <row r="17" spans="2:34" ht="15.75" thickTop="1" x14ac:dyDescent="0.25">
      <c r="B17" s="72" t="s">
        <v>90</v>
      </c>
      <c r="G17" s="78"/>
      <c r="AH17" s="80"/>
    </row>
    <row r="18" spans="2:34" x14ac:dyDescent="0.25">
      <c r="G18" s="78"/>
      <c r="AH18" s="80"/>
    </row>
    <row r="19" spans="2:34" x14ac:dyDescent="0.25">
      <c r="C19" s="70"/>
      <c r="D19" s="117"/>
      <c r="G19" s="78"/>
      <c r="AH19" s="80"/>
    </row>
    <row r="20" spans="2:34" ht="15.75" x14ac:dyDescent="0.25">
      <c r="B20" s="32"/>
      <c r="D20" s="117"/>
      <c r="G20" s="78"/>
      <c r="AH20" s="80"/>
    </row>
    <row r="21" spans="2:34" ht="15" customHeight="1" thickBot="1" x14ac:dyDescent="0.3">
      <c r="F21" s="32"/>
      <c r="G21" s="83"/>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5"/>
    </row>
    <row r="22" spans="2:34" s="33" customFormat="1" ht="15.75" x14ac:dyDescent="0.25">
      <c r="F22" s="32"/>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2:34" s="33" customFormat="1" ht="15.75" hidden="1" x14ac:dyDescent="0.25">
      <c r="F23" s="32"/>
      <c r="G23" s="3"/>
      <c r="H23" s="3" t="str">
        <f>$H$27</f>
        <v>Residential</v>
      </c>
      <c r="I23" s="3" t="str">
        <f>$H$27</f>
        <v>Residential</v>
      </c>
      <c r="J23" s="3" t="str">
        <f>$H$27</f>
        <v>Residential</v>
      </c>
      <c r="K23" s="3"/>
      <c r="L23" s="3" t="str">
        <f>$H$27</f>
        <v>Residential</v>
      </c>
      <c r="M23" s="3" t="str">
        <f>$H$27</f>
        <v>Residential</v>
      </c>
      <c r="N23" s="3" t="str">
        <f>$H$27</f>
        <v>Residential</v>
      </c>
      <c r="O23" s="3" t="str">
        <f>$H$27</f>
        <v>Residential</v>
      </c>
      <c r="P23" s="3"/>
      <c r="Q23" s="3" t="str">
        <f>$Q$27</f>
        <v>Residential</v>
      </c>
      <c r="R23" s="3" t="str">
        <f>$Q$27</f>
        <v>Residential</v>
      </c>
      <c r="S23" s="3" t="str">
        <f>$Q$27</f>
        <v>Residential</v>
      </c>
      <c r="T23" s="3"/>
      <c r="U23" s="3" t="str">
        <f>$Q$27</f>
        <v>Residential</v>
      </c>
      <c r="V23" s="3" t="str">
        <f>$Q$27</f>
        <v>Residential</v>
      </c>
      <c r="W23" s="3" t="str">
        <f>$Q$27</f>
        <v>Residential</v>
      </c>
      <c r="X23" s="3" t="str">
        <f>$Q$27</f>
        <v>Residential</v>
      </c>
      <c r="Y23" s="3"/>
      <c r="Z23" s="3" t="str">
        <f>$Z$27</f>
        <v>Small Business</v>
      </c>
      <c r="AA23" s="3" t="str">
        <f>$Z$27</f>
        <v>Small Business</v>
      </c>
      <c r="AB23" s="3" t="str">
        <f>$Z$27</f>
        <v>Small Business</v>
      </c>
      <c r="AC23" s="3"/>
      <c r="AD23" s="3" t="str">
        <f>$Z$27</f>
        <v>Small Business</v>
      </c>
      <c r="AE23" s="3" t="str">
        <f>$Z$27</f>
        <v>Small Business</v>
      </c>
      <c r="AF23" s="3" t="str">
        <f>$Z$27</f>
        <v>Small Business</v>
      </c>
      <c r="AG23" s="3" t="str">
        <f>$Z$27</f>
        <v>Small Business</v>
      </c>
    </row>
    <row r="24" spans="2:34" s="33" customFormat="1" ht="15.75" hidden="1" x14ac:dyDescent="0.25">
      <c r="F24" s="32"/>
      <c r="G24" s="3"/>
      <c r="H24" s="3" t="str">
        <f>$H$28</f>
        <v>without CL</v>
      </c>
      <c r="I24" s="3" t="str">
        <f>$H$28</f>
        <v>without CL</v>
      </c>
      <c r="J24" s="3" t="str">
        <f>$H$28</f>
        <v>without CL</v>
      </c>
      <c r="K24" s="3"/>
      <c r="L24" s="3" t="str">
        <f>$H$28</f>
        <v>without CL</v>
      </c>
      <c r="M24" s="3" t="str">
        <f>$H$28</f>
        <v>without CL</v>
      </c>
      <c r="N24" s="3" t="str">
        <f>$H$28</f>
        <v>without CL</v>
      </c>
      <c r="O24" s="3" t="str">
        <f>$H$28</f>
        <v>without CL</v>
      </c>
      <c r="P24" s="3"/>
      <c r="Q24" s="3" t="str">
        <f>$Q$28</f>
        <v>with CL</v>
      </c>
      <c r="R24" s="3" t="str">
        <f>$Q$28</f>
        <v>with CL</v>
      </c>
      <c r="S24" s="3" t="str">
        <f>$Q$28</f>
        <v>with CL</v>
      </c>
      <c r="T24" s="3"/>
      <c r="U24" s="3" t="str">
        <f>$Q$28</f>
        <v>with CL</v>
      </c>
      <c r="V24" s="3" t="str">
        <f>$Q$28</f>
        <v>with CL</v>
      </c>
      <c r="W24" s="3" t="str">
        <f>$Q$28</f>
        <v>with CL</v>
      </c>
      <c r="X24" s="3" t="str">
        <f>$Q$28</f>
        <v>with CL</v>
      </c>
      <c r="Y24" s="3"/>
      <c r="Z24" s="3" t="str">
        <f>$Z$28</f>
        <v>without CL</v>
      </c>
      <c r="AA24" s="3" t="str">
        <f>$Z$28</f>
        <v>without CL</v>
      </c>
      <c r="AB24" s="3" t="str">
        <f>$Z$28</f>
        <v>without CL</v>
      </c>
      <c r="AC24" s="3"/>
      <c r="AD24" s="3" t="str">
        <f>$Z$28</f>
        <v>without CL</v>
      </c>
      <c r="AE24" s="3" t="str">
        <f>$Z$28</f>
        <v>without CL</v>
      </c>
      <c r="AF24" s="3" t="str">
        <f>$Z$28</f>
        <v>without CL</v>
      </c>
      <c r="AG24" s="3" t="str">
        <f>$Z$28</f>
        <v>without CL</v>
      </c>
    </row>
    <row r="25" spans="2:34" s="33" customFormat="1" ht="15.75" hidden="1" x14ac:dyDescent="0.25">
      <c r="F25" s="32"/>
      <c r="G25" s="3"/>
      <c r="H25" s="3"/>
      <c r="I25" s="3" t="str">
        <f>$I$29</f>
        <v>2024-25</v>
      </c>
      <c r="J25" s="3" t="str">
        <f>$I$29</f>
        <v>2024-25</v>
      </c>
      <c r="K25" s="3"/>
      <c r="L25" s="3" t="str">
        <f>$L$29</f>
        <v>2025-26</v>
      </c>
      <c r="M25" s="3" t="str">
        <f>$L$29</f>
        <v>2025-26</v>
      </c>
      <c r="N25" s="3" t="str">
        <f>$L$29</f>
        <v>2025-26</v>
      </c>
      <c r="O25" s="3" t="str">
        <f>$L$29</f>
        <v>2025-26</v>
      </c>
      <c r="P25" s="3"/>
      <c r="Q25" s="3"/>
      <c r="R25" s="3" t="str">
        <f>$R$29</f>
        <v>2024-25</v>
      </c>
      <c r="S25" s="3" t="str">
        <f>$R$29</f>
        <v>2024-25</v>
      </c>
      <c r="T25" s="3"/>
      <c r="U25" s="3" t="str">
        <f>$U$29</f>
        <v>2025-26</v>
      </c>
      <c r="V25" s="3" t="str">
        <f>$U$29</f>
        <v>2025-26</v>
      </c>
      <c r="W25" s="3" t="str">
        <f>$U$29</f>
        <v>2025-26</v>
      </c>
      <c r="X25" s="3" t="str">
        <f>$U$29</f>
        <v>2025-26</v>
      </c>
      <c r="Y25" s="3"/>
      <c r="Z25" s="3"/>
      <c r="AA25" s="3" t="str">
        <f>$AA$29</f>
        <v>2024-25</v>
      </c>
      <c r="AB25" s="3" t="str">
        <f>$AA$29</f>
        <v>2024-25</v>
      </c>
      <c r="AC25" s="3"/>
      <c r="AD25" s="3" t="str">
        <f>$AD$29</f>
        <v>2025-26</v>
      </c>
      <c r="AE25" s="3" t="str">
        <f>$AD$29</f>
        <v>2025-26</v>
      </c>
      <c r="AF25" s="3" t="str">
        <f>$AD$29</f>
        <v>2025-26</v>
      </c>
      <c r="AG25" s="3" t="str">
        <f>$AD$29</f>
        <v>2025-26</v>
      </c>
    </row>
    <row r="26" spans="2:34" s="33" customFormat="1" ht="15.75" x14ac:dyDescent="0.25">
      <c r="F26" s="32" t="s">
        <v>43</v>
      </c>
      <c r="G26" s="89" t="s">
        <v>129</v>
      </c>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2:34" s="33" customFormat="1" x14ac:dyDescent="0.25">
      <c r="F27" s="469" t="s">
        <v>32</v>
      </c>
      <c r="G27" s="73"/>
      <c r="H27" s="465" t="s">
        <v>6</v>
      </c>
      <c r="I27" s="465"/>
      <c r="J27" s="465"/>
      <c r="K27" s="465"/>
      <c r="L27" s="465"/>
      <c r="M27" s="465"/>
      <c r="N27" s="465"/>
      <c r="O27" s="465"/>
      <c r="P27" s="39"/>
      <c r="Q27" s="465" t="s">
        <v>6</v>
      </c>
      <c r="R27" s="465"/>
      <c r="S27" s="465"/>
      <c r="T27" s="465"/>
      <c r="U27" s="465"/>
      <c r="V27" s="465"/>
      <c r="W27" s="465"/>
      <c r="X27" s="465"/>
      <c r="Y27" s="39"/>
      <c r="Z27" s="465" t="s">
        <v>77</v>
      </c>
      <c r="AA27" s="465"/>
      <c r="AB27" s="465"/>
      <c r="AC27" s="465"/>
      <c r="AD27" s="465"/>
      <c r="AE27" s="465"/>
      <c r="AF27" s="465"/>
      <c r="AG27" s="465"/>
    </row>
    <row r="28" spans="2:34" ht="15.75" thickBot="1" x14ac:dyDescent="0.3">
      <c r="F28" s="469"/>
      <c r="G28" s="73"/>
      <c r="H28" s="466" t="s">
        <v>127</v>
      </c>
      <c r="I28" s="466"/>
      <c r="J28" s="466"/>
      <c r="K28" s="466"/>
      <c r="L28" s="466"/>
      <c r="M28" s="466"/>
      <c r="N28" s="466"/>
      <c r="O28" s="466"/>
      <c r="P28" s="39"/>
      <c r="Q28" s="466" t="s">
        <v>128</v>
      </c>
      <c r="R28" s="466"/>
      <c r="S28" s="466"/>
      <c r="T28" s="466"/>
      <c r="U28" s="466"/>
      <c r="V28" s="466"/>
      <c r="W28" s="466"/>
      <c r="X28" s="466"/>
      <c r="Y28" s="39"/>
      <c r="Z28" s="466" t="s">
        <v>127</v>
      </c>
      <c r="AA28" s="466"/>
      <c r="AB28" s="466"/>
      <c r="AC28" s="466"/>
      <c r="AD28" s="466"/>
      <c r="AE28" s="466"/>
      <c r="AF28" s="466"/>
      <c r="AG28" s="466"/>
    </row>
    <row r="29" spans="2:34" ht="15" customHeight="1" thickTop="1" x14ac:dyDescent="0.25">
      <c r="F29" s="469"/>
      <c r="G29" s="74"/>
      <c r="H29" s="39" t="s">
        <v>67</v>
      </c>
      <c r="I29" s="467" t="str">
        <f>PY</f>
        <v>2024-25</v>
      </c>
      <c r="J29" s="467"/>
      <c r="K29" s="39"/>
      <c r="L29" s="467" t="str">
        <f>FY</f>
        <v>2025-26</v>
      </c>
      <c r="M29" s="467"/>
      <c r="N29" s="467"/>
      <c r="O29" s="467"/>
      <c r="P29" s="39"/>
      <c r="Q29" s="39" t="s">
        <v>67</v>
      </c>
      <c r="R29" s="467" t="str">
        <f>PY</f>
        <v>2024-25</v>
      </c>
      <c r="S29" s="467"/>
      <c r="T29" s="39"/>
      <c r="U29" s="467" t="str">
        <f>FY</f>
        <v>2025-26</v>
      </c>
      <c r="V29" s="467"/>
      <c r="W29" s="467"/>
      <c r="X29" s="467"/>
      <c r="Y29" s="39"/>
      <c r="Z29" s="39" t="s">
        <v>67</v>
      </c>
      <c r="AA29" s="467" t="str">
        <f>PY</f>
        <v>2024-25</v>
      </c>
      <c r="AB29" s="467"/>
      <c r="AC29" s="39"/>
      <c r="AD29" s="467" t="str">
        <f>FY</f>
        <v>2025-26</v>
      </c>
      <c r="AE29" s="467"/>
      <c r="AF29" s="467"/>
      <c r="AG29" s="467"/>
    </row>
    <row r="30" spans="2:34" ht="25.5" x14ac:dyDescent="0.25">
      <c r="F30" s="469"/>
      <c r="G30" s="74"/>
      <c r="H30" s="154"/>
      <c r="I30" s="155" t="s">
        <v>21</v>
      </c>
      <c r="J30" s="155" t="s">
        <v>23</v>
      </c>
      <c r="K30" s="155"/>
      <c r="L30" s="155" t="s">
        <v>20</v>
      </c>
      <c r="M30" s="156" t="s">
        <v>160</v>
      </c>
      <c r="N30" s="155" t="s">
        <v>21</v>
      </c>
      <c r="O30" s="155" t="s">
        <v>23</v>
      </c>
      <c r="P30" s="155"/>
      <c r="Q30" s="155"/>
      <c r="R30" s="155" t="s">
        <v>21</v>
      </c>
      <c r="S30" s="155" t="s">
        <v>23</v>
      </c>
      <c r="T30" s="155"/>
      <c r="U30" s="155" t="s">
        <v>20</v>
      </c>
      <c r="V30" s="156" t="s">
        <v>50</v>
      </c>
      <c r="W30" s="155" t="s">
        <v>21</v>
      </c>
      <c r="X30" s="155" t="s">
        <v>23</v>
      </c>
      <c r="Y30" s="155"/>
      <c r="Z30" s="155"/>
      <c r="AA30" s="155" t="s">
        <v>21</v>
      </c>
      <c r="AB30" s="155" t="s">
        <v>23</v>
      </c>
      <c r="AC30" s="155"/>
      <c r="AD30" s="155" t="s">
        <v>20</v>
      </c>
      <c r="AE30" s="156" t="s">
        <v>50</v>
      </c>
      <c r="AF30" s="155" t="s">
        <v>21</v>
      </c>
      <c r="AG30" s="155" t="s">
        <v>23</v>
      </c>
    </row>
    <row r="31" spans="2:34" ht="15" customHeight="1" x14ac:dyDescent="0.25">
      <c r="F31" s="469"/>
      <c r="G31" s="74"/>
      <c r="H31" s="155" t="s">
        <v>68</v>
      </c>
      <c r="I31" s="155" t="s">
        <v>45</v>
      </c>
      <c r="J31" s="155" t="s">
        <v>27</v>
      </c>
      <c r="K31" s="155"/>
      <c r="L31" s="155" t="s">
        <v>27</v>
      </c>
      <c r="M31" s="155" t="s">
        <v>27</v>
      </c>
      <c r="N31" s="155" t="s">
        <v>45</v>
      </c>
      <c r="O31" s="155" t="s">
        <v>27</v>
      </c>
      <c r="P31" s="155"/>
      <c r="Q31" s="155"/>
      <c r="R31" s="155" t="s">
        <v>45</v>
      </c>
      <c r="S31" s="155" t="s">
        <v>27</v>
      </c>
      <c r="T31" s="155"/>
      <c r="U31" s="155" t="s">
        <v>27</v>
      </c>
      <c r="V31" s="155" t="s">
        <v>27</v>
      </c>
      <c r="W31" s="155" t="s">
        <v>45</v>
      </c>
      <c r="X31" s="155" t="s">
        <v>27</v>
      </c>
      <c r="Y31" s="155"/>
      <c r="Z31" s="155"/>
      <c r="AA31" s="155" t="s">
        <v>45</v>
      </c>
      <c r="AB31" s="155" t="s">
        <v>27</v>
      </c>
      <c r="AC31" s="155"/>
      <c r="AD31" s="155" t="s">
        <v>27</v>
      </c>
      <c r="AE31" s="155" t="s">
        <v>27</v>
      </c>
      <c r="AF31" s="155" t="s">
        <v>45</v>
      </c>
      <c r="AG31" s="155" t="s">
        <v>27</v>
      </c>
    </row>
    <row r="32" spans="2:34" ht="15" customHeight="1" x14ac:dyDescent="0.25">
      <c r="F32" s="44" t="str">
        <f>"DMO "&amp;PY&amp;" price"</f>
        <v>DMO 2024-25 price</v>
      </c>
      <c r="G32" s="44"/>
      <c r="H32" s="157">
        <f t="array" ref="H32">INDEX('Detail inputs'!$B$3:$K$195,MATCH($B$6&amp;H$27&amp;H$28&amp;H$29,'Detail inputs'!$B$3:$B$195&amp;'Detail inputs'!$D$3:$D$195&amp;'Detail inputs'!$E$3:$E$195&amp;'Detail inputs'!$F$3:$F$195&amp;'Detail inputs'!$G$3:$G$195,0),MATCH(I$29,'Detail inputs'!$B$3:$K$3,0))</f>
        <v>2230</v>
      </c>
      <c r="I32" s="158"/>
      <c r="J32" s="158"/>
      <c r="K32" s="158"/>
      <c r="L32" s="158"/>
      <c r="M32" s="158"/>
      <c r="N32" s="158"/>
      <c r="O32" s="158"/>
      <c r="P32" s="158"/>
      <c r="Q32" s="157">
        <f t="array" ref="Q32">INDEX('Detail inputs'!$B$3:$K$195,MATCH($B$6&amp;Q$27&amp;Q$28&amp;Q$29,'Detail inputs'!$B$3:$B$195&amp;'Detail inputs'!$D$3:$D$195&amp;'Detail inputs'!$E$3:$E$195&amp;'Detail inputs'!$F$3:$F$195&amp;'Detail inputs'!$G$3:$G$195,0),MATCH(R$29,'Detail inputs'!$B$3:$K$3,0))</f>
        <v>2760</v>
      </c>
      <c r="R32" s="157"/>
      <c r="S32" s="158"/>
      <c r="T32" s="158"/>
      <c r="U32" s="158"/>
      <c r="V32" s="158"/>
      <c r="W32" s="159"/>
      <c r="X32" s="158"/>
      <c r="Y32" s="159"/>
      <c r="Z32" s="157">
        <f t="array" ref="Z32">INDEX('Detail inputs'!$B$3:$K$195,MATCH($B$6&amp;Z$27&amp;Z$28&amp;Z$29,'Detail inputs'!$B$3:$B$195&amp;'Detail inputs'!$D$3:$D$195&amp;'Detail inputs'!$E$3:$E$195&amp;'Detail inputs'!$F$3:$F$195&amp;'Detail inputs'!$G$3:$G$195,0),MATCH(AA$29,'Detail inputs'!$B$3:$K$3,0))</f>
        <v>5352</v>
      </c>
      <c r="AA32" s="157"/>
      <c r="AB32" s="158"/>
      <c r="AC32" s="158"/>
      <c r="AD32" s="158"/>
      <c r="AE32" s="158"/>
      <c r="AF32" s="158"/>
      <c r="AG32" s="158"/>
    </row>
    <row r="33" spans="2:33" ht="15" customHeight="1" x14ac:dyDescent="0.25">
      <c r="F33" s="45" t="s">
        <v>62</v>
      </c>
      <c r="G33" s="45"/>
      <c r="H33" s="159"/>
      <c r="I33" s="157">
        <f t="array" aca="1" ref="I33" ca="1">INDEX(INDIRECT("'"&amp;$F33&amp;"'!$B$3:$T$300"),MATCH($B$6&amp;H$27&amp;H$28&amp;"Total inc GST",INDIRECT("'"&amp;$F33&amp;"'!$B$3:$B$300")&amp;INDIRECT("'"&amp;$F33&amp;"'!$C$3:$C$300")&amp;INDIRECT("'"&amp;$F33&amp;"'!$D$3:$D$300")&amp;INDIRECT("'"&amp;$F33&amp;"'!$G$3:$G$300"),0),MATCH(I$29&amp;I$30,INDIRECT("'"&amp;$F33&amp;"'!$B$4:$T$4")&amp;INDIRECT("'"&amp;$F33&amp;"'!$B$5:$T$5"),0))</f>
        <v>922.34395000000006</v>
      </c>
      <c r="J33" s="158">
        <f t="shared" ref="J33:J36" ca="1" si="0">I33/H$32</f>
        <v>0.41360715246636776</v>
      </c>
      <c r="K33" s="158"/>
      <c r="L33" s="160">
        <f t="array" aca="1" ref="L33" ca="1">INDEX(INDIRECT("'"&amp;$F33&amp;"'!$B$3:$T$300"),MATCH($B$6&amp;H$27&amp;H$28&amp;"Total inc GST",INDIRECT("'"&amp;$F33&amp;"'!$B$3:$B$300")&amp;INDIRECT("'"&amp;$F33&amp;"'!$C$3:$C$300")&amp;INDIRECT("'"&amp;$F33&amp;"'!$D$3:$D$300")&amp;INDIRECT("'"&amp;$F33&amp;"'!$G$3:$G$300"),0),MATCH(L$29&amp;L$30,INDIRECT("'"&amp;$F33&amp;"'!$B$4:$T$4")&amp;INDIRECT("'"&amp;$F33&amp;"'!$B$5:$T$5"),0))</f>
        <v>-2.7487095244490445E-2</v>
      </c>
      <c r="M33" s="160">
        <f ca="1">(N33-I33)/H32</f>
        <v>-1.1368859193645515E-2</v>
      </c>
      <c r="N33" s="157">
        <f t="array" aca="1" ref="N33" ca="1">INDEX(INDIRECT("'"&amp;$F33&amp;"'!$B$3:$T$300"),MATCH($B$6&amp;H$27&amp;H$28&amp;"Total inc GST",INDIRECT("'"&amp;$F33&amp;"'!$B$3:$B$300")&amp;INDIRECT("'"&amp;$F33&amp;"'!$C$3:$C$300")&amp;INDIRECT("'"&amp;$F33&amp;"'!$D$3:$D$300")&amp;INDIRECT("'"&amp;$F33&amp;"'!$G$3:$G$300"),0),MATCH(L$29&amp;N$30,INDIRECT("'"&amp;$F33&amp;"'!$B$4:$T$4")&amp;INDIRECT("'"&amp;$F33&amp;"'!$B$5:$T$5"),0))</f>
        <v>896.99139399817057</v>
      </c>
      <c r="O33" s="158">
        <f ca="1">N33/H$38</f>
        <v>0.38982676836078684</v>
      </c>
      <c r="P33" s="258"/>
      <c r="Q33" s="158"/>
      <c r="R33" s="157">
        <f t="array" aca="1" ref="R33" ca="1">INDEX(INDIRECT("'"&amp;$F33&amp;"'!$B$3:$T$300"),MATCH($B$6&amp;Q$27&amp;Q$28&amp;"Total inc GST",INDIRECT("'"&amp;$F33&amp;"'!$B$3:$B$300")&amp;INDIRECT("'"&amp;$F33&amp;"'!$C$3:$C$300")&amp;INDIRECT("'"&amp;$F33&amp;"'!$D$3:$D$300")&amp;INDIRECT("'"&amp;$F33&amp;"'!$G$3:$G$300"),0),MATCH(R$29&amp;R$30,INDIRECT("'"&amp;$F33&amp;"'!$B$4:$T$4")&amp;INDIRECT("'"&amp;$F33&amp;"'!$B$5:$T$5"),0))</f>
        <v>1105.11995</v>
      </c>
      <c r="S33" s="158">
        <f t="shared" ref="S33:S37" ca="1" si="1">R33/Q$32</f>
        <v>0.40040577898550728</v>
      </c>
      <c r="T33" s="158"/>
      <c r="U33" s="160">
        <f t="array" aca="1" ref="U33" ca="1">INDEX(INDIRECT("'"&amp;$F33&amp;"'!$B$3:$T$300"),MATCH($B$6&amp;Q$27&amp;Q$28&amp;"Total inc GST",INDIRECT("'"&amp;$F33&amp;"'!$B$3:$B$300")&amp;INDIRECT("'"&amp;$F33&amp;"'!$C$3:$C$300")&amp;INDIRECT("'"&amp;$F33&amp;"'!$D$3:$D$300")&amp;INDIRECT("'"&amp;$F33&amp;"'!$G$3:$G$300"),0),MATCH(U$29&amp;U$30,INDIRECT("'"&amp;$F33&amp;"'!$B$4:$T$4")&amp;INDIRECT("'"&amp;$F33&amp;"'!$B$5:$T$5"),0))</f>
        <v>-2.9371070535673116E-2</v>
      </c>
      <c r="V33" s="160">
        <f ca="1">(W33-R33)/Q32</f>
        <v>-1.1760346377474454E-2</v>
      </c>
      <c r="W33" s="157">
        <f t="array" aca="1" ref="W33" ca="1">INDEX(INDIRECT("'"&amp;$F33&amp;"'!$B$3:$T$300"),MATCH($B$6&amp;Q$27&amp;Q$28&amp;"Total inc GST",INDIRECT("'"&amp;$F33&amp;"'!$B$3:$B$300")&amp;INDIRECT("'"&amp;$F33&amp;"'!$C$3:$C$300")&amp;INDIRECT("'"&amp;$F33&amp;"'!$D$3:$D$300")&amp;INDIRECT("'"&amp;$F33&amp;"'!$G$3:$G$300"),0),MATCH(U$29&amp;W$30,INDIRECT("'"&amp;$F33&amp;"'!$B$4:$T$4")&amp;INDIRECT("'"&amp;$F33&amp;"'!$B$5:$T$5"),0))</f>
        <v>1072.6613939981705</v>
      </c>
      <c r="X33" s="158">
        <f ca="1">W33/Q$38</f>
        <v>0.3798376041070009</v>
      </c>
      <c r="Y33" s="159"/>
      <c r="Z33" s="159"/>
      <c r="AA33" s="157">
        <f t="array" aca="1" ref="AA33" ca="1">INDEX(INDIRECT("'"&amp;$F33&amp;"'!$B$3:$T$300"),MATCH($B$6&amp;Z$27&amp;Z$28&amp;"Total inc GST",INDIRECT("'"&amp;$F33&amp;"'!$B$3:$B$300")&amp;INDIRECT("'"&amp;$F33&amp;"'!$C$3:$C$300")&amp;INDIRECT("'"&amp;$F33&amp;"'!$D$3:$D$300")&amp;INDIRECT("'"&amp;$F33&amp;"'!$G$3:$G$300"),0),MATCH(AA$29&amp;AA$30,INDIRECT("'"&amp;$F33&amp;"'!$B$4:$T$4")&amp;INDIRECT("'"&amp;$F33&amp;"'!$B$5:$T$5"),0))</f>
        <v>2206.44985</v>
      </c>
      <c r="AB33" s="158">
        <f t="shared" ref="AB33:AB37" ca="1" si="2">AA33/Z$32</f>
        <v>0.41226641442451417</v>
      </c>
      <c r="AC33" s="158"/>
      <c r="AD33" s="160">
        <f t="array" aca="1" ref="AD33" ca="1">INDEX(INDIRECT("'"&amp;$F33&amp;"'!$B$3:$T$300"),MATCH($B$6&amp;Z$27&amp;Z$28&amp;"Total inc GST",INDIRECT("'"&amp;$F33&amp;"'!$B$3:$B$300")&amp;INDIRECT("'"&amp;$F33&amp;"'!$C$3:$C$300")&amp;INDIRECT("'"&amp;$F33&amp;"'!$D$3:$D$300")&amp;INDIRECT("'"&amp;$F33&amp;"'!$G$3:$G$300"),0),MATCH(AD$29&amp;AD$30,INDIRECT("'"&amp;$F33&amp;"'!$B$4:$T$4")&amp;INDIRECT("'"&amp;$F33&amp;"'!$B$5:$T$5"),0))</f>
        <v>3.4229898062144493E-2</v>
      </c>
      <c r="AE33" s="160">
        <f ca="1">(AF33-AA33)/Z32</f>
        <v>1.4111837340196928E-2</v>
      </c>
      <c r="AF33" s="157">
        <f t="array" aca="1" ref="AF33" ca="1">INDEX(INDIRECT("'"&amp;$F33&amp;"'!$B$3:$T$300"),MATCH($B$6&amp;Z$27&amp;Z$28&amp;"Total inc GST",INDIRECT("'"&amp;$F33&amp;"'!$B$3:$B$300")&amp;INDIRECT("'"&amp;$F33&amp;"'!$C$3:$C$300")&amp;INDIRECT("'"&amp;$F33&amp;"'!$D$3:$D$300")&amp;INDIRECT("'"&amp;$F33&amp;"'!$G$3:$G$300"),0),MATCH(AD$29&amp;AF$30,INDIRECT("'"&amp;$F33&amp;"'!$B$4:$T$4")&amp;INDIRECT("'"&amp;$F33&amp;"'!$B$5:$T$5"),0))</f>
        <v>2281.9764034447339</v>
      </c>
      <c r="AG33" s="158">
        <f ca="1">AF33/Z$38</f>
        <v>0.41183475969044109</v>
      </c>
    </row>
    <row r="34" spans="2:33" ht="15" customHeight="1" x14ac:dyDescent="0.25">
      <c r="F34" s="45" t="s">
        <v>63</v>
      </c>
      <c r="G34" s="45"/>
      <c r="H34" s="159"/>
      <c r="I34" s="157">
        <f t="array" aca="1" ref="I34" ca="1">INDEX(INDIRECT("'"&amp;$F34&amp;"'!$B$3:$T$300"),MATCH($B$6&amp;H$27&amp;H$28&amp;"Total inc GST",INDIRECT("'"&amp;$F34&amp;"'!$B$3:$B$300")&amp;INDIRECT("'"&amp;$F34&amp;"'!$C$3:$C$300")&amp;INDIRECT("'"&amp;$F34&amp;"'!$D$3:$D$300")&amp;INDIRECT("'"&amp;$F34&amp;"'!$G$3:$G$300"),0),MATCH(I$29&amp;I$30,INDIRECT("'"&amp;$F34&amp;"'!$B$4:$T$4")&amp;INDIRECT("'"&amp;$F34&amp;"'!$B$5:$T$5"),0))</f>
        <v>805.77435242857121</v>
      </c>
      <c r="J34" s="158">
        <f t="shared" ca="1" si="0"/>
        <v>0.36133379032671353</v>
      </c>
      <c r="K34" s="158"/>
      <c r="L34" s="160">
        <f t="array" aca="1" ref="L34" ca="1">INDEX(INDIRECT("'"&amp;$F34&amp;"'!$B$3:$T$300"),MATCH($B$6&amp;H$27&amp;H$28&amp;"Total inc GST",INDIRECT("'"&amp;$F34&amp;"'!$B$3:$B$300")&amp;INDIRECT("'"&amp;$F34&amp;"'!$C$3:$C$300")&amp;INDIRECT("'"&amp;$F34&amp;"'!$D$3:$D$300")&amp;INDIRECT("'"&amp;$F34&amp;"'!$G$3:$G$300"),0),MATCH(L$29&amp;L$30,INDIRECT("'"&amp;$F34&amp;"'!$B$4:$T$4")&amp;INDIRECT("'"&amp;$F34&amp;"'!$B$5:$T$5"),0))</f>
        <v>6.5806172986848654E-2</v>
      </c>
      <c r="M34" s="160">
        <f ca="1">(N34-I34)/H32</f>
        <v>2.3777993912233442E-2</v>
      </c>
      <c r="N34" s="157">
        <f t="array" aca="1" ref="N34" ca="1">INDEX(INDIRECT("'"&amp;$F34&amp;"'!$B$3:$T$300"),MATCH($B$6&amp;H$27&amp;H$28&amp;"Total inc GST",INDIRECT("'"&amp;$F34&amp;"'!$B$3:$B$300")&amp;INDIRECT("'"&amp;$F34&amp;"'!$C$3:$C$300")&amp;INDIRECT("'"&amp;$F34&amp;"'!$D$3:$D$300")&amp;INDIRECT("'"&amp;$F34&amp;"'!$G$3:$G$300"),0),MATCH(L$29&amp;N$30,INDIRECT("'"&amp;$F34&amp;"'!$B$4:$T$4")&amp;INDIRECT("'"&amp;$F34&amp;"'!$B$5:$T$5"),0))</f>
        <v>858.79927885285178</v>
      </c>
      <c r="O34" s="158">
        <f ca="1">N34/H$38</f>
        <v>0.37322871745017461</v>
      </c>
      <c r="P34" s="258"/>
      <c r="Q34" s="158"/>
      <c r="R34" s="157">
        <f t="array" aca="1" ref="R34" ca="1">INDEX(INDIRECT("'"&amp;$F34&amp;"'!$B$3:$T$300"),MATCH($B$6&amp;Q$27&amp;Q$28&amp;"Total inc GST",INDIRECT("'"&amp;$F34&amp;"'!$B$3:$B$300")&amp;INDIRECT("'"&amp;$F34&amp;"'!$C$3:$C$300")&amp;INDIRECT("'"&amp;$F34&amp;"'!$D$3:$D$300")&amp;INDIRECT("'"&amp;$F34&amp;"'!$G$3:$G$300"),0),MATCH(R$29&amp;R$30,INDIRECT("'"&amp;$F34&amp;"'!$B$4:$T$4")&amp;INDIRECT("'"&amp;$F34&amp;"'!$B$5:$T$5"),0))</f>
        <v>1072.0471504285711</v>
      </c>
      <c r="S34" s="158">
        <f t="shared" ca="1" si="1"/>
        <v>0.38842288059006197</v>
      </c>
      <c r="T34" s="158"/>
      <c r="U34" s="160">
        <f t="array" aca="1" ref="U34" ca="1">INDEX(INDIRECT("'"&amp;$F34&amp;"'!$B$3:$T$300"),MATCH($B$6&amp;Q$27&amp;Q$28&amp;"Total inc GST",INDIRECT("'"&amp;$F34&amp;"'!$B$3:$B$300")&amp;INDIRECT("'"&amp;$F34&amp;"'!$C$3:$C$300")&amp;INDIRECT("'"&amp;$F34&amp;"'!$D$3:$D$300")&amp;INDIRECT("'"&amp;$F34&amp;"'!$G$3:$G$300"),0),MATCH(U$29&amp;U$30,INDIRECT("'"&amp;$F34&amp;"'!$B$4:$T$4")&amp;INDIRECT("'"&amp;$F34&amp;"'!$B$5:$T$5"),0))</f>
        <v>6.2416638675318659E-2</v>
      </c>
      <c r="V34" s="160">
        <f ca="1">(W34-R34)/Q32</f>
        <v>2.4244050591016319E-2</v>
      </c>
      <c r="W34" s="157">
        <f t="array" aca="1" ref="W34" ca="1">INDEX(INDIRECT("'"&amp;$F34&amp;"'!$B$3:$T$300"),MATCH($B$6&amp;Q$27&amp;Q$28&amp;"Total inc GST",INDIRECT("'"&amp;$F34&amp;"'!$B$3:$B$300")&amp;INDIRECT("'"&amp;$F34&amp;"'!$C$3:$C$300")&amp;INDIRECT("'"&amp;$F34&amp;"'!$D$3:$D$300")&amp;INDIRECT("'"&amp;$F34&amp;"'!$G$3:$G$300"),0),MATCH(U$29&amp;W$30,INDIRECT("'"&amp;$F34&amp;"'!$B$4:$T$4")&amp;INDIRECT("'"&amp;$F34&amp;"'!$B$5:$T$5"),0))</f>
        <v>1138.9607300597761</v>
      </c>
      <c r="X34" s="158">
        <f ca="1">W34/Q$38</f>
        <v>0.40331470611181874</v>
      </c>
      <c r="Y34" s="159"/>
      <c r="Z34" s="159"/>
      <c r="AA34" s="157">
        <f t="array" aca="1" ref="AA34" ca="1">INDEX(INDIRECT("'"&amp;$F34&amp;"'!$B$3:$T$300"),MATCH($B$6&amp;Z$27&amp;Z$28&amp;"Total inc GST",INDIRECT("'"&amp;$F34&amp;"'!$B$3:$B$300")&amp;INDIRECT("'"&amp;$F34&amp;"'!$C$3:$C$300")&amp;INDIRECT("'"&amp;$F34&amp;"'!$D$3:$D$300")&amp;INDIRECT("'"&amp;$F34&amp;"'!$G$3:$G$300"),0),MATCH(AA$29&amp;AA$30,INDIRECT("'"&amp;$F34&amp;"'!$B$4:$T$4")&amp;INDIRECT("'"&amp;$F34&amp;"'!$B$5:$T$5"),0))</f>
        <v>1994.7913464285712</v>
      </c>
      <c r="AB34" s="158">
        <f t="shared" ca="1" si="2"/>
        <v>0.37271886144031596</v>
      </c>
      <c r="AC34" s="158"/>
      <c r="AD34" s="160">
        <f t="array" aca="1" ref="AD34" ca="1">INDEX(INDIRECT("'"&amp;$F34&amp;"'!$B$3:$T$300"),MATCH($B$6&amp;Z$27&amp;Z$28&amp;"Total inc GST",INDIRECT("'"&amp;$F34&amp;"'!$B$3:$B$300")&amp;INDIRECT("'"&amp;$F34&amp;"'!$C$3:$C$300")&amp;INDIRECT("'"&amp;$F34&amp;"'!$D$3:$D$300")&amp;INDIRECT("'"&amp;$F34&amp;"'!$G$3:$G$300"),0),MATCH(AD$29&amp;AD$30,INDIRECT("'"&amp;$F34&amp;"'!$B$4:$T$4")&amp;INDIRECT("'"&amp;$F34&amp;"'!$B$5:$T$5"),0))</f>
        <v>6.4858261047338717E-2</v>
      </c>
      <c r="AE34" s="160">
        <f ca="1">(AF34-AA34)/Z32</f>
        <v>2.417389721256288E-2</v>
      </c>
      <c r="AF34" s="157">
        <f t="array" aca="1" ref="AF34" ca="1">INDEX(INDIRECT("'"&amp;$F34&amp;"'!$B$3:$T$300"),MATCH($B$6&amp;Z$27&amp;Z$28&amp;"Total inc GST",INDIRECT("'"&amp;$F34&amp;"'!$B$3:$B$300")&amp;INDIRECT("'"&amp;$F34&amp;"'!$C$3:$C$300")&amp;INDIRECT("'"&amp;$F34&amp;"'!$D$3:$D$300")&amp;INDIRECT("'"&amp;$F34&amp;"'!$G$3:$G$300"),0),MATCH(AD$29&amp;AF$30,INDIRECT("'"&amp;$F34&amp;"'!$B$4:$T$4")&amp;INDIRECT("'"&amp;$F34&amp;"'!$B$5:$T$5"),0))</f>
        <v>2124.1700443102077</v>
      </c>
      <c r="AG34" s="158">
        <f ca="1">AF34/Z$38</f>
        <v>0.38335499807078283</v>
      </c>
    </row>
    <row r="35" spans="2:33" ht="15" customHeight="1" x14ac:dyDescent="0.25">
      <c r="F35" s="45" t="s">
        <v>64</v>
      </c>
      <c r="G35" s="45"/>
      <c r="H35" s="159"/>
      <c r="I35" s="157" cm="1">
        <f t="array" aca="1" ref="I35" ca="1">INDEX(INDIRECT("'"&amp;$F35&amp;"'!$B$3:$T$300"),MATCH($B$6&amp;H$27&amp;H$28&amp;"Total inc GST",INDIRECT("'"&amp;$F35&amp;"'!$B$3:$B$300")&amp;INDIRECT("'"&amp;$F35&amp;"'!$C$3:$C$300")&amp;INDIRECT("'"&amp;$F35&amp;"'!$D$3:$D$300")&amp;INDIRECT("'"&amp;$F35&amp;"'!$G$3:$G$300"),0),MATCH(I$29&amp;I$30,INDIRECT("'"&amp;$F35&amp;"'!$B$4:$T$4")&amp;INDIRECT("'"&amp;$F35&amp;"'!$B$5:$T$5"),0))</f>
        <v>97.504000000000005</v>
      </c>
      <c r="J35" s="158">
        <f t="shared" ca="1" si="0"/>
        <v>4.3723766816143497E-2</v>
      </c>
      <c r="K35" s="158"/>
      <c r="L35" s="160">
        <f t="array" aca="1" ref="L35" ca="1">INDEX(INDIRECT("'"&amp;$F35&amp;"'!$B$3:$T$300"),MATCH($B$6&amp;H$27&amp;H$28&amp;"Total inc GST",INDIRECT("'"&amp;$F35&amp;"'!$B$3:$B$300")&amp;INDIRECT("'"&amp;$F35&amp;"'!$C$3:$C$300")&amp;INDIRECT("'"&amp;$F35&amp;"'!$D$3:$D$300")&amp;INDIRECT("'"&amp;$F35&amp;"'!$G$3:$G$300"),0),MATCH(L$29&amp;L$30,INDIRECT("'"&amp;$F35&amp;"'!$B$4:$T$4")&amp;INDIRECT("'"&amp;$F35&amp;"'!$B$5:$T$5"),0))</f>
        <v>-0.25903782711919621</v>
      </c>
      <c r="M35" s="160">
        <f ca="1">(N35-I35)/H32</f>
        <v>-1.1326109549520227E-2</v>
      </c>
      <c r="N35" s="157" cm="1">
        <f t="array" aca="1" ref="N35" ca="1">INDEX(INDIRECT("'"&amp;$F35&amp;"'!$B$3:$T$300"),MATCH($B$6&amp;H$27&amp;H$28&amp;"Total inc GST",INDIRECT("'"&amp;$F35&amp;"'!$B$3:$B$300")&amp;INDIRECT("'"&amp;$F35&amp;"'!$C$3:$C$300")&amp;INDIRECT("'"&amp;$F35&amp;"'!$D$3:$D$300")&amp;INDIRECT("'"&amp;$F35&amp;"'!$G$3:$G$300"),0),MATCH(L$29&amp;N$30,INDIRECT("'"&amp;$F35&amp;"'!$B$4:$T$4")&amp;INDIRECT("'"&amp;$F35&amp;"'!$B$5:$T$5"),0))</f>
        <v>72.246775704569899</v>
      </c>
      <c r="O35" s="158">
        <f ca="1">N35/H$38</f>
        <v>3.1397990310547547E-2</v>
      </c>
      <c r="P35" s="258"/>
      <c r="Q35" s="158"/>
      <c r="R35" s="157">
        <f t="array" aca="1" ref="R35" ca="1">INDEX(INDIRECT("'"&amp;$F35&amp;"'!$B$3:$T$300"),MATCH($B$6&amp;Q$27&amp;Q$28&amp;"Total inc GST",INDIRECT("'"&amp;$F35&amp;"'!$B$3:$B$300")&amp;INDIRECT("'"&amp;$F35&amp;"'!$C$3:$C$300")&amp;INDIRECT("'"&amp;$F35&amp;"'!$D$3:$D$300")&amp;INDIRECT("'"&amp;$F35&amp;"'!$G$3:$G$300"),0),MATCH(R$29&amp;R$30,INDIRECT("'"&amp;$F35&amp;"'!$B$4:$T$4")&amp;INDIRECT("'"&amp;$F35&amp;"'!$B$5:$T$5"),0))</f>
        <v>146.256</v>
      </c>
      <c r="S35" s="158">
        <f t="shared" ca="1" si="1"/>
        <v>5.299130434782609E-2</v>
      </c>
      <c r="T35" s="158"/>
      <c r="U35" s="160">
        <f t="array" aca="1" ref="U35" ca="1">INDEX(INDIRECT("'"&amp;$F35&amp;"'!$B$3:$T$300"),MATCH($B$6&amp;Q$27&amp;Q$28&amp;"Total inc GST",INDIRECT("'"&amp;$F35&amp;"'!$B$3:$B$300")&amp;INDIRECT("'"&amp;$F35&amp;"'!$C$3:$C$300")&amp;INDIRECT("'"&amp;$F35&amp;"'!$D$3:$D$300")&amp;INDIRECT("'"&amp;$F35&amp;"'!$G$3:$G$300"),0),MATCH(U$29&amp;U$30,INDIRECT("'"&amp;$F35&amp;"'!$B$4:$T$4")&amp;INDIRECT("'"&amp;$F35&amp;"'!$B$5:$T$5"),0))</f>
        <v>-0.25903782711919621</v>
      </c>
      <c r="V35" s="160">
        <f ca="1">(W35-R35)/Q32</f>
        <v>-1.3726752334472887E-2</v>
      </c>
      <c r="W35" s="157">
        <f t="array" aca="1" ref="W35" ca="1">INDEX(INDIRECT("'"&amp;$F35&amp;"'!$B$3:$T$300"),MATCH($B$6&amp;Q$27&amp;Q$28&amp;"Total inc GST",INDIRECT("'"&amp;$F35&amp;"'!$B$3:$B$300")&amp;INDIRECT("'"&amp;$F35&amp;"'!$C$3:$C$300")&amp;INDIRECT("'"&amp;$F35&amp;"'!$D$3:$D$300")&amp;INDIRECT("'"&amp;$F35&amp;"'!$G$3:$G$300"),0),MATCH(U$29&amp;W$30,INDIRECT("'"&amp;$F35&amp;"'!$B$4:$T$4")&amp;INDIRECT("'"&amp;$F35&amp;"'!$B$5:$T$5"),0))</f>
        <v>108.37016355685483</v>
      </c>
      <c r="X35" s="158">
        <f ca="1">W35/Q$38</f>
        <v>3.8374703809084573E-2</v>
      </c>
      <c r="Y35" s="159"/>
      <c r="Z35" s="159"/>
      <c r="AA35" s="157">
        <f t="array" aca="1" ref="AA35" ca="1">INDEX(INDIRECT("'"&amp;$F35&amp;"'!$B$3:$T$300"),MATCH($B$6&amp;Z$27&amp;Z$28&amp;"Total inc GST",INDIRECT("'"&amp;$F35&amp;"'!$B$3:$B$300")&amp;INDIRECT("'"&amp;$F35&amp;"'!$C$3:$C$300")&amp;INDIRECT("'"&amp;$F35&amp;"'!$D$3:$D$300")&amp;INDIRECT("'"&amp;$F35&amp;"'!$G$3:$G$300"),0),MATCH(AA$29&amp;AA$30,INDIRECT("'"&amp;$F35&amp;"'!$B$4:$T$4")&amp;INDIRECT("'"&amp;$F35&amp;"'!$B$5:$T$5"),0))</f>
        <v>243.76</v>
      </c>
      <c r="AB35" s="158">
        <f t="shared" ca="1" si="2"/>
        <v>4.5545590433482809E-2</v>
      </c>
      <c r="AC35" s="158"/>
      <c r="AD35" s="160">
        <f t="array" aca="1" ref="AD35" ca="1">INDEX(INDIRECT("'"&amp;$F35&amp;"'!$B$3:$T$300"),MATCH($B$6&amp;Z$27&amp;Z$28&amp;"Total inc GST",INDIRECT("'"&amp;$F35&amp;"'!$B$3:$B$300")&amp;INDIRECT("'"&amp;$F35&amp;"'!$C$3:$C$300")&amp;INDIRECT("'"&amp;$F35&amp;"'!$D$3:$D$300")&amp;INDIRECT("'"&amp;$F35&amp;"'!$G$3:$G$300"),0),MATCH(AD$29&amp;AD$30,INDIRECT("'"&amp;$F35&amp;"'!$B$4:$T$4")&amp;INDIRECT("'"&amp;$F35&amp;"'!$B$5:$T$5"),0))</f>
        <v>-0.25903782711919621</v>
      </c>
      <c r="AE35" s="160">
        <f ca="1">(AF35-AA35)/Z32</f>
        <v>-1.1798030780750235E-2</v>
      </c>
      <c r="AF35" s="157">
        <f t="array" aca="1" ref="AF35" ca="1">INDEX(INDIRECT("'"&amp;$F35&amp;"'!$B$3:$T$300"),MATCH($B$6&amp;Z$27&amp;Z$28&amp;"Total inc GST",INDIRECT("'"&amp;$F35&amp;"'!$B$3:$B$300")&amp;INDIRECT("'"&amp;$F35&amp;"'!$C$3:$C$300")&amp;INDIRECT("'"&amp;$F35&amp;"'!$D$3:$D$300")&amp;INDIRECT("'"&amp;$F35&amp;"'!$G$3:$G$300"),0),MATCH(AD$29&amp;AF$30,INDIRECT("'"&amp;$F35&amp;"'!$B$4:$T$4")&amp;INDIRECT("'"&amp;$F35&amp;"'!$B$5:$T$5"),0))</f>
        <v>180.61693926142473</v>
      </c>
      <c r="AG35" s="158">
        <f ca="1">AF35/Z$38</f>
        <v>3.2596451770695672E-2</v>
      </c>
    </row>
    <row r="36" spans="2:33" ht="15" customHeight="1" x14ac:dyDescent="0.25">
      <c r="F36" s="45" t="s">
        <v>168</v>
      </c>
      <c r="G36" s="45"/>
      <c r="H36" s="159"/>
      <c r="I36" s="157" cm="1">
        <f t="array" aca="1" ref="I36" ca="1">INDEX(INDIRECT("'"&amp;$F36&amp;"'!$B$3:$T$300"),MATCH($B$6&amp;H$27&amp;H$28&amp;"Total inc GST",INDIRECT("'"&amp;$F36&amp;"'!$B$3:$B$300")&amp;INDIRECT("'"&amp;$F36&amp;"'!$C$3:$C$300")&amp;INDIRECT("'"&amp;$F36&amp;"'!$D$3:$D$300")&amp;INDIRECT("'"&amp;$F36&amp;"'!$G$3:$G$300"),0),MATCH(I$29&amp;I$30,INDIRECT("'"&amp;$F36&amp;"'!$B$4:$T$4")&amp;INDIRECT("'"&amp;$F36&amp;"'!$B$5:$T$5"),0))</f>
        <v>270.60522984000005</v>
      </c>
      <c r="J36" s="158">
        <f t="shared" ca="1" si="0"/>
        <v>0.12134763669955159</v>
      </c>
      <c r="K36" s="158"/>
      <c r="L36" s="160">
        <f ca="1">IFERROR((N36-I36)/I36,"New cost component")</f>
        <v>0.23602192417116344</v>
      </c>
      <c r="M36" s="160">
        <f ca="1">(N36-I36)/H32</f>
        <v>2.8640702707451456E-2</v>
      </c>
      <c r="N36" s="157" cm="1">
        <f t="array" aca="1" ref="N36" ca="1">INDEX(INDIRECT("'"&amp;$F36&amp;"'!$B$3:$T$300"),MATCH($B$6&amp;H$27&amp;H$28&amp;"Total inc GST",INDIRECT("'"&amp;$F36&amp;"'!$B$3:$B$300")&amp;INDIRECT("'"&amp;$F36&amp;"'!$C$3:$C$300")&amp;INDIRECT("'"&amp;$F36&amp;"'!$D$3:$D$300")&amp;INDIRECT("'"&amp;$F36&amp;"'!$G$3:$G$300"),0),MATCH(L$29&amp;N$30,INDIRECT("'"&amp;$F36&amp;"'!$B$4:$T$4")&amp;INDIRECT("'"&amp;$F36&amp;"'!$B$5:$T$5"),0))</f>
        <v>334.4739968776168</v>
      </c>
      <c r="O36" s="158">
        <f ca="1">N36/H$38</f>
        <v>0.14536027678297123</v>
      </c>
      <c r="P36" s="258"/>
      <c r="Q36" s="158"/>
      <c r="R36" s="157" cm="1">
        <f t="array" aca="1" ref="R36" ca="1">INDEX(INDIRECT("'"&amp;$F36&amp;"'!$B$3:$T$300"),MATCH($B$6&amp;Q$27&amp;Q$28&amp;"Total inc GST",INDIRECT("'"&amp;$F36&amp;"'!$B$3:$B$300")&amp;INDIRECT("'"&amp;$F36&amp;"'!$C$3:$C$300")&amp;INDIRECT("'"&amp;$F36&amp;"'!$D$3:$D$300")&amp;INDIRECT("'"&amp;$F36&amp;"'!$G$3:$G$300"),0),MATCH(R$29&amp;R$30,INDIRECT("'"&amp;$F36&amp;"'!$B$4:$T$4")&amp;INDIRECT("'"&amp;$F36&amp;"'!$B$5:$T$5"),0))</f>
        <v>270.60522984000005</v>
      </c>
      <c r="S36" s="158">
        <f t="shared" ca="1" si="1"/>
        <v>9.8045373130434807E-2</v>
      </c>
      <c r="T36" s="158"/>
      <c r="U36" s="160">
        <f ca="1">IFERROR((W36-R36)/R36,"New cost component")</f>
        <v>0.23602192417116344</v>
      </c>
      <c r="V36" s="160">
        <f ca="1">(W36-R36)/Q32</f>
        <v>2.3140857622324908E-2</v>
      </c>
      <c r="W36" s="157" cm="1">
        <f t="array" aca="1" ref="W36" ca="1">INDEX(INDIRECT("'"&amp;$F36&amp;"'!$B$3:$T$300"),MATCH($B$6&amp;Q$27&amp;Q$28&amp;"Total inc GST",INDIRECT("'"&amp;$F36&amp;"'!$B$3:$B$300")&amp;INDIRECT("'"&amp;$F36&amp;"'!$C$3:$C$300")&amp;INDIRECT("'"&amp;$F36&amp;"'!$D$3:$D$300")&amp;INDIRECT("'"&amp;$F36&amp;"'!$G$3:$G$300"),0),MATCH(U$29&amp;W$30,INDIRECT("'"&amp;$F36&amp;"'!$B$4:$T$4")&amp;INDIRECT("'"&amp;$F36&amp;"'!$B$5:$T$5"),0))</f>
        <v>334.4739968776168</v>
      </c>
      <c r="X36" s="158">
        <f ca="1">W36/Q$38</f>
        <v>0.11843980059405694</v>
      </c>
      <c r="Y36" s="159"/>
      <c r="Z36" s="159"/>
      <c r="AA36" s="157" cm="1">
        <f t="array" aca="1" ref="AA36" ca="1">INDEX(INDIRECT("'"&amp;$F36&amp;"'!$B$3:$T$300"),MATCH($B$6&amp;Z$27&amp;Z$28&amp;"Total inc GST",INDIRECT("'"&amp;$F36&amp;"'!$B$3:$B$300")&amp;INDIRECT("'"&amp;$F36&amp;"'!$C$3:$C$300")&amp;INDIRECT("'"&amp;$F36&amp;"'!$D$3:$D$300")&amp;INDIRECT("'"&amp;$F36&amp;"'!$G$3:$G$300"),0),MATCH(AA$29&amp;AA$30,INDIRECT("'"&amp;$F36&amp;"'!$B$4:$T$4")&amp;INDIRECT("'"&amp;$F36&amp;"'!$B$5:$T$5"),0))</f>
        <v>318.26898576000008</v>
      </c>
      <c r="AB36" s="158">
        <f t="shared" ca="1" si="2"/>
        <v>5.9467299282511224E-2</v>
      </c>
      <c r="AC36" s="158"/>
      <c r="AD36" s="160">
        <f ca="1">IFERROR((AF36-AA36)/AA36,"New cost component")</f>
        <v>8.3134461811715438E-2</v>
      </c>
      <c r="AE36" s="160">
        <f ca="1">(AF36-AA36)/Z32</f>
        <v>4.9437819212477824E-3</v>
      </c>
      <c r="AF36" s="157" cm="1">
        <f t="array" aca="1" ref="AF36" ca="1">INDEX(INDIRECT("'"&amp;$F36&amp;"'!$B$3:$T$300"),MATCH($B$6&amp;Z$27&amp;Z$28&amp;"Total inc GST",INDIRECT("'"&amp;$F36&amp;"'!$B$3:$B$300")&amp;INDIRECT("'"&amp;$F36&amp;"'!$C$3:$C$300")&amp;INDIRECT("'"&amp;$F36&amp;"'!$D$3:$D$300")&amp;INDIRECT("'"&amp;$F36&amp;"'!$G$3:$G$300"),0),MATCH(AD$29&amp;AF$30,INDIRECT("'"&amp;$F36&amp;"'!$B$4:$T$4")&amp;INDIRECT("'"&amp;$F36&amp;"'!$B$5:$T$5"),0))</f>
        <v>344.72810660251821</v>
      </c>
      <c r="AG36" s="158">
        <f ca="1">AF36/Z$38</f>
        <v>6.2214060025720663E-2</v>
      </c>
    </row>
    <row r="37" spans="2:33" ht="15" customHeight="1" x14ac:dyDescent="0.25">
      <c r="F37" s="45" t="s">
        <v>210</v>
      </c>
      <c r="G37" s="45"/>
      <c r="H37" s="159"/>
      <c r="I37" s="157">
        <f ca="1">SUM(I33:I36)/(1-SUMIFS('Detail inputs'!$I:$I,'Detail inputs'!$B:$B,$B$6,'Detail inputs'!$G:$G,$F$37,'Detail inputs'!$D:$D,$H$27,'Detail inputs'!$E:$E,$H28))-SUM(I33:I36)</f>
        <v>133.8017573788452</v>
      </c>
      <c r="J37" s="158">
        <f ca="1">I37/H$32</f>
        <v>6.0000788062262417E-2</v>
      </c>
      <c r="K37" s="158"/>
      <c r="L37" s="160">
        <f ca="1">IFERROR((N37-I37)/I37,"New cost component")</f>
        <v>3.1620571786357091E-2</v>
      </c>
      <c r="M37" s="160">
        <f ca="1">(N37-I37)/H32</f>
        <v>1.8972592261607662E-3</v>
      </c>
      <c r="N37" s="157">
        <f ca="1">SUM(N33:N36)/(1-SUMIFS('Detail inputs'!$J:$J,'Detail inputs'!$B:$B,$B$6,'Detail inputs'!$G:$G,$F$37,'Detail inputs'!$D:$D,$H$27,'Detail inputs'!$E:$E,$H28))-SUM(N33:N36)+IF(+Summary!AE65=1,+Summary!AC60,+Summary!AD60)</f>
        <v>138.0326454531837</v>
      </c>
      <c r="O37" s="158">
        <f ca="1">N37/H$38</f>
        <v>5.9988111887520082E-2</v>
      </c>
      <c r="P37" s="258"/>
      <c r="Q37" s="158"/>
      <c r="R37" s="157">
        <f ca="1">SUM(R33:R36)/(1-SUMIFS('Detail inputs'!$I:$I,'Detail inputs'!$B:$B,$B$6,'Detail inputs'!$G:$G,$F$37,'Detail inputs'!$D:$D,$Q$27,'Detail inputs'!$E:$E,$Q28))-SUM(R33:R36)</f>
        <v>165.57627640012151</v>
      </c>
      <c r="S37" s="158">
        <f t="shared" ca="1" si="1"/>
        <v>5.9991404492797648E-2</v>
      </c>
      <c r="T37" s="158"/>
      <c r="U37" s="160">
        <f ca="1">IFERROR((W37-R37)/R37,"New cost component")</f>
        <v>2.3298879784243113E-2</v>
      </c>
      <c r="V37" s="160">
        <f ca="1">(W37-R37)/Q32</f>
        <v>1.3977325213655946E-3</v>
      </c>
      <c r="W37" s="157">
        <f ca="1">SUM(W33:W36)/(1-SUMIFS('Detail inputs'!$J:$J,'Detail inputs'!$B:$B,$B$6,'Detail inputs'!$G:$G,$F$37,'Detail inputs'!$D:$D,$Q$27,'Detail inputs'!$E:$E,$Q28))-SUM(W33:W36)+IF(+Summary!AE65=1,+Summary!AC60,+Summary!AD60)</f>
        <v>169.43401815909056</v>
      </c>
      <c r="X37" s="158">
        <f ca="1">W37/Q$38</f>
        <v>5.9997881784380508E-2</v>
      </c>
      <c r="Y37" s="159"/>
      <c r="Z37" s="159"/>
      <c r="AA37" s="157">
        <f ca="1">SUM(AA33:AA36)/(1-SUMIFS('Detail inputs'!$I:$I,'Detail inputs'!$B:$B,$B$6,'Detail inputs'!$G:$G,$F$37,'Detail inputs'!$D:$D,$Z$27,'Detail inputs'!$E:$E,$Z28))-SUM(AA33:AA36)</f>
        <v>588.71878656263198</v>
      </c>
      <c r="AB37" s="158">
        <f t="shared" ca="1" si="2"/>
        <v>0.10999977327403437</v>
      </c>
      <c r="AC37" s="158"/>
      <c r="AD37" s="160">
        <f ca="1">IFERROR((AF37-AA37)/AA37,"New cost component")</f>
        <v>3.5316348851960735E-2</v>
      </c>
      <c r="AE37" s="160">
        <f ca="1">(AF37-AA37)/Z32</f>
        <v>3.8847903665823846E-3</v>
      </c>
      <c r="AF37" s="157">
        <f ca="1">SUM(AF33:AF36)/(1-SUMIFS('Detail inputs'!$J:$J,'Detail inputs'!$B:$B,$B$6,'Detail inputs'!$G:$G,$F$37,'Detail inputs'!$D:$D,$Z$27,'Detail inputs'!$E:$E,$Z28))-SUM(AF33:AF36)+IF(+Summary!AE65=1,+Summary!AC61,+Summary!AD61)</f>
        <v>609.5101846045809</v>
      </c>
      <c r="AG37" s="158">
        <f ca="1">AF37/Z$38</f>
        <v>0.11000003331611277</v>
      </c>
    </row>
    <row r="38" spans="2:33" ht="15.75" thickBot="1" x14ac:dyDescent="0.3">
      <c r="B38" s="72"/>
      <c r="F38" s="69" t="str">
        <f>"DMO "&amp;FY&amp;" price"</f>
        <v>DMO 2025-26 price</v>
      </c>
      <c r="G38" s="69"/>
      <c r="H38" s="161">
        <f ca="1">ROUND(SUM(N33:N37),0)</f>
        <v>2301</v>
      </c>
      <c r="I38" s="162"/>
      <c r="J38" s="162"/>
      <c r="K38" s="162"/>
      <c r="L38" s="162">
        <f ca="1">H38/H32-1</f>
        <v>3.183856502242155E-2</v>
      </c>
      <c r="M38" s="162"/>
      <c r="N38" s="162"/>
      <c r="O38" s="162"/>
      <c r="P38" s="259"/>
      <c r="Q38" s="161">
        <f ca="1">ROUND(SUM(W33:W37),0)</f>
        <v>2824</v>
      </c>
      <c r="R38" s="161"/>
      <c r="S38" s="162"/>
      <c r="T38" s="162"/>
      <c r="U38" s="162">
        <f ca="1">Q38/Q32-1</f>
        <v>2.3188405797101463E-2</v>
      </c>
      <c r="V38" s="162"/>
      <c r="W38" s="163"/>
      <c r="X38" s="163"/>
      <c r="Y38" s="163"/>
      <c r="Z38" s="161">
        <f ca="1">ROUND(SUM(AF33:AF37),0)</f>
        <v>5541</v>
      </c>
      <c r="AA38" s="161"/>
      <c r="AB38" s="162"/>
      <c r="AC38" s="162"/>
      <c r="AD38" s="162">
        <f ca="1">Z38/Z32-1</f>
        <v>3.5313901345291443E-2</v>
      </c>
      <c r="AE38" s="162"/>
      <c r="AF38" s="162"/>
      <c r="AG38" s="162"/>
    </row>
    <row r="39" spans="2:33" ht="15.75" thickTop="1" x14ac:dyDescent="0.25">
      <c r="F39" s="100"/>
      <c r="N39" s="86"/>
    </row>
    <row r="40" spans="2:33" x14ac:dyDescent="0.25">
      <c r="F40" s="89"/>
      <c r="H40" s="86"/>
      <c r="M40" s="187"/>
      <c r="N40" s="86"/>
      <c r="P40" s="203"/>
      <c r="Q40" s="86"/>
      <c r="W40" s="86"/>
      <c r="X40" s="189"/>
      <c r="Z40" s="86"/>
      <c r="AA40" s="86"/>
      <c r="AF40" s="86"/>
    </row>
    <row r="41" spans="2:33" x14ac:dyDescent="0.25">
      <c r="H41" s="86"/>
      <c r="I41" s="198"/>
      <c r="L41" s="224"/>
      <c r="M41" s="187"/>
      <c r="N41" s="70"/>
      <c r="O41" s="70"/>
      <c r="P41" s="70"/>
      <c r="Q41" s="70"/>
      <c r="R41" s="70"/>
      <c r="S41" s="70"/>
      <c r="T41" s="70"/>
      <c r="U41" s="70"/>
      <c r="V41" s="70"/>
      <c r="W41" s="70"/>
      <c r="X41" s="70"/>
      <c r="Z41" s="86"/>
      <c r="AA41" s="198"/>
      <c r="AF41" s="70"/>
    </row>
    <row r="42" spans="2:33" x14ac:dyDescent="0.25">
      <c r="F42" s="100"/>
      <c r="L42" s="224"/>
      <c r="M42" s="187"/>
      <c r="N42" s="70"/>
      <c r="O42" s="70"/>
      <c r="P42" s="70"/>
      <c r="Q42" s="70"/>
      <c r="R42" s="70"/>
      <c r="S42" s="70"/>
      <c r="T42" s="70"/>
      <c r="U42" s="70"/>
      <c r="V42" s="70"/>
      <c r="W42" s="70"/>
      <c r="X42" s="70"/>
      <c r="Z42" s="86"/>
      <c r="AF42" s="70"/>
    </row>
    <row r="43" spans="2:33" s="87" customFormat="1" x14ac:dyDescent="0.25">
      <c r="H43" s="88"/>
      <c r="L43" s="224"/>
      <c r="M43" s="187"/>
      <c r="N43" s="70"/>
      <c r="O43" s="70"/>
      <c r="P43" s="70"/>
      <c r="Q43" s="70"/>
      <c r="R43" s="70"/>
      <c r="S43" s="70"/>
      <c r="T43" s="70"/>
      <c r="U43" s="70"/>
      <c r="V43" s="70"/>
      <c r="W43" s="70"/>
      <c r="X43" s="70"/>
      <c r="AA43" s="88"/>
      <c r="AF43" s="70"/>
    </row>
    <row r="44" spans="2:33" x14ac:dyDescent="0.25">
      <c r="L44" s="224"/>
      <c r="M44" s="187"/>
      <c r="N44" s="70"/>
      <c r="O44" s="70"/>
      <c r="P44" s="70"/>
      <c r="Q44" s="70"/>
      <c r="R44" s="70"/>
      <c r="S44" s="70"/>
      <c r="T44" s="70"/>
      <c r="U44" s="70"/>
      <c r="V44" s="70"/>
      <c r="W44" s="70"/>
      <c r="X44" s="70"/>
      <c r="AF44" s="70"/>
    </row>
    <row r="45" spans="2:33" x14ac:dyDescent="0.25">
      <c r="L45" s="224"/>
      <c r="M45" s="187"/>
      <c r="N45" s="70"/>
      <c r="O45" s="70"/>
      <c r="P45" s="70"/>
      <c r="Q45" s="70"/>
      <c r="R45" s="70"/>
      <c r="S45" s="70"/>
      <c r="T45" s="70"/>
      <c r="U45" s="70"/>
      <c r="V45" s="70"/>
      <c r="W45" s="70"/>
      <c r="X45" s="70"/>
      <c r="AF45" s="70"/>
    </row>
    <row r="46" spans="2:33" x14ac:dyDescent="0.25">
      <c r="AF46" s="86"/>
      <c r="AG46" s="86"/>
    </row>
    <row r="47" spans="2:33" x14ac:dyDescent="0.25">
      <c r="H47" s="70"/>
      <c r="N47" s="86"/>
      <c r="Q47" s="86"/>
      <c r="Z47" s="86"/>
    </row>
  </sheetData>
  <sheetProtection algorithmName="SHA-256" hashValue="yPTyQu5123z+uk/LoFwSdsvnfAmQaSWeX0r8NdbFv+4=" saltValue="1ZAsjyceck5iu6up/JcFOQ==" spinCount="100000" sheet="1" formatCells="0" formatColumns="0" formatRows="0" insertColumns="0" insertRows="0" insertHyperlinks="0" deleteColumns="0" deleteRows="0" sort="0" autoFilter="0" pivotTables="0"/>
  <mergeCells count="15">
    <mergeCell ref="Z27:AG27"/>
    <mergeCell ref="H28:O28"/>
    <mergeCell ref="Q28:X28"/>
    <mergeCell ref="Z28:AG28"/>
    <mergeCell ref="I29:J29"/>
    <mergeCell ref="AA29:AB29"/>
    <mergeCell ref="AD29:AG29"/>
    <mergeCell ref="A1:B1"/>
    <mergeCell ref="B6:B7"/>
    <mergeCell ref="F27:F31"/>
    <mergeCell ref="H27:O27"/>
    <mergeCell ref="Q27:X27"/>
    <mergeCell ref="L29:O29"/>
    <mergeCell ref="R29:S29"/>
    <mergeCell ref="U29:X29"/>
  </mergeCells>
  <conditionalFormatting sqref="F38:M38 P38:V38 Y38:AE38">
    <cfRule type="expression" dxfId="270" priority="60">
      <formula>AND(MOD(ROW(),2)=0,F$30="Proportion",$F38="Overall change in costs (%)")</formula>
    </cfRule>
    <cfRule type="expression" dxfId="269" priority="61">
      <formula>AND(MOD(ROW(),1)=0,F$30="Proportion",$F38="Overall change in costs (%)")</formula>
    </cfRule>
  </conditionalFormatting>
  <conditionalFormatting sqref="F32:AG37">
    <cfRule type="expression" dxfId="268" priority="2">
      <formula>AND(MOD(ROW(),2)=0,F$30="Proportion",$F32="Overall change in costs (%)")</formula>
    </cfRule>
    <cfRule type="expression" dxfId="267" priority="3">
      <formula>AND(MOD(ROW(),1)=0,F$30="Proportion",$F32="Overall change in costs (%)")</formula>
    </cfRule>
  </conditionalFormatting>
  <conditionalFormatting sqref="F32:AG38">
    <cfRule type="expression" dxfId="266" priority="1">
      <formula>MOD(ROW(),2)=0</formula>
    </cfRule>
  </conditionalFormatting>
  <conditionalFormatting sqref="G43:K43">
    <cfRule type="cellIs" dxfId="265" priority="10" operator="equal">
      <formula>FALSE</formula>
    </cfRule>
    <cfRule type="cellIs" dxfId="264" priority="11" operator="equal">
      <formula>TRUE</formula>
    </cfRule>
  </conditionalFormatting>
  <conditionalFormatting sqref="N38 W38 AF38">
    <cfRule type="expression" dxfId="263" priority="66">
      <formula>AND(MOD(ROW(),2)=0,#REF!="Proportion",$F38="Overall change in costs (%)")</formula>
    </cfRule>
    <cfRule type="expression" dxfId="262" priority="67">
      <formula>AND(MOD(ROW(),1)=0,#REF!="Proportion",$F38="Overall change in costs (%)")</formula>
    </cfRule>
  </conditionalFormatting>
  <conditionalFormatting sqref="O38 X38 AG38">
    <cfRule type="expression" dxfId="261" priority="63">
      <formula>AND(MOD(ROW(),2)=0,N$30="Proportion",$F38="Overall change in costs (%)")</formula>
    </cfRule>
    <cfRule type="expression" dxfId="260" priority="64">
      <formula>AND(MOD(ROW(),1)=0,N$30="Proportion",$F38="Overall change in costs (%)")</formula>
    </cfRule>
  </conditionalFormatting>
  <conditionalFormatting sqref="Y43:AE43">
    <cfRule type="cellIs" dxfId="259" priority="14" operator="equal">
      <formula>FALSE</formula>
    </cfRule>
    <cfRule type="cellIs" dxfId="258" priority="15" operator="equal">
      <formula>TRUE</formula>
    </cfRule>
  </conditionalFormatting>
  <conditionalFormatting sqref="AG43">
    <cfRule type="cellIs" dxfId="257" priority="18" operator="equal">
      <formula>FALSE</formula>
    </cfRule>
    <cfRule type="cellIs" dxfId="256" priority="19" operator="equal">
      <formula>TRUE</formula>
    </cfRule>
  </conditionalFormatting>
  <hyperlinks>
    <hyperlink ref="A1" location="Index!A1" display="&lt;&lt;Back to Index" xr:uid="{6DADBC45-1FFB-4BC5-9011-514343227849}"/>
  </hyperlinks>
  <pageMargins left="0.7" right="0.7" top="0.75" bottom="0.75" header="0.3" footer="0.3"/>
  <pageSetup paperSize="9" orientation="portrait" r:id="rId1"/>
  <headerFooter>
    <oddHeader>&amp;C&amp;"Calibri"&amp;10&amp;KFF0000 OFFICIAL SENSITIVE&amp;1#_x000D_</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sheetPr>
  <dimension ref="F9:F14"/>
  <sheetViews>
    <sheetView workbookViewId="0">
      <selection activeCell="B2" sqref="B2"/>
    </sheetView>
  </sheetViews>
  <sheetFormatPr defaultColWidth="8.85546875" defaultRowHeight="15" x14ac:dyDescent="0.25"/>
  <cols>
    <col min="1" max="16384" width="8.85546875" style="3"/>
  </cols>
  <sheetData>
    <row r="9" spans="6:6" ht="36" x14ac:dyDescent="0.25">
      <c r="F9" s="2" t="s">
        <v>152</v>
      </c>
    </row>
    <row r="10" spans="6:6" ht="36" x14ac:dyDescent="0.25">
      <c r="F10" s="2" t="str">
        <f>"DMO "&amp;FY</f>
        <v>DMO 2025-26</v>
      </c>
    </row>
    <row r="11" spans="6:6" ht="23.25" x14ac:dyDescent="0.25">
      <c r="F11" s="4" t="s">
        <v>153</v>
      </c>
    </row>
    <row r="12" spans="6:6" ht="23.25" x14ac:dyDescent="0.25">
      <c r="F12" s="4"/>
    </row>
    <row r="13" spans="6:6" x14ac:dyDescent="0.25">
      <c r="F13" s="5"/>
    </row>
    <row r="14" spans="6:6" x14ac:dyDescent="0.25">
      <c r="F14" s="5"/>
    </row>
  </sheetData>
  <sheetProtection algorithmName="SHA-256" hashValue="VtQCGwRrtvwF645fyQAf0D/IDV4UKmroV+pnAxUcJDY=" saltValue="o4f/9vbyiatHXmGQgIK8lA==" spinCount="100000" sheet="1" formatCells="0" formatColumns="0" formatRows="0" insertColumns="0" insertRows="0" insertHyperlinks="0" deleteColumns="0" deleteRows="0" sort="0" autoFilter="0" pivotTables="0"/>
  <pageMargins left="0.7" right="0.7" top="0.75" bottom="0.75" header="0.3" footer="0.3"/>
  <headerFooter>
    <oddHeader>&amp;C&amp;"Calibri"&amp;10&amp;KFF0000 OFFICIAL SENSITIVE&amp;1#_x000D_</oddHead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sheetPr>
  <dimension ref="A1:AQ171"/>
  <sheetViews>
    <sheetView zoomScaleNormal="100" workbookViewId="0">
      <pane xSplit="7" ySplit="6" topLeftCell="I7" activePane="bottomRight" state="frozen"/>
      <selection pane="topRight" activeCell="H1" sqref="H1"/>
      <selection pane="bottomLeft" activeCell="A7" sqref="A7"/>
      <selection pane="bottomRight" sqref="A1:B1"/>
    </sheetView>
  </sheetViews>
  <sheetFormatPr defaultColWidth="8.85546875" defaultRowHeight="15" x14ac:dyDescent="0.25"/>
  <cols>
    <col min="1" max="1" width="1.85546875" style="3" customWidth="1"/>
    <col min="2" max="5" width="9.42578125" style="3" customWidth="1"/>
    <col min="6" max="6" width="9.85546875" style="19" customWidth="1"/>
    <col min="7" max="7" width="8.28515625" style="3" customWidth="1"/>
    <col min="8" max="10" width="10.85546875" style="60" customWidth="1"/>
    <col min="11" max="11" width="11.85546875" style="19" bestFit="1" customWidth="1"/>
    <col min="12" max="12" width="0.85546875" style="19" customWidth="1"/>
    <col min="13" max="13" width="10.85546875" style="19" customWidth="1"/>
    <col min="14" max="14" width="0.85546875" style="19" customWidth="1"/>
    <col min="15" max="17" width="10.85546875" style="60" customWidth="1"/>
    <col min="18" max="18" width="14.7109375" style="19" bestFit="1" customWidth="1"/>
    <col min="19" max="43" width="11.85546875" style="307" customWidth="1"/>
    <col min="44" max="16384" width="8.85546875" style="3"/>
  </cols>
  <sheetData>
    <row r="1" spans="1:43" ht="10.35" customHeight="1" x14ac:dyDescent="0.25">
      <c r="A1" s="430" t="s">
        <v>18</v>
      </c>
      <c r="B1" s="431"/>
    </row>
    <row r="2" spans="1:43" s="14" customFormat="1" ht="22.5" customHeight="1" x14ac:dyDescent="0.25">
      <c r="A2" s="15" t="s">
        <v>65</v>
      </c>
      <c r="F2" s="20"/>
      <c r="H2" s="61"/>
      <c r="I2" s="61"/>
      <c r="J2" s="61"/>
      <c r="K2" s="20"/>
      <c r="L2" s="20"/>
      <c r="M2" s="20"/>
      <c r="N2" s="20"/>
      <c r="O2" s="61"/>
      <c r="P2" s="61"/>
      <c r="Q2" s="61"/>
      <c r="R2" s="20"/>
      <c r="S2" s="20"/>
      <c r="T2" s="20"/>
      <c r="U2" s="20"/>
      <c r="V2" s="20"/>
      <c r="W2" s="20"/>
      <c r="X2" s="20"/>
      <c r="Y2" s="20"/>
      <c r="Z2" s="20"/>
      <c r="AA2" s="20"/>
      <c r="AB2" s="20"/>
      <c r="AC2" s="20"/>
      <c r="AD2" s="20"/>
      <c r="AE2" s="20"/>
      <c r="AF2" s="20"/>
      <c r="AG2" s="20"/>
      <c r="AH2" s="20"/>
      <c r="AI2" s="20"/>
      <c r="AJ2" s="20"/>
      <c r="AK2" s="20"/>
      <c r="AL2" s="20"/>
      <c r="AM2" s="20"/>
      <c r="AN2" s="20"/>
      <c r="AO2" s="20"/>
      <c r="AP2" s="20"/>
      <c r="AQ2" s="20"/>
    </row>
    <row r="3" spans="1:43" s="27" customFormat="1" x14ac:dyDescent="0.25">
      <c r="B3" s="28"/>
      <c r="C3" s="28"/>
      <c r="D3" s="28"/>
      <c r="E3" s="28"/>
      <c r="F3" s="41"/>
      <c r="G3" s="28"/>
      <c r="H3" s="470" t="str">
        <f>PY</f>
        <v>2024-25</v>
      </c>
      <c r="I3" s="470"/>
      <c r="J3" s="470"/>
      <c r="K3" s="470"/>
      <c r="L3" s="34"/>
      <c r="M3" s="38" t="str">
        <f>FY</f>
        <v>2025-26</v>
      </c>
      <c r="N3" s="34"/>
      <c r="O3" s="470" t="str">
        <f>FY</f>
        <v>2025-26</v>
      </c>
      <c r="P3" s="470"/>
      <c r="Q3" s="470"/>
      <c r="R3" s="470"/>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row>
    <row r="4" spans="1:43" s="27" customFormat="1" x14ac:dyDescent="0.25">
      <c r="B4" s="28"/>
      <c r="C4" s="28"/>
      <c r="D4" s="28"/>
      <c r="E4" s="28"/>
      <c r="F4" s="37" t="str">
        <f>$H$3</f>
        <v>2024-25</v>
      </c>
      <c r="G4" s="28"/>
      <c r="H4" s="62" t="str">
        <f>$H$3</f>
        <v>2024-25</v>
      </c>
      <c r="I4" s="62" t="str">
        <f>$H$3</f>
        <v>2024-25</v>
      </c>
      <c r="J4" s="62" t="str">
        <f>$H$3</f>
        <v>2024-25</v>
      </c>
      <c r="K4" s="37" t="str">
        <f>H3</f>
        <v>2024-25</v>
      </c>
      <c r="L4" s="37"/>
      <c r="M4" s="37" t="str">
        <f>FY</f>
        <v>2025-26</v>
      </c>
      <c r="N4" s="37"/>
      <c r="O4" s="226" t="str">
        <f>$O$3</f>
        <v>2025-26</v>
      </c>
      <c r="P4" s="62" t="str">
        <f>$O$3</f>
        <v>2025-26</v>
      </c>
      <c r="Q4" s="62" t="str">
        <f>$O$3</f>
        <v>2025-26</v>
      </c>
      <c r="R4" s="37" t="str">
        <f>O3</f>
        <v>2025-26</v>
      </c>
      <c r="S4" s="37"/>
      <c r="T4" s="37"/>
      <c r="U4" s="37"/>
      <c r="V4" s="37"/>
      <c r="W4" s="37"/>
      <c r="X4" s="37"/>
      <c r="Y4" s="37"/>
      <c r="Z4" s="37"/>
      <c r="AA4" s="37"/>
      <c r="AB4" s="37"/>
      <c r="AC4" s="37"/>
      <c r="AD4" s="37"/>
      <c r="AE4" s="37"/>
      <c r="AF4" s="37"/>
      <c r="AG4" s="37"/>
      <c r="AH4" s="37"/>
      <c r="AI4" s="37"/>
      <c r="AJ4" s="37"/>
      <c r="AK4" s="37"/>
      <c r="AL4" s="37"/>
      <c r="AM4" s="37"/>
      <c r="AN4" s="37"/>
      <c r="AO4" s="37"/>
      <c r="AP4" s="37"/>
      <c r="AQ4" s="37"/>
    </row>
    <row r="5" spans="1:43" s="5" customFormat="1" x14ac:dyDescent="0.25">
      <c r="B5" s="23" t="s">
        <v>1</v>
      </c>
      <c r="C5" s="23" t="s">
        <v>10</v>
      </c>
      <c r="D5" s="23" t="s">
        <v>22</v>
      </c>
      <c r="E5" s="23" t="s">
        <v>11</v>
      </c>
      <c r="F5" s="12" t="s">
        <v>24</v>
      </c>
      <c r="G5" s="23" t="s">
        <v>32</v>
      </c>
      <c r="H5" s="146" t="s">
        <v>46</v>
      </c>
      <c r="I5" s="146" t="s">
        <v>47</v>
      </c>
      <c r="J5" s="146" t="s">
        <v>21</v>
      </c>
      <c r="K5" s="133" t="s">
        <v>23</v>
      </c>
      <c r="L5" s="133"/>
      <c r="M5" s="133" t="s">
        <v>20</v>
      </c>
      <c r="N5" s="133"/>
      <c r="O5" s="146" t="s">
        <v>46</v>
      </c>
      <c r="P5" s="146" t="s">
        <v>47</v>
      </c>
      <c r="Q5" s="146" t="s">
        <v>21</v>
      </c>
      <c r="R5" s="133" t="s">
        <v>23</v>
      </c>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row>
    <row r="6" spans="1:43" s="29" customFormat="1" x14ac:dyDescent="0.25">
      <c r="B6" s="30"/>
      <c r="C6" s="30"/>
      <c r="D6" s="30"/>
      <c r="E6" s="30"/>
      <c r="F6" s="31" t="s">
        <v>53</v>
      </c>
      <c r="G6" s="30"/>
      <c r="H6" s="147" t="s">
        <v>68</v>
      </c>
      <c r="I6" s="147" t="s">
        <v>44</v>
      </c>
      <c r="J6" s="147" t="s">
        <v>45</v>
      </c>
      <c r="K6" s="148" t="s">
        <v>27</v>
      </c>
      <c r="L6" s="148"/>
      <c r="M6" s="148" t="s">
        <v>27</v>
      </c>
      <c r="N6" s="148"/>
      <c r="O6" s="147" t="s">
        <v>68</v>
      </c>
      <c r="P6" s="147" t="s">
        <v>44</v>
      </c>
      <c r="Q6" s="147" t="s">
        <v>45</v>
      </c>
      <c r="R6" s="148" t="s">
        <v>27</v>
      </c>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row>
    <row r="7" spans="1:43" x14ac:dyDescent="0.25">
      <c r="F7" s="131"/>
      <c r="H7" s="128"/>
      <c r="I7" s="128"/>
      <c r="J7" s="128"/>
      <c r="K7" s="143"/>
      <c r="L7" s="143"/>
      <c r="M7" s="143"/>
      <c r="N7" s="140"/>
      <c r="O7" s="128"/>
      <c r="P7" s="128"/>
      <c r="Q7" s="128"/>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row>
    <row r="8" spans="1:43" x14ac:dyDescent="0.25">
      <c r="B8" s="5" t="s">
        <v>2</v>
      </c>
      <c r="C8" s="5" t="s">
        <v>6</v>
      </c>
      <c r="D8" s="5" t="s">
        <v>127</v>
      </c>
      <c r="F8" s="131"/>
      <c r="H8" s="128"/>
      <c r="I8" s="128"/>
      <c r="J8" s="128"/>
      <c r="K8" s="143"/>
      <c r="L8" s="143"/>
      <c r="M8" s="143"/>
      <c r="N8" s="140"/>
      <c r="O8" s="128"/>
      <c r="P8" s="128"/>
      <c r="Q8" s="128"/>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row>
    <row r="9" spans="1:43" x14ac:dyDescent="0.25">
      <c r="B9" s="3" t="str">
        <f>B$8</f>
        <v>Ausgrid</v>
      </c>
      <c r="C9" s="3" t="str">
        <f t="shared" ref="C9:D13" si="0">C$8</f>
        <v>Residential</v>
      </c>
      <c r="D9" s="3" t="str">
        <f t="shared" si="0"/>
        <v>without CL</v>
      </c>
      <c r="E9" s="3" t="s">
        <v>19</v>
      </c>
      <c r="F9" s="131">
        <f t="array" ref="F9">IFERROR(INDEX(Usage!$B$5:$P$18,MATCH($B9,Usage!$B$5:$B$18,0),MATCH($C9&amp;$D9&amp;$E9,Usage!$B$5:$S$5&amp;Usage!$B$6:$S$6&amp;Usage!$B$7:$S$7,0)),0)</f>
        <v>3900</v>
      </c>
      <c r="G9" s="3" t="s">
        <v>57</v>
      </c>
      <c r="H9" s="128" cm="1">
        <f t="array" ref="H9">INDEX('Key inputs'!$C$17:$K$40,MATCH($B9&amp;$C9&amp;$E9,'Key inputs'!$C$17:$C$40&amp;'Key inputs'!$D$17:$D$40&amp;'Key inputs'!$E$17:$E$40,0),MATCH($G9&amp;H$4&amp;H$5,'Key inputs'!$C$18:$K$18&amp;'Key inputs'!$C$19:$K$19&amp;'Key inputs'!$C$20:$K$20,0))</f>
        <v>148.92910748817928</v>
      </c>
      <c r="I9" s="253">
        <f t="array" ref="I9">INDEX('Key inputs'!$C$17:$K$40,MATCH($B9&amp;$C9&amp;$E9,'Key inputs'!$C$17:$C$40&amp;'Key inputs'!$D$17:$D$40&amp;'Key inputs'!$E$17:$E$40,0),MATCH($G9&amp;I$4&amp;I$5,'Key inputs'!$C$18:$K$18&amp;'Key inputs'!$C$19:$K$19&amp;'Key inputs'!$C$20:$K$20,0))</f>
        <v>108.00791613311999</v>
      </c>
      <c r="J9" s="128">
        <f>H9+I9*+Usage!C36/1000</f>
        <v>570.15998040734723</v>
      </c>
      <c r="K9" s="143">
        <f>IFERROR(J9/J11,"")</f>
        <v>0.95496189451065083</v>
      </c>
      <c r="L9" s="143"/>
      <c r="M9" s="143">
        <f>IF(OR(J9=0,J9="",Q9=""),"",Q9/J9-1)</f>
        <v>8.682568399190993E-2</v>
      </c>
      <c r="N9" s="140"/>
      <c r="O9" s="128">
        <f t="array" ref="O9">INDEX('Key inputs'!$C$17:$K$40,MATCH($B9&amp;$C9&amp;$E9,'Key inputs'!$C$17:$C$40&amp;'Key inputs'!$D$17:$D$40&amp;'Key inputs'!$E$17:$E$40,0),MATCH($G9&amp;O$4&amp;O$5,'Key inputs'!$C$18:$K$18&amp;'Key inputs'!$C$19:$K$19&amp;'Key inputs'!$C$20:$K$20,0))</f>
        <v>163.36480830293462</v>
      </c>
      <c r="P9" s="128" cm="1">
        <f t="array" ref="P9">INDEX('Key inputs'!$C$17:$K$40,MATCH($B9&amp;$C9&amp;$E9,'Key inputs'!$C$17:$C$40&amp;'Key inputs'!$D$17:$D$40&amp;'Key inputs'!$E$17:$E$40,0),MATCH($G9&amp;P$4&amp;P$5,'Key inputs'!$C$18:$K$18&amp;'Key inputs'!$C$19:$K$19&amp;'Key inputs'!$C$20:$K$20,0))</f>
        <v>116.99992368925501</v>
      </c>
      <c r="Q9" s="128">
        <f>O9+P9*$F9/1000</f>
        <v>619.66451069102914</v>
      </c>
      <c r="R9" s="143">
        <f>IFERROR(Q9/Q11,"")</f>
        <v>0.95744776257724917</v>
      </c>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row>
    <row r="10" spans="1:43" x14ac:dyDescent="0.25">
      <c r="B10" s="3" t="str">
        <f t="shared" ref="B10:B13" si="1">B$8</f>
        <v>Ausgrid</v>
      </c>
      <c r="C10" s="3" t="str">
        <f t="shared" si="0"/>
        <v>Residential</v>
      </c>
      <c r="D10" s="3" t="str">
        <f t="shared" si="0"/>
        <v>without CL</v>
      </c>
      <c r="E10" s="3" t="s">
        <v>19</v>
      </c>
      <c r="F10" s="131">
        <f t="array" ref="F10">IFERROR(INDEX(Usage!$B$5:$P$18,MATCH($B10,Usage!$B$5:$B$18,0),MATCH($C10&amp;$D10&amp;$E10,Usage!$B$5:$S$5&amp;Usage!$B$6:$S$6&amp;Usage!$B$7:$S$7,0)),0)</f>
        <v>3900</v>
      </c>
      <c r="G10" s="3" t="s">
        <v>61</v>
      </c>
      <c r="H10" s="128" cm="1">
        <f t="array" ref="H10">INDEX('Key inputs'!$C$17:$K$40,MATCH($B10&amp;$C10&amp;$E10,'Key inputs'!$C$17:$C$40&amp;'Key inputs'!$D$17:$D$40&amp;'Key inputs'!$E$17:$E$40,0),MATCH($G10&amp;H$4&amp;H$5,'Key inputs'!$C$18:$K$18&amp;'Key inputs'!$C$19:$K$19&amp;'Key inputs'!$C$20:$K$20,0))</f>
        <v>26.89</v>
      </c>
      <c r="I10" s="128">
        <f>IFERROR(INDEX('Detail inputs'!$B$3:$K$195,MATCH($B10&amp;$C10&amp;$E10&amp;$G10&amp;I$5,'Detail inputs'!$B$3:$B$195&amp;'Detail inputs'!$D$3:$D$195&amp;'Detail inputs'!$F$3:$F$195&amp;'Detail inputs'!$G$3:$G$195&amp;'Detail inputs'!$H$3:$H$195,0),MATCH(I$4,'Detail inputs'!$B$3:$K$3,0)),0)</f>
        <v>0</v>
      </c>
      <c r="J10" s="128">
        <f>H10+I10*+Usage!C$36/1000</f>
        <v>26.89</v>
      </c>
      <c r="K10" s="143">
        <f>IFERROR(J10/J11,"")</f>
        <v>4.5038105489349237E-2</v>
      </c>
      <c r="L10" s="143"/>
      <c r="M10" s="143">
        <f>IF(OR(J10=0,J10="",Q10=""),"",Q10/J10-1)</f>
        <v>2.4172554853105099E-2</v>
      </c>
      <c r="N10" s="140"/>
      <c r="O10" s="128">
        <f t="array" ref="O10">INDEX('Key inputs'!$C$17:$K$40,MATCH($B10&amp;$C10&amp;$E10,'Key inputs'!$C$17:$C$40&amp;'Key inputs'!$D$17:$D$40&amp;'Key inputs'!$E$17:$E$40,0),MATCH($G10&amp;O$4&amp;O$5,'Key inputs'!$C$18:$K$18&amp;'Key inputs'!$C$19:$K$19&amp;'Key inputs'!$C$20:$K$20,0))</f>
        <v>27.54</v>
      </c>
      <c r="P10" s="128">
        <f>IFERROR(INDEX('Detail inputs'!$B$3:$K$195,MATCH($B10&amp;$C10&amp;$E10&amp;$G10&amp;P$5,'Detail inputs'!$B$3:$B$195&amp;'Detail inputs'!$D$3:$D$195&amp;'Detail inputs'!$F$3:$F$195&amp;'Detail inputs'!$G$3:$G$195&amp;'Detail inputs'!$H$3:$H$195,0),MATCH(P$4,'Detail inputs'!$B$3:$K$3,0)),0)</f>
        <v>0</v>
      </c>
      <c r="Q10" s="128">
        <f>O10+P10*$F10/1000</f>
        <v>27.54</v>
      </c>
      <c r="R10" s="143">
        <f>IFERROR(Q10/Q11,"")</f>
        <v>4.255223742275091E-2</v>
      </c>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row>
    <row r="11" spans="1:43" s="5" customFormat="1" x14ac:dyDescent="0.25">
      <c r="B11" s="3" t="str">
        <f t="shared" si="1"/>
        <v>Ausgrid</v>
      </c>
      <c r="C11" s="3" t="str">
        <f t="shared" si="0"/>
        <v>Residential</v>
      </c>
      <c r="D11" s="3" t="str">
        <f t="shared" si="0"/>
        <v>without CL</v>
      </c>
      <c r="E11" s="3" t="s">
        <v>19</v>
      </c>
      <c r="F11" s="131">
        <f t="array" ref="F11">IFERROR(INDEX(Usage!$B$5:$P$18,MATCH($B11,Usage!$B$5:$B$18,0),MATCH($C11&amp;$D11&amp;$E11,Usage!$B$5:$S$5&amp;Usage!$B$6:$S$6&amp;Usage!$B$7:$S$7,0)),0)</f>
        <v>3900</v>
      </c>
      <c r="G11" s="5" t="s">
        <v>55</v>
      </c>
      <c r="H11" s="130">
        <f>+H10+H9</f>
        <v>175.81910748817927</v>
      </c>
      <c r="I11" s="130">
        <f>+I10+I9</f>
        <v>108.00791613311999</v>
      </c>
      <c r="J11" s="130">
        <f>H11+I11*+Usage!C$36/1000</f>
        <v>597.04998040734722</v>
      </c>
      <c r="K11" s="145"/>
      <c r="L11" s="152"/>
      <c r="M11" s="145">
        <f t="shared" ref="M11:M13" si="2">IF(OR(J11=0,J11="",Q11=""),"",Q11/J11-1)</f>
        <v>8.4003905752518593E-2</v>
      </c>
      <c r="N11" s="150"/>
      <c r="O11" s="130">
        <f>+O10+O9</f>
        <v>190.90480830293461</v>
      </c>
      <c r="P11" s="130">
        <f>+P10+P9</f>
        <v>116.99992368925501</v>
      </c>
      <c r="Q11" s="130">
        <f>O11+P11*$F11/1000</f>
        <v>647.2045106910291</v>
      </c>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row>
    <row r="12" spans="1:43" s="5" customFormat="1" x14ac:dyDescent="0.25">
      <c r="B12" s="3" t="str">
        <f t="shared" si="1"/>
        <v>Ausgrid</v>
      </c>
      <c r="C12" s="3" t="str">
        <f t="shared" si="0"/>
        <v>Residential</v>
      </c>
      <c r="D12" s="3" t="str">
        <f t="shared" si="0"/>
        <v>without CL</v>
      </c>
      <c r="E12" s="3"/>
      <c r="F12" s="131"/>
      <c r="G12" s="3" t="s">
        <v>38</v>
      </c>
      <c r="H12" s="128"/>
      <c r="I12" s="128"/>
      <c r="J12" s="128">
        <f>J11*GST</f>
        <v>59.704998040734722</v>
      </c>
      <c r="K12" s="144"/>
      <c r="L12" s="151"/>
      <c r="M12" s="143">
        <f t="shared" si="2"/>
        <v>8.4003905752518593E-2</v>
      </c>
      <c r="N12" s="149"/>
      <c r="O12" s="128"/>
      <c r="P12" s="128"/>
      <c r="Q12" s="128">
        <f>Q11*GST</f>
        <v>64.720451069102907</v>
      </c>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row>
    <row r="13" spans="1:43" s="5" customFormat="1" x14ac:dyDescent="0.25">
      <c r="B13" s="3" t="str">
        <f t="shared" si="1"/>
        <v>Ausgrid</v>
      </c>
      <c r="C13" s="3" t="str">
        <f t="shared" si="0"/>
        <v>Residential</v>
      </c>
      <c r="D13" s="3" t="str">
        <f t="shared" si="0"/>
        <v>without CL</v>
      </c>
      <c r="E13" s="3"/>
      <c r="F13" s="131"/>
      <c r="G13" s="5" t="s">
        <v>80</v>
      </c>
      <c r="H13" s="130"/>
      <c r="I13" s="130"/>
      <c r="J13" s="130">
        <f>SUM(J11:J12)</f>
        <v>656.75497844808194</v>
      </c>
      <c r="K13" s="145"/>
      <c r="L13" s="152"/>
      <c r="M13" s="145">
        <f t="shared" si="2"/>
        <v>8.4003905752518593E-2</v>
      </c>
      <c r="N13" s="150"/>
      <c r="O13" s="130"/>
      <c r="P13" s="130"/>
      <c r="Q13" s="130">
        <f>SUM(Q11:Q12)</f>
        <v>711.92496176013196</v>
      </c>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row>
    <row r="14" spans="1:43" x14ac:dyDescent="0.25">
      <c r="F14" s="131"/>
      <c r="H14" s="128"/>
      <c r="I14" s="128"/>
      <c r="J14" s="128"/>
      <c r="K14" s="143"/>
      <c r="L14" s="151"/>
      <c r="M14" s="143"/>
      <c r="N14" s="149"/>
      <c r="O14" s="128"/>
      <c r="P14" s="128"/>
      <c r="Q14" s="128"/>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row>
    <row r="15" spans="1:43" x14ac:dyDescent="0.25">
      <c r="B15" s="5" t="s">
        <v>2</v>
      </c>
      <c r="C15" s="5" t="s">
        <v>6</v>
      </c>
      <c r="D15" s="5" t="s">
        <v>128</v>
      </c>
      <c r="F15" s="131"/>
      <c r="H15" s="128"/>
      <c r="I15" s="128"/>
      <c r="J15" s="128"/>
      <c r="K15" s="143"/>
      <c r="L15" s="151"/>
      <c r="M15" s="149"/>
      <c r="O15" s="128"/>
      <c r="P15" s="128"/>
      <c r="Q15" s="128"/>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row>
    <row r="16" spans="1:43" x14ac:dyDescent="0.25">
      <c r="B16" s="3" t="str">
        <f t="shared" ref="B16:D27" si="3">B$15</f>
        <v>Ausgrid</v>
      </c>
      <c r="C16" s="3" t="str">
        <f t="shared" si="3"/>
        <v>Residential</v>
      </c>
      <c r="D16" s="3" t="str">
        <f t="shared" si="3"/>
        <v>with CL</v>
      </c>
      <c r="E16" s="3" t="s">
        <v>19</v>
      </c>
      <c r="F16" s="131">
        <f t="array" ref="F16">IFERROR(INDEX(Usage!$B$5:$P$18,MATCH($B16,Usage!$B$5:$B$18,0),MATCH($C16&amp;$D16&amp;$E16,Usage!$B$5:$S$5&amp;Usage!$B$6:$S$6&amp;Usage!$B$7:$S$7,0)),0)</f>
        <v>4800</v>
      </c>
      <c r="G16" s="21" t="s">
        <v>57</v>
      </c>
      <c r="H16" s="128" cm="1">
        <f t="array" ref="H16">INDEX('Key inputs'!$C$17:$K$40,MATCH($B16&amp;$C16&amp;$E16,'Key inputs'!$C$17:$C$40&amp;'Key inputs'!$D$17:$D$40&amp;'Key inputs'!$E$17:$E$40,0),MATCH($G16&amp;H$4&amp;H$5,'Key inputs'!$C$18:$K$18&amp;'Key inputs'!$C$19:$K$19&amp;'Key inputs'!$C$20:$K$20,0))</f>
        <v>148.92910748817928</v>
      </c>
      <c r="I16" s="128">
        <f t="array" ref="I16">INDEX('Key inputs'!$C$17:$K$40,MATCH($B16&amp;$C16&amp;$E16,'Key inputs'!$C$17:$C$40&amp;'Key inputs'!$D$17:$D$40&amp;'Key inputs'!$E$17:$E$40,0),MATCH($G16&amp;I$4&amp;I$5,'Key inputs'!$C$18:$K$18&amp;'Key inputs'!$C$19:$K$19&amp;'Key inputs'!$C$20:$K$20,0))</f>
        <v>108.00791613311999</v>
      </c>
      <c r="J16" s="128">
        <f>H16+I16*+Usage!E36/1000</f>
        <v>667.3671049271552</v>
      </c>
      <c r="K16" s="143">
        <f>IFERROR(J16/J18,"")</f>
        <v>0.9612679512976372</v>
      </c>
      <c r="L16" s="143"/>
      <c r="M16" s="143">
        <f t="shared" ref="M16:M27" si="4">IF(OR(J16=0,J16="",Q16=""),"",Q16/J16-1)</f>
        <v>8.6305328295272377E-2</v>
      </c>
      <c r="N16" s="140"/>
      <c r="O16" s="128" cm="1">
        <f t="array" ref="O16">INDEX('Key inputs'!$C$17:$K$40,MATCH($B16&amp;$C16&amp;$E16,'Key inputs'!$C$17:$C$40&amp;'Key inputs'!$D$17:$D$40&amp;'Key inputs'!$E$17:$E$40,0),MATCH($G16&amp;O$4&amp;O$5,'Key inputs'!$C$18:$K$18&amp;'Key inputs'!$C$19:$K$19&amp;'Key inputs'!$C$20:$K$20,0))</f>
        <v>163.36480830293462</v>
      </c>
      <c r="P16" s="128">
        <f t="array" ref="P16">INDEX('Key inputs'!$C$17:$K$40,MATCH($B16&amp;$C16&amp;$E16,'Key inputs'!$C$17:$C$40&amp;'Key inputs'!$D$17:$D$40&amp;'Key inputs'!$E$17:$E$40,0),MATCH($G16&amp;P$4&amp;P$5,'Key inputs'!$C$18:$K$18&amp;'Key inputs'!$C$19:$K$19&amp;'Key inputs'!$C$20:$K$20,0))</f>
        <v>116.99992368925501</v>
      </c>
      <c r="Q16" s="128">
        <f>O16+P16*$F16/1000</f>
        <v>724.96444201135876</v>
      </c>
      <c r="R16" s="143">
        <f>IFERROR(Q16/Q18,"")</f>
        <v>0.96340220939242738</v>
      </c>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row>
    <row r="17" spans="2:43" x14ac:dyDescent="0.25">
      <c r="B17" s="3" t="str">
        <f t="shared" si="3"/>
        <v>Ausgrid</v>
      </c>
      <c r="C17" s="3" t="str">
        <f t="shared" si="3"/>
        <v>Residential</v>
      </c>
      <c r="D17" s="3" t="str">
        <f t="shared" si="3"/>
        <v>with CL</v>
      </c>
      <c r="E17" s="3" t="s">
        <v>19</v>
      </c>
      <c r="F17" s="131">
        <f t="array" ref="F17">IFERROR(INDEX(Usage!$B$5:$P$18,MATCH($B17,Usage!$B$5:$B$18,0),MATCH($C17&amp;$D17&amp;$E17,Usage!$B$5:$S$5&amp;Usage!$B$6:$S$6&amp;Usage!$B$7:$S$7,0)),0)</f>
        <v>4800</v>
      </c>
      <c r="G17" s="21" t="s">
        <v>61</v>
      </c>
      <c r="H17" s="128" cm="1">
        <f t="array" ref="H17">INDEX('Key inputs'!$C$17:$K$40,MATCH($B17&amp;$C17&amp;$E17,'Key inputs'!$C$17:$C$40&amp;'Key inputs'!$D$17:$D$40&amp;'Key inputs'!$E$17:$E$40,0),MATCH($G17&amp;H$4&amp;H$5,'Key inputs'!$C$18:$K$18&amp;'Key inputs'!$C$19:$K$19&amp;'Key inputs'!$C$20:$K$20,0))</f>
        <v>26.89</v>
      </c>
      <c r="I17" s="128">
        <f>IFERROR(INDEX('Detail inputs'!$B$3:$K$195,MATCH($B17&amp;$C17&amp;$E17&amp;$G17&amp;I$5,'Detail inputs'!$B$3:$B$195&amp;'Detail inputs'!$D$3:$D$195&amp;'Detail inputs'!$F$3:$F$195&amp;'Detail inputs'!$G$3:$G$195&amp;'Detail inputs'!$H$3:$H$195,0),MATCH(I$4,'Detail inputs'!$B$3:$K$3,0)),0)</f>
        <v>0</v>
      </c>
      <c r="J17" s="128">
        <f>H17+I17*+Usage!E$36/1000</f>
        <v>26.89</v>
      </c>
      <c r="K17" s="143">
        <f>IFERROR(J17/J18,"")</f>
        <v>3.873204870236284E-2</v>
      </c>
      <c r="L17" s="143"/>
      <c r="M17" s="143">
        <f t="shared" si="4"/>
        <v>2.4172554853105099E-2</v>
      </c>
      <c r="N17" s="140"/>
      <c r="O17" s="128">
        <f t="array" ref="O17">INDEX('Key inputs'!$C$17:$K$40,MATCH($B17&amp;$C17&amp;$E17,'Key inputs'!$C$17:$C$40&amp;'Key inputs'!$D$17:$D$40&amp;'Key inputs'!$E$17:$E$40,0),MATCH($G17&amp;O$4&amp;O$5,'Key inputs'!$C$18:$K$18&amp;'Key inputs'!$C$19:$K$19&amp;'Key inputs'!$C$20:$K$20,0))</f>
        <v>27.54</v>
      </c>
      <c r="P17" s="128">
        <f>IFERROR(INDEX('Detail inputs'!$B$3:$K$195,MATCH($B17&amp;$C17&amp;$E17&amp;$G17&amp;P$5,'Detail inputs'!$B$3:$B$195&amp;'Detail inputs'!$D$3:$D$195&amp;'Detail inputs'!$F$3:$F$195&amp;'Detail inputs'!$G$3:$G$195&amp;'Detail inputs'!$H$3:$H$195,0),MATCH(P$4,'Detail inputs'!$B$3:$K$3,0)),0)</f>
        <v>0</v>
      </c>
      <c r="Q17" s="128">
        <f>O17+P17*F$17/1000</f>
        <v>27.54</v>
      </c>
      <c r="R17" s="143">
        <f>IFERROR(Q17/Q18,"")</f>
        <v>3.6597790607572643E-2</v>
      </c>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row>
    <row r="18" spans="2:43" x14ac:dyDescent="0.25">
      <c r="B18" s="3" t="str">
        <f t="shared" si="3"/>
        <v>Ausgrid</v>
      </c>
      <c r="C18" s="3" t="str">
        <f t="shared" si="3"/>
        <v>Residential</v>
      </c>
      <c r="D18" s="3" t="str">
        <f t="shared" si="3"/>
        <v>with CL</v>
      </c>
      <c r="E18" s="3" t="s">
        <v>19</v>
      </c>
      <c r="F18" s="131">
        <f t="array" ref="F18">IFERROR(INDEX(Usage!$B$5:$P$18,MATCH($B18,Usage!$B$5:$B$18,0),MATCH($C18&amp;$D18&amp;$E18,Usage!$B$5:$S$5&amp;Usage!$B$6:$S$6&amp;Usage!$B$7:$S$7,0)),0)</f>
        <v>4800</v>
      </c>
      <c r="G18" s="5" t="s">
        <v>55</v>
      </c>
      <c r="H18" s="130">
        <f t="shared" ref="H18" si="5">SUM(H16:H17)</f>
        <v>175.81910748817927</v>
      </c>
      <c r="I18" s="130">
        <f>SUM(I16:I17)</f>
        <v>108.00791613311999</v>
      </c>
      <c r="J18" s="130">
        <f>H18+I18*+Usage!E$36/1000</f>
        <v>694.25710492715518</v>
      </c>
      <c r="K18" s="145"/>
      <c r="L18" s="152"/>
      <c r="M18" s="145">
        <f t="shared" si="4"/>
        <v>8.3898798688297305E-2</v>
      </c>
      <c r="N18" s="150"/>
      <c r="O18" s="130">
        <f>SUM(O16:O17)</f>
        <v>190.90480830293461</v>
      </c>
      <c r="P18" s="130">
        <f t="shared" ref="P18" si="6">SUM(P16:P17)</f>
        <v>116.99992368925501</v>
      </c>
      <c r="Q18" s="130">
        <f>O18+P18*F$17/1000</f>
        <v>752.50444201135872</v>
      </c>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row>
    <row r="19" spans="2:43" x14ac:dyDescent="0.25">
      <c r="B19" s="3" t="str">
        <f t="shared" si="3"/>
        <v>Ausgrid</v>
      </c>
      <c r="C19" s="3" t="str">
        <f t="shared" si="3"/>
        <v>Residential</v>
      </c>
      <c r="D19" s="3" t="str">
        <f t="shared" si="3"/>
        <v>with CL</v>
      </c>
      <c r="E19" s="3" t="s">
        <v>14</v>
      </c>
      <c r="F19" s="131" cm="1">
        <f t="array" ref="F19">IFERROR(INDEX(Usage!$B$5:$P$18,MATCH($B19,Usage!$B$5:$B$18,0),MATCH($C19&amp;$D19&amp;$E19,Usage!$B$5:$S$5&amp;Usage!$B$6:$S$6&amp;Usage!$B$7:$S$7,0)),0)</f>
        <v>1340</v>
      </c>
      <c r="G19" s="21" t="s">
        <v>57</v>
      </c>
      <c r="H19" s="128" cm="1">
        <f t="array" ref="H19">INDEX('Key inputs'!$C$17:$K$40,MATCH($B19&amp;$C19&amp;$E19,'Key inputs'!$C$17:$C$40&amp;'Key inputs'!$D$17:$D$40&amp;'Key inputs'!$E$17:$E$40,0),MATCH($G19&amp;H$4&amp;H$5,'Key inputs'!$C$18:$K$18&amp;'Key inputs'!$C$19:$K$19&amp;'Key inputs'!$C$20:$K$20,0))*INDEX(Usage!$B$4:$M$18,MATCH($B19,Usage!$B$4:$B$18,0),MATCH(IF($E19="CL1","CL1 Proportion","CL2 Proportion"),Usage!$B$8:$M$8,0))</f>
        <v>3.050783166293412</v>
      </c>
      <c r="I19" s="128">
        <f t="array" ref="I19">INDEX('Key inputs'!$C$17:$K$40,MATCH($B19&amp;$C19&amp;$E19,'Key inputs'!$C$17:$C$40&amp;'Key inputs'!$D$17:$D$40&amp;'Key inputs'!$E$17:$E$40,0),MATCH($G19&amp;I$4&amp;I$5,'Key inputs'!$C$18:$K$18&amp;'Key inputs'!$C$19:$K$19&amp;'Key inputs'!$C$20:$K$20,0))</f>
        <v>24.870291999999999</v>
      </c>
      <c r="J19" s="128">
        <f t="shared" ref="J19:J24" si="7">H19+I19*F19/1000</f>
        <v>36.37697444629341</v>
      </c>
      <c r="K19" s="143">
        <f>IFERROR(J19/J21,"")</f>
        <v>0.86052554670618941</v>
      </c>
      <c r="L19" s="143"/>
      <c r="M19" s="143">
        <f t="shared" si="4"/>
        <v>8.7998254472107851E-2</v>
      </c>
      <c r="N19" s="140"/>
      <c r="O19" s="128" cm="1">
        <f t="array" ref="O19">INDEX('Key inputs'!$C$17:$K$40,MATCH($B19&amp;$C19&amp;$E19,'Key inputs'!$C$17:$C$40&amp;'Key inputs'!$D$17:$D$40&amp;'Key inputs'!$E$17:$E$40,0),MATCH($G19&amp;O$4&amp;O$5,'Key inputs'!$C$18:$K$18&amp;'Key inputs'!$C$19:$K$19&amp;'Key inputs'!$C$20:$K$20,0))*INDEX(Usage!$B$4:$M$18,MATCH($B19,Usage!$B$4:$B$18,0),MATCH(IF($E19="CL1","CL1 Proportion","CL2 Proportion"),Usage!$B$8:$M$8,0))</f>
        <v>3.6295167329392779</v>
      </c>
      <c r="P19" s="128" cm="1">
        <f t="array" ref="P19">INDEX('Key inputs'!$C$17:$K$40,MATCH($B19&amp;$C19&amp;$E19,'Key inputs'!$C$17:$C$40&amp;'Key inputs'!$D$17:$D$40&amp;'Key inputs'!$E$17:$E$40,0),MATCH($G19&amp;P$4&amp;P$5,'Key inputs'!$C$18:$K$18&amp;'Key inputs'!$C$19:$K$19&amp;'Key inputs'!$C$20:$K$20,0))</f>
        <v>26.827289528063002</v>
      </c>
      <c r="Q19" s="128">
        <f t="shared" ref="Q19:Q24" si="8">O19+P19*$F19/1000</f>
        <v>39.578084700543705</v>
      </c>
      <c r="R19" s="143">
        <f>IFERROR(Q19/Q21,"")</f>
        <v>0.86765913640434111</v>
      </c>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row>
    <row r="20" spans="2:43" x14ac:dyDescent="0.25">
      <c r="B20" s="3" t="str">
        <f t="shared" si="3"/>
        <v>Ausgrid</v>
      </c>
      <c r="C20" s="3" t="str">
        <f t="shared" si="3"/>
        <v>Residential</v>
      </c>
      <c r="D20" s="3" t="str">
        <f t="shared" si="3"/>
        <v>with CL</v>
      </c>
      <c r="E20" s="3" t="s">
        <v>14</v>
      </c>
      <c r="F20" s="131">
        <f t="array" ref="F20">IFERROR(INDEX(Usage!$B$5:$P$18,MATCH($B20,Usage!$B$5:$B$18,0),MATCH($C20&amp;$D20&amp;$E20,Usage!$B$5:$S$5&amp;Usage!$B$6:$S$6&amp;Usage!$B$7:$S$7,0)),0)</f>
        <v>1340</v>
      </c>
      <c r="G20" s="21" t="s">
        <v>61</v>
      </c>
      <c r="H20" s="128" cm="1">
        <f t="array" ref="H20">INDEX('Key inputs'!$C$17:$K$40,MATCH($B20&amp;$C20&amp;$E20,'Key inputs'!$C$17:$C$40&amp;'Key inputs'!$D$17:$D$40&amp;'Key inputs'!$E$17:$E$40,0),MATCH($G20&amp;H$4&amp;H$5,'Key inputs'!$C$18:$K$18&amp;'Key inputs'!$C$19:$K$19&amp;'Key inputs'!$C$20:$K$20,0))*INDEX(Usage!$B$4:$M$18,MATCH($B20,Usage!$B$4:$B$18,0),MATCH(IF($E20="CL1","CL1 Proportion","CL2 Proportion"),Usage!$B$8:$M$8,0))</f>
        <v>5.8960000000000008</v>
      </c>
      <c r="I20" s="128">
        <f>IFERROR(INDEX('Detail inputs'!$B$3:$K$195,MATCH($B20&amp;$C20&amp;$E20&amp;$G20&amp;I$5,'Detail inputs'!$B$3:$B$195&amp;'Detail inputs'!$D$3:$D$195&amp;'Detail inputs'!$F$3:$F$195&amp;'Detail inputs'!$G$3:$G$195&amp;'Detail inputs'!$H$3:$H$195,0),MATCH(I$4,'Detail inputs'!$B$3:$K$3,0)),0)</f>
        <v>0</v>
      </c>
      <c r="J20" s="128">
        <f t="shared" si="7"/>
        <v>5.8960000000000008</v>
      </c>
      <c r="K20" s="143">
        <f>IFERROR(J20/J21,"")</f>
        <v>0.13947445329381064</v>
      </c>
      <c r="L20" s="143"/>
      <c r="M20" s="143">
        <f t="shared" si="4"/>
        <v>2.386363636363642E-2</v>
      </c>
      <c r="N20" s="140"/>
      <c r="O20" s="128" cm="1">
        <f t="array" ref="O20">INDEX('Key inputs'!$C$17:$K$40,MATCH($B20&amp;$C20&amp;$E20,'Key inputs'!$C$17:$C$40&amp;'Key inputs'!$D$17:$D$40&amp;'Key inputs'!$E$17:$E$40,0),MATCH($G20&amp;O$4&amp;O$5,'Key inputs'!$C$18:$K$18&amp;'Key inputs'!$C$19:$K$19&amp;'Key inputs'!$C$20:$K$20,0))*INDEX(Usage!$B$4:$M$18,MATCH($B20,Usage!$B$4:$B$18,0),MATCH(IF($E20="CL1","CL1 Proportion","CL2 Proportion"),Usage!$B$8:$M$8,0))</f>
        <v>6.0367000000000006</v>
      </c>
      <c r="P20" s="128">
        <f>IFERROR(INDEX('Detail inputs'!$B$3:$K$195,MATCH($B20&amp;$C20&amp;$E20&amp;$G20&amp;P$5,'Detail inputs'!$B$3:$B$195&amp;'Detail inputs'!$D$3:$D$195&amp;'Detail inputs'!$F$3:$F$195&amp;'Detail inputs'!$G$3:$G$195&amp;'Detail inputs'!$H$3:$H$195,0),MATCH(P$4,'Detail inputs'!$B$3:$K$3,0)),0)</f>
        <v>0</v>
      </c>
      <c r="Q20" s="128">
        <f t="shared" si="8"/>
        <v>6.0367000000000006</v>
      </c>
      <c r="R20" s="143">
        <f>IFERROR(Q20/Q21,"")</f>
        <v>0.13234086359565883</v>
      </c>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row>
    <row r="21" spans="2:43" x14ac:dyDescent="0.25">
      <c r="B21" s="3" t="str">
        <f t="shared" si="3"/>
        <v>Ausgrid</v>
      </c>
      <c r="C21" s="3" t="str">
        <f t="shared" si="3"/>
        <v>Residential</v>
      </c>
      <c r="D21" s="3" t="str">
        <f t="shared" si="3"/>
        <v>with CL</v>
      </c>
      <c r="E21" s="3" t="s">
        <v>14</v>
      </c>
      <c r="F21" s="131">
        <f t="array" ref="F21">IFERROR(INDEX(Usage!$B$5:$P$18,MATCH($B21,Usage!$B$5:$B$18,0),MATCH($C21&amp;$D21&amp;$E21,Usage!$B$5:$S$5&amp;Usage!$B$6:$S$6&amp;Usage!$B$7:$S$7,0)),0)</f>
        <v>1340</v>
      </c>
      <c r="G21" s="5" t="s">
        <v>55</v>
      </c>
      <c r="H21" s="130">
        <f t="shared" ref="H21:I21" si="9">SUM(H19:H20)</f>
        <v>8.9467831662934127</v>
      </c>
      <c r="I21" s="130">
        <f t="shared" si="9"/>
        <v>24.870291999999999</v>
      </c>
      <c r="J21" s="130">
        <f t="shared" si="7"/>
        <v>42.272974446293411</v>
      </c>
      <c r="K21" s="145"/>
      <c r="L21" s="152"/>
      <c r="M21" s="145">
        <f t="shared" si="4"/>
        <v>7.9053113674221631E-2</v>
      </c>
      <c r="N21" s="150"/>
      <c r="O21" s="130">
        <f t="shared" ref="O21:P21" si="10">SUM(O19:O20)</f>
        <v>9.6662167329392794</v>
      </c>
      <c r="P21" s="130">
        <f t="shared" si="10"/>
        <v>26.827289528063002</v>
      </c>
      <c r="Q21" s="130">
        <f t="shared" si="8"/>
        <v>45.614784700543709</v>
      </c>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row>
    <row r="22" spans="2:43" x14ac:dyDescent="0.25">
      <c r="B22" s="3" t="str">
        <f t="shared" si="3"/>
        <v>Ausgrid</v>
      </c>
      <c r="C22" s="3" t="str">
        <f t="shared" si="3"/>
        <v>Residential</v>
      </c>
      <c r="D22" s="3" t="str">
        <f t="shared" si="3"/>
        <v>with CL</v>
      </c>
      <c r="E22" s="3" t="s">
        <v>15</v>
      </c>
      <c r="F22" s="131">
        <f t="array" ref="F22">IFERROR(INDEX(Usage!$B$5:$P$18,MATCH($B22,Usage!$B$5:$B$18,0),MATCH($C22&amp;$D22&amp;$E22,Usage!$B$5:$S$5&amp;Usage!$B$6:$S$6&amp;Usage!$B$7:$S$7,0)),0)</f>
        <v>660</v>
      </c>
      <c r="G22" s="21" t="s">
        <v>57</v>
      </c>
      <c r="H22" s="128" cm="1">
        <f t="array" ref="H22">INDEX('Key inputs'!$C$17:$K$40,MATCH($B22&amp;$C22&amp;$E22,'Key inputs'!$C$17:$C$40&amp;'Key inputs'!$D$17:$D$40&amp;'Key inputs'!$E$17:$E$40,0),MATCH($G22&amp;H$4&amp;H$5,'Key inputs'!$C$18:$K$18&amp;'Key inputs'!$C$19:$K$19&amp;'Key inputs'!$C$20:$K$20,0))*INDEX(Usage!$B$4:$M$18,MATCH($B22,Usage!$B$4:$B$18,0),MATCH(IF($E22="CL1","CL1 Proportion","CL2 Proportion"),Usage!$B$8:$M$8,0))</f>
        <v>6.9824014546233597</v>
      </c>
      <c r="I22" s="128" cm="1">
        <f t="array" ref="I22">INDEX('Key inputs'!$C$17:$K$40,MATCH($B22&amp;$C22&amp;$E22,'Key inputs'!$C$17:$C$40&amp;'Key inputs'!$D$17:$D$40&amp;'Key inputs'!$E$17:$E$40,0),MATCH($G22&amp;I$4&amp;I$5,'Key inputs'!$C$18:$K$18&amp;'Key inputs'!$C$19:$K$19&amp;'Key inputs'!$C$20:$K$20,0))</f>
        <v>46.416697564079698</v>
      </c>
      <c r="J22" s="128">
        <f t="shared" si="7"/>
        <v>37.61742184691596</v>
      </c>
      <c r="K22" s="143">
        <f>IFERROR(J22/J24,"")</f>
        <v>0.92833420280830981</v>
      </c>
      <c r="L22" s="143"/>
      <c r="M22" s="143">
        <f t="shared" si="4"/>
        <v>6.1595099217349292E-2</v>
      </c>
      <c r="N22" s="140"/>
      <c r="O22" s="128" cm="1">
        <f t="array" ref="O22">INDEX('Key inputs'!$C$17:$K$40,MATCH($B22&amp;$C22&amp;$E22,'Key inputs'!$C$17:$C$40&amp;'Key inputs'!$D$17:$D$40&amp;'Key inputs'!$E$17:$E$40,0),MATCH($G22&amp;O$4&amp;O$5,'Key inputs'!$C$18:$K$18&amp;'Key inputs'!$C$19:$K$19&amp;'Key inputs'!$C$20:$K$20,0))*INDEX(Usage!$B$4:$M$18,MATCH($B22,Usage!$B$4:$B$18,0),MATCH(IF($E22="CL1","CL1 Proportion","CL2 Proportion"),Usage!$B$8:$M$8,0))</f>
        <v>6.284161309161024</v>
      </c>
      <c r="P22" s="128">
        <f t="array" ref="P22">INDEX('Key inputs'!$C$17:$K$40,MATCH($B22&amp;$C22&amp;$E22,'Key inputs'!$C$17:$C$40&amp;'Key inputs'!$D$17:$D$40&amp;'Key inputs'!$E$17:$E$40,0),MATCH($G22&amp;P$4&amp;P$5,'Key inputs'!$C$18:$K$18&amp;'Key inputs'!$C$19:$K$19&amp;'Key inputs'!$C$20:$K$20,0))</f>
        <v>50.985317225328203</v>
      </c>
      <c r="Q22" s="128">
        <f t="shared" si="8"/>
        <v>39.934470677877634</v>
      </c>
      <c r="R22" s="143">
        <f>IFERROR(Q22/Q24,"")</f>
        <v>0.93070485944558812</v>
      </c>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row>
    <row r="23" spans="2:43" x14ac:dyDescent="0.25">
      <c r="B23" s="3" t="str">
        <f t="shared" si="3"/>
        <v>Ausgrid</v>
      </c>
      <c r="C23" s="3" t="str">
        <f t="shared" si="3"/>
        <v>Residential</v>
      </c>
      <c r="D23" s="3" t="str">
        <f t="shared" si="3"/>
        <v>with CL</v>
      </c>
      <c r="E23" s="3" t="s">
        <v>15</v>
      </c>
      <c r="F23" s="131">
        <f t="array" ref="F23">IFERROR(INDEX(Usage!$B$5:$P$18,MATCH($B23,Usage!$B$5:$B$18,0),MATCH($C23&amp;$D23&amp;$E23,Usage!$B$5:$S$5&amp;Usage!$B$6:$S$6&amp;Usage!$B$7:$S$7,0)),0)</f>
        <v>660</v>
      </c>
      <c r="G23" s="21" t="s">
        <v>61</v>
      </c>
      <c r="H23" s="128" cm="1">
        <f t="array" ref="H23">INDEX('Key inputs'!$C$17:$K$40,MATCH($B23&amp;$C23&amp;$E23,'Key inputs'!$C$17:$C$40&amp;'Key inputs'!$D$17:$D$40&amp;'Key inputs'!$E$17:$E$40,0),MATCH($G23&amp;H$4&amp;H$5,'Key inputs'!$C$18:$K$18&amp;'Key inputs'!$C$19:$K$19&amp;'Key inputs'!$C$20:$K$20,0))*INDEX(Usage!$B$4:$M$18,MATCH($B23,Usage!$B$4:$B$18,0),MATCH(IF($E23="CL1","CL1 Proportion","CL2 Proportion"),Usage!$B$8:$M$8,0))</f>
        <v>2.9039999999999999</v>
      </c>
      <c r="I23" s="128">
        <f>IFERROR(INDEX('Detail inputs'!$B$3:$K$195,MATCH($B23&amp;$C23&amp;$E23&amp;$G23&amp;I$5,'Detail inputs'!$B$3:$B$195&amp;'Detail inputs'!$D$3:$D$195&amp;'Detail inputs'!$F$3:$F$195&amp;'Detail inputs'!$G$3:$G$195&amp;'Detail inputs'!$H$3:$H$195,0),MATCH(I$4,'Detail inputs'!$B$3:$K$3,0)),0)</f>
        <v>0</v>
      </c>
      <c r="J23" s="128">
        <f t="shared" si="7"/>
        <v>2.9039999999999999</v>
      </c>
      <c r="K23" s="143">
        <f>IFERROR(J23/J24,"")</f>
        <v>7.1665797191690098E-2</v>
      </c>
      <c r="L23" s="143"/>
      <c r="M23" s="143">
        <f t="shared" si="4"/>
        <v>2.3863636363636198E-2</v>
      </c>
      <c r="N23" s="140"/>
      <c r="O23" s="128" cm="1">
        <f t="array" ref="O23">INDEX('Key inputs'!$C$17:$K$40,MATCH($B23&amp;$C23&amp;$E23,'Key inputs'!$C$17:$C$40&amp;'Key inputs'!$D$17:$D$40&amp;'Key inputs'!$E$17:$E$40,0),MATCH($G23&amp;O$4&amp;O$5,'Key inputs'!$C$18:$K$18&amp;'Key inputs'!$C$19:$K$19&amp;'Key inputs'!$C$20:$K$20,0))*INDEX(Usage!$B$4:$M$18,MATCH($B23,Usage!$B$4:$B$18,0),MATCH(IF($E23="CL1","CL1 Proportion","CL2 Proportion"),Usage!$B$8:$M$8,0))</f>
        <v>2.9732999999999996</v>
      </c>
      <c r="P23" s="128">
        <f>IFERROR(INDEX('Detail inputs'!$B$3:$K$195,MATCH($B23&amp;$C23&amp;$E23&amp;$G23&amp;P$5,'Detail inputs'!$B$3:$B$195&amp;'Detail inputs'!$D$3:$D$195&amp;'Detail inputs'!$F$3:$F$195&amp;'Detail inputs'!$G$3:$G$195&amp;'Detail inputs'!$H$3:$H$195,0),MATCH(P$4,'Detail inputs'!$B$3:$K$3,0)),0)</f>
        <v>0</v>
      </c>
      <c r="Q23" s="128">
        <f t="shared" si="8"/>
        <v>2.9732999999999996</v>
      </c>
      <c r="R23" s="143">
        <f>IFERROR(Q23/Q24,"")</f>
        <v>6.9295140554411785E-2</v>
      </c>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row>
    <row r="24" spans="2:43" x14ac:dyDescent="0.25">
      <c r="B24" s="3" t="str">
        <f t="shared" si="3"/>
        <v>Ausgrid</v>
      </c>
      <c r="C24" s="3" t="str">
        <f t="shared" si="3"/>
        <v>Residential</v>
      </c>
      <c r="D24" s="3" t="str">
        <f t="shared" si="3"/>
        <v>with CL</v>
      </c>
      <c r="E24" s="3" t="s">
        <v>15</v>
      </c>
      <c r="F24" s="131">
        <f t="array" ref="F24">IFERROR(INDEX(Usage!$B$5:$P$18,MATCH($B24,Usage!$B$5:$B$18,0),MATCH($C24&amp;$D24&amp;$E24,Usage!$B$5:$S$5&amp;Usage!$B$6:$S$6&amp;Usage!$B$7:$S$7,0)),0)</f>
        <v>660</v>
      </c>
      <c r="G24" s="5" t="s">
        <v>55</v>
      </c>
      <c r="H24" s="130">
        <f>SUM(H22:H23)</f>
        <v>9.8864014546233605</v>
      </c>
      <c r="I24" s="130">
        <f t="shared" ref="I24" si="11">SUM(I22:I23)</f>
        <v>46.416697564079698</v>
      </c>
      <c r="J24" s="130">
        <f t="shared" si="7"/>
        <v>40.521421846915963</v>
      </c>
      <c r="K24" s="145"/>
      <c r="L24" s="152"/>
      <c r="M24" s="145">
        <f t="shared" si="4"/>
        <v>5.8891043852729252E-2</v>
      </c>
      <c r="N24" s="150"/>
      <c r="O24" s="130">
        <f>SUM(O22:O23)</f>
        <v>9.2574613091610232</v>
      </c>
      <c r="P24" s="130">
        <f t="shared" ref="P24" si="12">SUM(P22:P23)</f>
        <v>50.985317225328203</v>
      </c>
      <c r="Q24" s="130">
        <f t="shared" si="8"/>
        <v>42.907770677877636</v>
      </c>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row>
    <row r="25" spans="2:43" x14ac:dyDescent="0.25">
      <c r="B25" s="3" t="str">
        <f t="shared" si="3"/>
        <v>Ausgrid</v>
      </c>
      <c r="C25" s="3" t="str">
        <f t="shared" si="3"/>
        <v>Residential</v>
      </c>
      <c r="D25" s="3" t="str">
        <f t="shared" si="3"/>
        <v>with CL</v>
      </c>
      <c r="E25" s="3" t="s">
        <v>55</v>
      </c>
      <c r="F25" s="131">
        <f t="array" ref="F25">IFERROR(INDEX(Usage!$B$5:$P$18,MATCH($B25,Usage!$B$5:$B$18,0),MATCH($C25&amp;$D25&amp;$E25,Usage!$B$5:$S$5&amp;Usage!$B$6:$S$6&amp;Usage!$B$7:$S$7,0)),0)</f>
        <v>6800</v>
      </c>
      <c r="G25" s="5" t="s">
        <v>55</v>
      </c>
      <c r="H25" s="130"/>
      <c r="I25" s="130"/>
      <c r="J25" s="130">
        <f>SUM(J18,J21,J24)</f>
        <v>777.05150122036457</v>
      </c>
      <c r="K25" s="145"/>
      <c r="L25" s="152"/>
      <c r="M25" s="145">
        <f t="shared" si="4"/>
        <v>8.2331088826083532E-2</v>
      </c>
      <c r="N25" s="150"/>
      <c r="O25" s="130"/>
      <c r="P25" s="130"/>
      <c r="Q25" s="130">
        <f>SUM(Q18,Q21,Q24)</f>
        <v>841.02699738978004</v>
      </c>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row>
    <row r="26" spans="2:43" s="5" customFormat="1" x14ac:dyDescent="0.25">
      <c r="B26" s="3" t="str">
        <f t="shared" si="3"/>
        <v>Ausgrid</v>
      </c>
      <c r="C26" s="3" t="str">
        <f t="shared" si="3"/>
        <v>Residential</v>
      </c>
      <c r="D26" s="3" t="str">
        <f t="shared" si="3"/>
        <v>with CL</v>
      </c>
      <c r="E26" s="3"/>
      <c r="F26" s="131"/>
      <c r="G26" s="3" t="s">
        <v>38</v>
      </c>
      <c r="H26" s="128"/>
      <c r="I26" s="128"/>
      <c r="J26" s="128">
        <f>J25*GST</f>
        <v>77.705150122036457</v>
      </c>
      <c r="K26" s="144"/>
      <c r="L26" s="151"/>
      <c r="M26" s="143">
        <f t="shared" si="4"/>
        <v>8.2331088826083532E-2</v>
      </c>
      <c r="N26" s="149"/>
      <c r="O26" s="128"/>
      <c r="P26" s="128"/>
      <c r="Q26" s="128">
        <f>Q25*GST</f>
        <v>84.102699738978004</v>
      </c>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row>
    <row r="27" spans="2:43" s="5" customFormat="1" x14ac:dyDescent="0.25">
      <c r="B27" s="3" t="str">
        <f t="shared" si="3"/>
        <v>Ausgrid</v>
      </c>
      <c r="C27" s="3" t="str">
        <f t="shared" si="3"/>
        <v>Residential</v>
      </c>
      <c r="D27" s="3" t="str">
        <f t="shared" si="3"/>
        <v>with CL</v>
      </c>
      <c r="E27" s="3"/>
      <c r="F27" s="131"/>
      <c r="G27" s="5" t="s">
        <v>80</v>
      </c>
      <c r="H27" s="130"/>
      <c r="I27" s="130"/>
      <c r="J27" s="130">
        <f>SUM(J25:J26)</f>
        <v>854.75665134240103</v>
      </c>
      <c r="K27" s="145"/>
      <c r="L27" s="152"/>
      <c r="M27" s="145">
        <f t="shared" si="4"/>
        <v>8.2331088826083532E-2</v>
      </c>
      <c r="N27" s="150"/>
      <c r="O27" s="130"/>
      <c r="P27" s="130"/>
      <c r="Q27" s="130">
        <f>SUM(Q25:Q26)</f>
        <v>925.12969712875804</v>
      </c>
      <c r="R27" s="41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row>
    <row r="28" spans="2:43" x14ac:dyDescent="0.25">
      <c r="F28" s="131"/>
      <c r="H28" s="128"/>
      <c r="I28" s="128"/>
      <c r="J28" s="128"/>
      <c r="K28" s="143"/>
      <c r="L28" s="151"/>
      <c r="M28" s="143"/>
      <c r="N28" s="149"/>
      <c r="O28" s="128"/>
      <c r="P28" s="128"/>
      <c r="Q28" s="128"/>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row>
    <row r="29" spans="2:43" x14ac:dyDescent="0.25">
      <c r="B29" s="5" t="s">
        <v>2</v>
      </c>
      <c r="C29" s="5" t="s">
        <v>13</v>
      </c>
      <c r="D29" s="5" t="s">
        <v>127</v>
      </c>
      <c r="E29" s="5"/>
      <c r="F29" s="153"/>
      <c r="H29" s="128"/>
      <c r="I29" s="128"/>
      <c r="J29" s="128"/>
      <c r="K29" s="143"/>
      <c r="L29" s="151"/>
      <c r="M29" s="143"/>
      <c r="N29" s="149"/>
      <c r="O29" s="128"/>
      <c r="P29" s="128"/>
      <c r="Q29" s="128"/>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row>
    <row r="30" spans="2:43" x14ac:dyDescent="0.25">
      <c r="B30" s="3" t="str">
        <f t="shared" ref="B30:D34" si="13">B$29</f>
        <v>Ausgrid</v>
      </c>
      <c r="C30" s="3" t="str">
        <f t="shared" si="13"/>
        <v>Small business</v>
      </c>
      <c r="D30" s="3" t="str">
        <f t="shared" si="13"/>
        <v>without CL</v>
      </c>
      <c r="E30" s="3" t="s">
        <v>19</v>
      </c>
      <c r="F30" s="131">
        <f t="array" ref="F30">IFERROR(INDEX(Usage!$B$5:$P$18,MATCH($B30,Usage!$B$5:$B$18,0),MATCH($C30&amp;$D30&amp;$E30,Usage!$B$5:$S$5&amp;Usage!$B$6:$S$6&amp;Usage!$B$7:$S$7,0)),0)</f>
        <v>10000</v>
      </c>
      <c r="G30" s="3" t="s">
        <v>57</v>
      </c>
      <c r="H30" s="128" cm="1">
        <f t="array" ref="H30">INDEX('Key inputs'!$C$17:$K$40,MATCH($B30&amp;$C30&amp;$E30,'Key inputs'!$C$17:$C$40&amp;'Key inputs'!$D$17:$D$40&amp;'Key inputs'!$E$17:$E$40,0),MATCH($G30&amp;H$4&amp;H$5,'Key inputs'!$C$18:$K$18&amp;'Key inputs'!$C$19:$K$19&amp;'Key inputs'!$C$20:$K$20,0))</f>
        <v>618.55111470065401</v>
      </c>
      <c r="I30" s="128">
        <f t="array" ref="I30">INDEX('Key inputs'!$C$17:$K$40,MATCH($B30&amp;$C30&amp;$E30,'Key inputs'!$C$17:$C$40&amp;'Key inputs'!$D$17:$D$40&amp;'Key inputs'!$E$17:$E$40,0),MATCH($G30&amp;I$4&amp;I$5,'Key inputs'!$C$18:$K$18&amp;'Key inputs'!$C$19:$K$19&amp;'Key inputs'!$C$20:$K$20,0))</f>
        <v>94.072702443248005</v>
      </c>
      <c r="J30" s="128">
        <f>H30+I30*+Usage!M36/1000</f>
        <v>1559.2781391331341</v>
      </c>
      <c r="K30" s="143">
        <f>IFERROR(J30/J32,"")</f>
        <v>0.97666200444154072</v>
      </c>
      <c r="L30" s="143"/>
      <c r="M30" s="143">
        <f t="shared" ref="M30:M34" si="14">IF(OR(J30=0,J30="",Q30=""),"",Q30/J30-1)</f>
        <v>9.6872410352156768E-2</v>
      </c>
      <c r="N30" s="140"/>
      <c r="O30" s="128">
        <f t="array" ref="O30">INDEX('Key inputs'!$C$17:$K$40,MATCH($B30&amp;$C30&amp;$E30,'Key inputs'!$C$17:$C$40&amp;'Key inputs'!$D$17:$D$40&amp;'Key inputs'!$E$17:$E$40,0),MATCH($G30&amp;O$4&amp;O$5,'Key inputs'!$C$18:$K$18&amp;'Key inputs'!$C$19:$K$19&amp;'Key inputs'!$C$20:$K$20,0))</f>
        <v>681.04346781543654</v>
      </c>
      <c r="P30" s="128">
        <f t="array" ref="P30">INDEX('Key inputs'!$C$17:$K$40,MATCH($B30&amp;$C30&amp;$E30,'Key inputs'!$C$17:$C$40&amp;'Key inputs'!$D$17:$D$40&amp;'Key inputs'!$E$17:$E$40,0),MATCH($G30&amp;P$4&amp;P$5,'Key inputs'!$C$18:$K$18&amp;'Key inputs'!$C$19:$K$19&amp;'Key inputs'!$C$20:$K$20,0))</f>
        <v>102.92857030649499</v>
      </c>
      <c r="Q30" s="128">
        <f>O30+P30*$F30/1000</f>
        <v>1710.3291708803865</v>
      </c>
      <c r="R30" s="143">
        <f>IFERROR(Q30/Q32,"")</f>
        <v>0.97817544390006939</v>
      </c>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row>
    <row r="31" spans="2:43" x14ac:dyDescent="0.25">
      <c r="B31" s="3" t="str">
        <f t="shared" si="13"/>
        <v>Ausgrid</v>
      </c>
      <c r="C31" s="3" t="str">
        <f t="shared" si="13"/>
        <v>Small business</v>
      </c>
      <c r="D31" s="3" t="str">
        <f t="shared" si="13"/>
        <v>without CL</v>
      </c>
      <c r="E31" s="3" t="s">
        <v>19</v>
      </c>
      <c r="F31" s="131">
        <f t="array" ref="F31">IFERROR(INDEX(Usage!$B$5:$P$18,MATCH($B31,Usage!$B$5:$B$18,0),MATCH($C31&amp;$D31&amp;$E31,Usage!$B$5:$S$5&amp;Usage!$B$6:$S$6&amp;Usage!$B$7:$S$7,0)),0)</f>
        <v>10000</v>
      </c>
      <c r="G31" s="3" t="s">
        <v>61</v>
      </c>
      <c r="H31" s="128">
        <f t="array" ref="H31">INDEX('Key inputs'!$C$17:$K$40,MATCH($B31&amp;$C31&amp;$E31,'Key inputs'!$C$17:$C$40&amp;'Key inputs'!$D$17:$D$40&amp;'Key inputs'!$E$17:$E$40,0),MATCH($G31&amp;H$4&amp;H$5,'Key inputs'!$C$18:$K$18&amp;'Key inputs'!$C$19:$K$19&amp;'Key inputs'!$C$20:$K$20,0))</f>
        <v>37.26</v>
      </c>
      <c r="I31" s="128">
        <f>IFERROR(INDEX('Detail inputs'!$B$3:$K$195,MATCH($B31&amp;$C31&amp;$E31&amp;$G31&amp;I$5,'Detail inputs'!$B$3:$B$195&amp;'Detail inputs'!$D$3:$D$195&amp;'Detail inputs'!$F$3:$F$195&amp;'Detail inputs'!$G$3:$G$195&amp;'Detail inputs'!$H$3:$H$195,0),MATCH(I$4,'Detail inputs'!$B$3:$K$3,0)),0)</f>
        <v>0</v>
      </c>
      <c r="J31" s="128">
        <f>H31+I31*+Usage!M$36/1000</f>
        <v>37.26</v>
      </c>
      <c r="K31" s="143">
        <f>IFERROR(J31/J32,"")</f>
        <v>2.3337995558459324E-2</v>
      </c>
      <c r="L31" s="143"/>
      <c r="M31" s="143">
        <f t="shared" si="14"/>
        <v>2.4154589371980562E-2</v>
      </c>
      <c r="N31" s="140"/>
      <c r="O31" s="128">
        <f t="array" ref="O31">INDEX('Key inputs'!$C$17:$K$40,MATCH($B31&amp;$C31&amp;$E31,'Key inputs'!$C$17:$C$40&amp;'Key inputs'!$D$17:$D$40&amp;'Key inputs'!$E$17:$E$40,0),MATCH($G31&amp;O$4&amp;O$5,'Key inputs'!$C$18:$K$18&amp;'Key inputs'!$C$19:$K$19&amp;'Key inputs'!$C$20:$K$20,0))</f>
        <v>38.159999999999997</v>
      </c>
      <c r="P31" s="128">
        <f>IFERROR(INDEX('Detail inputs'!$B$3:$K$195,MATCH($B31&amp;$C31&amp;$E31&amp;$G31&amp;P$5,'Detail inputs'!$B$3:$B$195&amp;'Detail inputs'!$D$3:$D$195&amp;'Detail inputs'!$F$3:$F$195&amp;'Detail inputs'!$G$3:$G$195&amp;'Detail inputs'!$H$3:$H$195,0),MATCH(P$4,'Detail inputs'!$B$3:$K$3,0)),0)</f>
        <v>0</v>
      </c>
      <c r="Q31" s="128">
        <f>O31+P31*F$31/1000</f>
        <v>38.159999999999997</v>
      </c>
      <c r="R31" s="143">
        <f>IFERROR(Q31/Q32,"")</f>
        <v>2.1824556099930517E-2</v>
      </c>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row>
    <row r="32" spans="2:43" x14ac:dyDescent="0.25">
      <c r="B32" s="3" t="str">
        <f t="shared" si="13"/>
        <v>Ausgrid</v>
      </c>
      <c r="C32" s="3" t="str">
        <f t="shared" si="13"/>
        <v>Small business</v>
      </c>
      <c r="D32" s="3" t="str">
        <f t="shared" si="13"/>
        <v>without CL</v>
      </c>
      <c r="E32" s="3" t="s">
        <v>19</v>
      </c>
      <c r="F32" s="131">
        <f t="array" ref="F32">IFERROR(INDEX(Usage!$B$5:$P$18,MATCH($B32,Usage!$B$5:$B$18,0),MATCH($C32&amp;$D32&amp;$E32,Usage!$B$5:$S$5&amp;Usage!$B$6:$S$6&amp;Usage!$B$7:$S$7,0)),0)</f>
        <v>10000</v>
      </c>
      <c r="G32" s="5" t="s">
        <v>55</v>
      </c>
      <c r="H32" s="130">
        <f>+H31+H30</f>
        <v>655.811114700654</v>
      </c>
      <c r="I32" s="130">
        <f>+I30</f>
        <v>94.072702443248005</v>
      </c>
      <c r="J32" s="130">
        <f>H32+I32*+Usage!M$36/1000</f>
        <v>1596.5381391331341</v>
      </c>
      <c r="K32" s="145"/>
      <c r="L32" s="152"/>
      <c r="M32" s="145">
        <f t="shared" si="14"/>
        <v>9.517532216910074E-2</v>
      </c>
      <c r="N32" s="150"/>
      <c r="O32" s="130">
        <f>+O31+O30</f>
        <v>719.20346781543651</v>
      </c>
      <c r="P32" s="130">
        <f>+P31+P30</f>
        <v>102.92857030649499</v>
      </c>
      <c r="Q32" s="130">
        <f>O32+P32*F$32/1000</f>
        <v>1748.4891708803866</v>
      </c>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row>
    <row r="33" spans="2:43" s="5" customFormat="1" x14ac:dyDescent="0.25">
      <c r="B33" s="3" t="str">
        <f t="shared" si="13"/>
        <v>Ausgrid</v>
      </c>
      <c r="C33" s="3" t="str">
        <f t="shared" si="13"/>
        <v>Small business</v>
      </c>
      <c r="D33" s="3" t="str">
        <f t="shared" si="13"/>
        <v>without CL</v>
      </c>
      <c r="E33" s="3"/>
      <c r="F33" s="131"/>
      <c r="G33" s="3" t="s">
        <v>38</v>
      </c>
      <c r="H33" s="128"/>
      <c r="I33" s="128"/>
      <c r="J33" s="128">
        <f>J32*GST</f>
        <v>159.65381391331343</v>
      </c>
      <c r="K33" s="144"/>
      <c r="L33" s="151"/>
      <c r="M33" s="143">
        <f t="shared" si="14"/>
        <v>9.5175322169100518E-2</v>
      </c>
      <c r="N33" s="149"/>
      <c r="O33" s="128"/>
      <c r="P33" s="128"/>
      <c r="Q33" s="128">
        <f>Q32*GST</f>
        <v>174.84891708803866</v>
      </c>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row>
    <row r="34" spans="2:43" s="5" customFormat="1" x14ac:dyDescent="0.25">
      <c r="B34" s="3" t="str">
        <f t="shared" si="13"/>
        <v>Ausgrid</v>
      </c>
      <c r="C34" s="3" t="str">
        <f t="shared" si="13"/>
        <v>Small business</v>
      </c>
      <c r="D34" s="3" t="str">
        <f t="shared" si="13"/>
        <v>without CL</v>
      </c>
      <c r="E34" s="3"/>
      <c r="F34" s="131"/>
      <c r="G34" s="5" t="s">
        <v>80</v>
      </c>
      <c r="H34" s="130"/>
      <c r="I34" s="130"/>
      <c r="J34" s="130">
        <f>SUM(J32:J33)</f>
        <v>1756.1919530464475</v>
      </c>
      <c r="K34" s="145"/>
      <c r="L34" s="152"/>
      <c r="M34" s="145">
        <f t="shared" si="14"/>
        <v>9.517532216910074E-2</v>
      </c>
      <c r="N34" s="150"/>
      <c r="O34" s="130"/>
      <c r="P34" s="130"/>
      <c r="Q34" s="130">
        <f>SUM(Q32:Q33)</f>
        <v>1923.3380879684253</v>
      </c>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row>
    <row r="35" spans="2:43" x14ac:dyDescent="0.25">
      <c r="F35" s="131"/>
      <c r="G35" s="55"/>
      <c r="H35" s="128"/>
      <c r="I35" s="128"/>
      <c r="J35" s="128"/>
      <c r="K35" s="143"/>
      <c r="L35" s="151"/>
      <c r="M35" s="143"/>
      <c r="N35" s="149"/>
      <c r="O35" s="128"/>
      <c r="P35" s="128"/>
      <c r="Q35" s="128"/>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row>
    <row r="36" spans="2:43" x14ac:dyDescent="0.25">
      <c r="B36" s="5" t="s">
        <v>4</v>
      </c>
      <c r="C36" s="5" t="s">
        <v>6</v>
      </c>
      <c r="D36" s="5" t="s">
        <v>127</v>
      </c>
      <c r="F36" s="131"/>
      <c r="G36" s="55"/>
      <c r="H36" s="128"/>
      <c r="I36" s="128"/>
      <c r="J36" s="128"/>
      <c r="K36" s="143"/>
      <c r="L36" s="151"/>
      <c r="M36" s="143" t="str">
        <f>IF(OR(J36=0,Q36=""),"",Q36/J36-1)</f>
        <v/>
      </c>
      <c r="N36" s="149"/>
      <c r="O36" s="128"/>
      <c r="P36" s="128"/>
      <c r="Q36" s="128"/>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row>
    <row r="37" spans="2:43" x14ac:dyDescent="0.25">
      <c r="B37" s="3" t="str">
        <f t="shared" ref="B37:D41" si="15">B$36</f>
        <v>Endeavour</v>
      </c>
      <c r="C37" s="3" t="str">
        <f t="shared" si="15"/>
        <v>Residential</v>
      </c>
      <c r="D37" s="3" t="str">
        <f t="shared" si="15"/>
        <v>without CL</v>
      </c>
      <c r="E37" s="3" t="s">
        <v>19</v>
      </c>
      <c r="F37" s="131">
        <f t="array" ref="F37">IFERROR(INDEX(Usage!$B$5:$P$18,MATCH($B37,Usage!$B$5:$B$18,0),MATCH($C37&amp;$D37&amp;$E37,Usage!$B$5:$S$5&amp;Usage!$B$6:$S$6&amp;Usage!$B$7:$S$7,0)),0)</f>
        <v>4900</v>
      </c>
      <c r="G37" s="3" t="s">
        <v>57</v>
      </c>
      <c r="H37" s="245">
        <f t="array" ref="H37">INDEX('Key inputs'!$C$17:$K$40,MATCH($B37&amp;$C37&amp;$E37,'Key inputs'!$C$17:$C$40&amp;'Key inputs'!$D$17:$D$40&amp;'Key inputs'!$E$17:$E$40,0),MATCH($G37&amp;H$4&amp;H$5,'Key inputs'!$C$18:$K$18&amp;'Key inputs'!$C$19:$K$19&amp;'Key inputs'!$C$20:$K$20,0))</f>
        <v>190.27449999999999</v>
      </c>
      <c r="I37" s="128">
        <f t="array" ref="I37">INDEX('Key inputs'!$C$17:$K$40,MATCH($B37&amp;$C37&amp;$E37,'Key inputs'!$C$17:$C$40&amp;'Key inputs'!$D$17:$D$40&amp;'Key inputs'!$E$17:$E$40,0),MATCH($G37&amp;I$4&amp;I$5,'Key inputs'!$C$18:$K$18&amp;'Key inputs'!$C$19:$K$19&amp;'Key inputs'!$C$20:$K$20,0))</f>
        <v>100.529</v>
      </c>
      <c r="J37" s="128">
        <f>H37+I37*+Usage!C37/1000</f>
        <v>682.86659999999995</v>
      </c>
      <c r="K37" s="143">
        <f>IFERROR(J37/J39,"")</f>
        <v>0.98213809163032872</v>
      </c>
      <c r="L37" s="143"/>
      <c r="M37" s="143">
        <f t="shared" ref="M37:M41" si="16">IF(OR(J37=0,J37="",Q37=""),"",Q37/J37-1)</f>
        <v>9.5099247788660302E-2</v>
      </c>
      <c r="N37" s="140"/>
      <c r="O37" s="128">
        <f t="array" ref="O37">INDEX('Key inputs'!$C$17:$K$40,MATCH($B37&amp;$C37&amp;$E37,'Key inputs'!$C$17:$C$40&amp;'Key inputs'!$D$17:$D$40&amp;'Key inputs'!$E$17:$E$40,0),MATCH($G37&amp;O$4&amp;O$5,'Key inputs'!$C$18:$K$18&amp;'Key inputs'!$C$19:$K$19&amp;'Key inputs'!$C$20:$K$20,0))</f>
        <v>217.75899999999999</v>
      </c>
      <c r="P37" s="128">
        <f t="array" ref="P37">INDEX('Key inputs'!$C$17:$K$40,MATCH($B37&amp;$C37&amp;$E37,'Key inputs'!$C$17:$C$40&amp;'Key inputs'!$D$17:$D$40&amp;'Key inputs'!$E$17:$E$40,0),MATCH($G37&amp;P$4&amp;P$5,'Key inputs'!$C$18:$K$18&amp;'Key inputs'!$C$19:$K$19&amp;'Key inputs'!$C$20:$K$20,0))</f>
        <v>108.173</v>
      </c>
      <c r="Q37" s="128">
        <f>O37+P37*$F37/1000</f>
        <v>747.80669999999998</v>
      </c>
      <c r="R37" s="143">
        <f>IFERROR(Q37/Q39,"")</f>
        <v>0.98335937564208564</v>
      </c>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row>
    <row r="38" spans="2:43" x14ac:dyDescent="0.25">
      <c r="B38" s="3" t="str">
        <f t="shared" si="15"/>
        <v>Endeavour</v>
      </c>
      <c r="C38" s="3" t="str">
        <f t="shared" si="15"/>
        <v>Residential</v>
      </c>
      <c r="D38" s="3" t="str">
        <f t="shared" si="15"/>
        <v>without CL</v>
      </c>
      <c r="E38" s="3" t="s">
        <v>19</v>
      </c>
      <c r="F38" s="131">
        <f t="array" ref="F38">IFERROR(INDEX(Usage!$B$5:$P$18,MATCH($B38,Usage!$B$5:$B$18,0),MATCH($C38&amp;$D38&amp;$E38,Usage!$B$5:$S$5&amp;Usage!$B$6:$S$6&amp;Usage!$B$7:$S$7,0)),0)</f>
        <v>4900</v>
      </c>
      <c r="G38" s="3" t="s">
        <v>61</v>
      </c>
      <c r="H38" s="128">
        <f t="array" ref="H38">INDEX('Key inputs'!$C$17:$K$40,MATCH($B38&amp;$C38&amp;$E38,'Key inputs'!$C$17:$C$40&amp;'Key inputs'!$D$17:$D$40&amp;'Key inputs'!$E$17:$E$40,0),MATCH($G38&amp;H$4&amp;H$5,'Key inputs'!$C$18:$K$18&amp;'Key inputs'!$C$19:$K$19&amp;'Key inputs'!$C$20:$K$20,0))</f>
        <v>12.419129999999999</v>
      </c>
      <c r="I38" s="128">
        <f>IFERROR(INDEX('Detail inputs'!$B$3:$K$195,MATCH($B38&amp;$C38&amp;$E38&amp;$G38&amp;I$5,'Detail inputs'!$B$3:$B$195&amp;'Detail inputs'!$D$3:$D$195&amp;'Detail inputs'!$F$3:$F$195&amp;'Detail inputs'!$G$3:$G$195&amp;'Detail inputs'!$H$3:$H$195,0),MATCH(I$4,'Detail inputs'!$B$3:$K$3,0)),0)</f>
        <v>0</v>
      </c>
      <c r="J38" s="128">
        <f>H38+I38*+Usage!C$37/1000</f>
        <v>12.419129999999999</v>
      </c>
      <c r="K38" s="143">
        <f>IFERROR(J38/J39,"")</f>
        <v>1.7861908369671272E-2</v>
      </c>
      <c r="L38" s="143"/>
      <c r="M38" s="143">
        <f t="shared" si="16"/>
        <v>1.8956239285682797E-2</v>
      </c>
      <c r="N38" s="140"/>
      <c r="O38" s="128">
        <f t="array" ref="O38">INDEX('Key inputs'!$C$17:$K$40,MATCH($B38&amp;$C38&amp;$E38,'Key inputs'!$C$17:$C$40&amp;'Key inputs'!$D$17:$D$40&amp;'Key inputs'!$E$17:$E$40,0),MATCH($G38&amp;O$4&amp;O$5,'Key inputs'!$C$18:$K$18&amp;'Key inputs'!$C$19:$K$19&amp;'Key inputs'!$C$20:$K$20,0))</f>
        <v>12.65455</v>
      </c>
      <c r="P38" s="128">
        <f>IFERROR(INDEX('Detail inputs'!$B$3:$K$195,MATCH($B38&amp;$C38&amp;$E38&amp;$G38&amp;P$5,'Detail inputs'!$B$3:$B$195&amp;'Detail inputs'!$D$3:$D$195&amp;'Detail inputs'!$F$3:$F$195&amp;'Detail inputs'!$G$3:$G$195&amp;'Detail inputs'!$H$3:$H$195,0),MATCH(P$4,'Detail inputs'!$B$3:$K$3,0)),0)</f>
        <v>0</v>
      </c>
      <c r="Q38" s="128">
        <f>O38+P38*$F$38/1000</f>
        <v>12.65455</v>
      </c>
      <c r="R38" s="143">
        <f>IFERROR(Q38/Q39,"")</f>
        <v>1.6640624357914361E-2</v>
      </c>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row>
    <row r="39" spans="2:43" x14ac:dyDescent="0.25">
      <c r="B39" s="3" t="str">
        <f t="shared" si="15"/>
        <v>Endeavour</v>
      </c>
      <c r="C39" s="3" t="str">
        <f t="shared" si="15"/>
        <v>Residential</v>
      </c>
      <c r="D39" s="3" t="str">
        <f t="shared" si="15"/>
        <v>without CL</v>
      </c>
      <c r="E39" s="3" t="s">
        <v>19</v>
      </c>
      <c r="F39" s="131">
        <f t="array" ref="F39">IFERROR(INDEX(Usage!$B$5:$P$18,MATCH($B39,Usage!$B$5:$B$18,0),MATCH($C39&amp;$D39&amp;$E39,Usage!$B$5:$S$5&amp;Usage!$B$6:$S$6&amp;Usage!$B$7:$S$7,0)),0)</f>
        <v>4900</v>
      </c>
      <c r="G39" s="5" t="s">
        <v>55</v>
      </c>
      <c r="H39" s="130">
        <f>+H38+H37</f>
        <v>202.69362999999998</v>
      </c>
      <c r="I39" s="130">
        <f>+I37</f>
        <v>100.529</v>
      </c>
      <c r="J39" s="130">
        <f>H39+I39*+Usage!C$37/1000</f>
        <v>695.28572999999994</v>
      </c>
      <c r="K39" s="145"/>
      <c r="L39" s="152"/>
      <c r="M39" s="145">
        <f t="shared" si="16"/>
        <v>9.373918834778916E-2</v>
      </c>
      <c r="N39" s="150"/>
      <c r="O39" s="130">
        <f>+O38+O37</f>
        <v>230.41354999999999</v>
      </c>
      <c r="P39" s="130">
        <f>+P37</f>
        <v>108.173</v>
      </c>
      <c r="Q39" s="130">
        <f>O39+P39*$F$39/1000</f>
        <v>760.46124999999995</v>
      </c>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row>
    <row r="40" spans="2:43" x14ac:dyDescent="0.25">
      <c r="B40" s="3" t="str">
        <f t="shared" si="15"/>
        <v>Endeavour</v>
      </c>
      <c r="C40" s="3" t="str">
        <f t="shared" si="15"/>
        <v>Residential</v>
      </c>
      <c r="D40" s="3" t="str">
        <f t="shared" si="15"/>
        <v>without CL</v>
      </c>
      <c r="F40" s="131"/>
      <c r="G40" s="3" t="s">
        <v>38</v>
      </c>
      <c r="H40" s="128"/>
      <c r="I40" s="128"/>
      <c r="J40" s="128">
        <f>J39*GST</f>
        <v>69.528572999999994</v>
      </c>
      <c r="K40" s="144"/>
      <c r="L40" s="151"/>
      <c r="M40" s="143">
        <f t="shared" si="16"/>
        <v>9.373918834778916E-2</v>
      </c>
      <c r="N40" s="149"/>
      <c r="O40" s="128"/>
      <c r="P40" s="128"/>
      <c r="Q40" s="128">
        <f>Q39*GST</f>
        <v>76.046125000000004</v>
      </c>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row>
    <row r="41" spans="2:43" x14ac:dyDescent="0.25">
      <c r="B41" s="3" t="str">
        <f t="shared" si="15"/>
        <v>Endeavour</v>
      </c>
      <c r="C41" s="3" t="str">
        <f t="shared" si="15"/>
        <v>Residential</v>
      </c>
      <c r="D41" s="3" t="str">
        <f t="shared" si="15"/>
        <v>without CL</v>
      </c>
      <c r="F41" s="131"/>
      <c r="G41" s="5" t="s">
        <v>80</v>
      </c>
      <c r="H41" s="130"/>
      <c r="I41" s="130"/>
      <c r="J41" s="130">
        <f>SUM(J39:J40)</f>
        <v>764.81430299999988</v>
      </c>
      <c r="K41" s="145"/>
      <c r="L41" s="152"/>
      <c r="M41" s="145">
        <f t="shared" si="16"/>
        <v>9.373918834778916E-2</v>
      </c>
      <c r="N41" s="150"/>
      <c r="O41" s="130"/>
      <c r="P41" s="130"/>
      <c r="Q41" s="130">
        <f>SUM(Q39:Q40)</f>
        <v>836.50737499999991</v>
      </c>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row>
    <row r="42" spans="2:43" x14ac:dyDescent="0.25">
      <c r="F42" s="131"/>
      <c r="H42" s="128"/>
      <c r="I42" s="128"/>
      <c r="J42" s="128"/>
      <c r="K42" s="143"/>
      <c r="L42" s="151"/>
      <c r="M42" s="143"/>
      <c r="N42" s="149"/>
      <c r="O42" s="128"/>
      <c r="P42" s="128"/>
      <c r="Q42" s="128"/>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row>
    <row r="43" spans="2:43" x14ac:dyDescent="0.25">
      <c r="B43" s="5" t="s">
        <v>4</v>
      </c>
      <c r="C43" s="5" t="s">
        <v>6</v>
      </c>
      <c r="D43" s="5" t="s">
        <v>128</v>
      </c>
      <c r="F43" s="131"/>
      <c r="H43" s="128"/>
      <c r="I43" s="128"/>
      <c r="J43" s="128"/>
      <c r="K43" s="143"/>
      <c r="L43" s="151"/>
      <c r="M43" s="143"/>
      <c r="N43" s="149"/>
      <c r="O43" s="128"/>
      <c r="P43" s="246"/>
      <c r="Q43" s="128"/>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row>
    <row r="44" spans="2:43" x14ac:dyDescent="0.25">
      <c r="B44" s="3" t="str">
        <f t="shared" ref="B44:D55" si="17">B$43</f>
        <v>Endeavour</v>
      </c>
      <c r="C44" s="3" t="str">
        <f t="shared" si="17"/>
        <v>Residential</v>
      </c>
      <c r="D44" s="3" t="str">
        <f t="shared" si="17"/>
        <v>with CL</v>
      </c>
      <c r="E44" s="3" t="s">
        <v>19</v>
      </c>
      <c r="F44" s="131">
        <f t="array" ref="F44">IFERROR(INDEX(Usage!$B$5:$P$18,MATCH($B44,Usage!$B$5:$B$18,0),MATCH($C44&amp;$D44&amp;$E44,Usage!$B$5:$S$5&amp;Usage!$B$6:$S$6&amp;Usage!$B$7:$S$7,0)),0)</f>
        <v>5200</v>
      </c>
      <c r="G44" s="3" t="s">
        <v>57</v>
      </c>
      <c r="H44" s="128">
        <f t="array" ref="H44">INDEX('Key inputs'!$C$17:$K$40,MATCH($B44&amp;$C44&amp;$E44,'Key inputs'!$C$17:$C$40&amp;'Key inputs'!$D$17:$D$40&amp;'Key inputs'!$E$17:$E$40,0),MATCH($G44&amp;H$4&amp;H$5,'Key inputs'!$C$18:$K$18&amp;'Key inputs'!$C$19:$K$19&amp;'Key inputs'!$C$20:$K$20,0))</f>
        <v>190.27449999999999</v>
      </c>
      <c r="I44" s="128">
        <f t="array" ref="I44">INDEX('Key inputs'!$C$17:$K$40,MATCH($B44&amp;$C44&amp;$E44,'Key inputs'!$C$17:$C$40&amp;'Key inputs'!$D$17:$D$40&amp;'Key inputs'!$E$17:$E$40,0),MATCH($G44&amp;I$4&amp;I$5,'Key inputs'!$C$18:$K$18&amp;'Key inputs'!$C$19:$K$19&amp;'Key inputs'!$C$20:$K$20,0))</f>
        <v>100.529</v>
      </c>
      <c r="J44" s="128">
        <f>H44+I44*+Usage!E37/1000</f>
        <v>713.02530000000002</v>
      </c>
      <c r="K44" s="143">
        <f>IFERROR(J44/J46,"")</f>
        <v>0.98288065979085404</v>
      </c>
      <c r="L44" s="143"/>
      <c r="M44" s="143">
        <f t="shared" ref="M44:M55" si="18">IF(OR(J44=0,J44="",Q44=""),"",Q44/J44-1)</f>
        <v>9.4293007555271924E-2</v>
      </c>
      <c r="N44" s="140"/>
      <c r="O44" s="263" cm="1">
        <f t="array" ref="O44">INDEX('Key inputs'!$C$17:$K$40,MATCH($B44&amp;$C44&amp;$E44,'Key inputs'!$C$17:$C$40&amp;'Key inputs'!$D$17:$D$40&amp;'Key inputs'!$E$17:$E$40,0),MATCH($G44&amp;O$4&amp;O$5,'Key inputs'!$C$18:$K$18&amp;'Key inputs'!$C$19:$K$19&amp;'Key inputs'!$C$20:$K$20,0))</f>
        <v>217.75899999999999</v>
      </c>
      <c r="P44" s="128" cm="1">
        <f t="array" ref="P44">INDEX('Key inputs'!$C$17:$K$40,MATCH($B44&amp;$C44&amp;$E44,'Key inputs'!$C$17:$C$40&amp;'Key inputs'!$D$17:$D$40&amp;'Key inputs'!$E$17:$E$40,0),MATCH($G44&amp;P$4&amp;P$5,'Key inputs'!$C$18:$K$18&amp;'Key inputs'!$C$19:$K$19&amp;'Key inputs'!$C$20:$K$20,0))</f>
        <v>108.173</v>
      </c>
      <c r="Q44" s="128">
        <f>O44+P44*$F44/1000</f>
        <v>780.2586</v>
      </c>
      <c r="R44" s="143">
        <f>IFERROR(Q44/Q46,"")</f>
        <v>0.9840404336843197</v>
      </c>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row>
    <row r="45" spans="2:43" x14ac:dyDescent="0.25">
      <c r="B45" s="3" t="str">
        <f t="shared" si="17"/>
        <v>Endeavour</v>
      </c>
      <c r="C45" s="3" t="str">
        <f t="shared" si="17"/>
        <v>Residential</v>
      </c>
      <c r="D45" s="3" t="str">
        <f t="shared" si="17"/>
        <v>with CL</v>
      </c>
      <c r="E45" s="3" t="s">
        <v>19</v>
      </c>
      <c r="F45" s="131">
        <f t="array" ref="F45">IFERROR(INDEX(Usage!$B$5:$P$18,MATCH($B45,Usage!$B$5:$B$18,0),MATCH($C45&amp;$D45&amp;$E45,Usage!$B$5:$S$5&amp;Usage!$B$6:$S$6&amp;Usage!$B$7:$S$7,0)),0)</f>
        <v>5200</v>
      </c>
      <c r="G45" s="3" t="s">
        <v>61</v>
      </c>
      <c r="H45" s="128">
        <f t="array" ref="H45">INDEX('Key inputs'!$C$17:$K$40,MATCH($B45&amp;$C45&amp;$E45,'Key inputs'!$C$17:$C$40&amp;'Key inputs'!$D$17:$D$40&amp;'Key inputs'!$E$17:$E$40,0),MATCH($G45&amp;H$4&amp;H$5,'Key inputs'!$C$18:$K$18&amp;'Key inputs'!$C$19:$K$19&amp;'Key inputs'!$C$20:$K$20,0))</f>
        <v>12.419129999999999</v>
      </c>
      <c r="I45" s="128">
        <f>IFERROR(INDEX('Detail inputs'!$B$3:$K$195,MATCH($B45&amp;$C45&amp;$E45&amp;$G45&amp;I$5,'Detail inputs'!$B$3:$B$195&amp;'Detail inputs'!$D$3:$D$195&amp;'Detail inputs'!$F$3:$F$195&amp;'Detail inputs'!$G$3:$G$195&amp;'Detail inputs'!$H$3:$H$195,0),MATCH(I$4,'Detail inputs'!$B$3:$K$3,0)),0)</f>
        <v>0</v>
      </c>
      <c r="J45" s="128">
        <f>H45+I45*+Usage!E$37/1000</f>
        <v>12.419129999999999</v>
      </c>
      <c r="K45" s="143">
        <f>IFERROR(J45/J46,"")</f>
        <v>1.7119340209145996E-2</v>
      </c>
      <c r="L45" s="143"/>
      <c r="M45" s="143">
        <f t="shared" si="18"/>
        <v>1.8956239285682797E-2</v>
      </c>
      <c r="N45" s="140"/>
      <c r="O45" s="263">
        <f t="array" ref="O45">INDEX('Key inputs'!$C$17:$K$40,MATCH($B45&amp;$C45&amp;$E45,'Key inputs'!$C$17:$C$40&amp;'Key inputs'!$D$17:$D$40&amp;'Key inputs'!$E$17:$E$40,0),MATCH($G45&amp;O$4&amp;O$5,'Key inputs'!$C$18:$K$18&amp;'Key inputs'!$C$19:$K$19&amp;'Key inputs'!$C$20:$K$20,0))</f>
        <v>12.65455</v>
      </c>
      <c r="P45" s="128">
        <f>IFERROR(INDEX('Detail inputs'!$B$3:$K$195,MATCH($B45&amp;$C45&amp;$E45&amp;$G45&amp;P$5,'Detail inputs'!$B$3:$B$195&amp;'Detail inputs'!$D$3:$D$195&amp;'Detail inputs'!$F$3:$F$195&amp;'Detail inputs'!$G$3:$G$195&amp;'Detail inputs'!$H$3:$H$195,0),MATCH(P$4,'Detail inputs'!$B$3:$K$3,0)),0)</f>
        <v>0</v>
      </c>
      <c r="Q45" s="128">
        <f>O45+P45*$F$45/1000</f>
        <v>12.65455</v>
      </c>
      <c r="R45" s="143">
        <f>IFERROR(Q45/Q46,"")</f>
        <v>1.5959566315680351E-2</v>
      </c>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row>
    <row r="46" spans="2:43" x14ac:dyDescent="0.25">
      <c r="B46" s="3" t="str">
        <f t="shared" si="17"/>
        <v>Endeavour</v>
      </c>
      <c r="C46" s="3" t="str">
        <f t="shared" si="17"/>
        <v>Residential</v>
      </c>
      <c r="D46" s="3" t="str">
        <f t="shared" si="17"/>
        <v>with CL</v>
      </c>
      <c r="E46" s="3" t="s">
        <v>19</v>
      </c>
      <c r="F46" s="131">
        <f t="array" ref="F46">IFERROR(INDEX(Usage!$B$5:$P$18,MATCH($B46,Usage!$B$5:$B$18,0),MATCH($C46&amp;$D46&amp;$E46,Usage!$B$5:$S$5&amp;Usage!$B$6:$S$6&amp;Usage!$B$7:$S$7,0)),0)</f>
        <v>5200</v>
      </c>
      <c r="G46" s="5" t="s">
        <v>55</v>
      </c>
      <c r="H46" s="130">
        <f>+H45+H44</f>
        <v>202.69362999999998</v>
      </c>
      <c r="I46" s="130">
        <f>+I45+I44</f>
        <v>100.529</v>
      </c>
      <c r="J46" s="130">
        <f>H46+I46*+Usage!E$37/1000</f>
        <v>725.44443000000001</v>
      </c>
      <c r="K46" s="145"/>
      <c r="L46" s="152"/>
      <c r="M46" s="145">
        <f t="shared" si="18"/>
        <v>9.3003291789007125E-2</v>
      </c>
      <c r="N46" s="150"/>
      <c r="O46" s="130">
        <f t="shared" ref="O46:P46" si="19">SUM(O44:O45)</f>
        <v>230.41354999999999</v>
      </c>
      <c r="P46" s="130">
        <f t="shared" si="19"/>
        <v>108.173</v>
      </c>
      <c r="Q46" s="130">
        <f>O46+P46*$F$45/1000</f>
        <v>792.91314999999997</v>
      </c>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row>
    <row r="47" spans="2:43" x14ac:dyDescent="0.25">
      <c r="B47" s="3" t="str">
        <f t="shared" si="17"/>
        <v>Endeavour</v>
      </c>
      <c r="C47" s="3" t="str">
        <f t="shared" si="17"/>
        <v>Residential</v>
      </c>
      <c r="D47" s="3" t="str">
        <f t="shared" si="17"/>
        <v>with CL</v>
      </c>
      <c r="E47" s="3" t="s">
        <v>14</v>
      </c>
      <c r="F47" s="131">
        <f t="array" ref="F47">IFERROR(INDEX(Usage!$B$5:$P$18,MATCH($B47,Usage!$B$5:$B$18,0),MATCH($C47&amp;$D47&amp;$E47,Usage!$B$5:$S$5&amp;Usage!$B$6:$S$6&amp;Usage!$B$7:$S$7,0)),0)</f>
        <v>1474</v>
      </c>
      <c r="G47" s="3" t="s">
        <v>57</v>
      </c>
      <c r="H47" s="128" cm="1">
        <f t="array" ref="H47">INDEX('Key inputs'!$C$17:$K$40,MATCH($B47&amp;$C47&amp;$E47,'Key inputs'!$C$17:$C$40&amp;'Key inputs'!$D$17:$D$40&amp;'Key inputs'!$E$17:$E$40,0),MATCH($G47&amp;H$4&amp;H$5,'Key inputs'!$C$18:$K$18&amp;'Key inputs'!$C$19:$K$19&amp;'Key inputs'!$C$20:$K$20,0))*INDEX(Usage!$B$4:$M$18,MATCH($B47,Usage!$B$4:$B$18,0),MATCH(IF($E47="CL1","CL1 Proportion","CL2 Proportion"),Usage!$B$8:$M$8,0))</f>
        <v>15.162100000000001</v>
      </c>
      <c r="I47" s="246">
        <f t="array" ref="I47">INDEX('Key inputs'!$C$17:$K$40,MATCH($B47&amp;$C47&amp;$E47,'Key inputs'!$C$17:$C$40&amp;'Key inputs'!$D$17:$D$40&amp;'Key inputs'!$E$17:$E$40,0),MATCH($G47&amp;I$4&amp;I$5,'Key inputs'!$C$18:$K$18&amp;'Key inputs'!$C$19:$K$19&amp;'Key inputs'!$C$20:$K$20,0))</f>
        <v>33.819000000000003</v>
      </c>
      <c r="J47" s="128">
        <f t="shared" ref="J47:J52" si="20">H47+I47*F47/1000</f>
        <v>65.011306000000005</v>
      </c>
      <c r="K47" s="143">
        <f>IFERROR(J47/J49,"")</f>
        <v>0.88653243969694917</v>
      </c>
      <c r="L47" s="143"/>
      <c r="M47" s="143">
        <f t="shared" si="18"/>
        <v>0.24770333024843394</v>
      </c>
      <c r="N47" s="140"/>
      <c r="O47" s="128" cm="1">
        <f t="array" ref="O47">INDEX('Key inputs'!$C$17:$K$40,MATCH($B47&amp;$C47&amp;$E47,'Key inputs'!$C$17:$C$40&amp;'Key inputs'!$D$17:$D$40&amp;'Key inputs'!$E$17:$E$40,0),MATCH($G47&amp;O$4&amp;O$5,'Key inputs'!$C$18:$K$18&amp;'Key inputs'!$C$19:$K$19&amp;'Key inputs'!$C$20:$K$20,0))*INDEX(Usage!$B$4:$M$18,MATCH($B47,Usage!$B$4:$B$18,0),MATCH(IF($E47="CL1","CL1 Proportion","CL2 Proportion"),Usage!$B$8:$M$8,0))</f>
        <v>17.729875</v>
      </c>
      <c r="P47" s="128">
        <f t="array" ref="P47">INDEX('Key inputs'!$C$17:$K$40,MATCH($B47&amp;$C47&amp;$E47,'Key inputs'!$C$17:$C$40&amp;'Key inputs'!$D$17:$D$40&amp;'Key inputs'!$E$17:$E$40,0),MATCH($G47&amp;P$4&amp;P$5,'Key inputs'!$C$18:$K$18&amp;'Key inputs'!$C$19:$K$19&amp;'Key inputs'!$C$20:$K$20,0))</f>
        <v>43.001999999999995</v>
      </c>
      <c r="Q47" s="128">
        <f t="shared" ref="Q47:Q52" si="21">O47+P47*$F47/1000</f>
        <v>81.114823000000001</v>
      </c>
      <c r="R47" s="143">
        <f>IFERROR(Q47/Q49,"")</f>
        <v>0.90536634174995867</v>
      </c>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row>
    <row r="48" spans="2:43" x14ac:dyDescent="0.25">
      <c r="B48" s="3" t="str">
        <f t="shared" si="17"/>
        <v>Endeavour</v>
      </c>
      <c r="C48" s="3" t="str">
        <f t="shared" si="17"/>
        <v>Residential</v>
      </c>
      <c r="D48" s="3" t="str">
        <f t="shared" si="17"/>
        <v>with CL</v>
      </c>
      <c r="E48" s="3" t="s">
        <v>14</v>
      </c>
      <c r="F48" s="131">
        <f t="array" ref="F48">IFERROR(INDEX(Usage!$B$5:$P$18,MATCH($B48,Usage!$B$5:$B$18,0),MATCH($C48&amp;$D48&amp;$E48,Usage!$B$5:$S$5&amp;Usage!$B$6:$S$6&amp;Usage!$B$7:$S$7,0)),0)</f>
        <v>1474</v>
      </c>
      <c r="G48" s="3" t="s">
        <v>61</v>
      </c>
      <c r="H48" s="128" cm="1">
        <f t="array" ref="H48">INDEX('Key inputs'!$C$17:$K$40,MATCH($B48&amp;$C48&amp;$E48,'Key inputs'!$C$17:$C$40&amp;'Key inputs'!$D$17:$D$40&amp;'Key inputs'!$E$17:$E$40,0),MATCH($G48&amp;H$4&amp;H$5,'Key inputs'!$C$18:$K$18&amp;'Key inputs'!$C$19:$K$19&amp;'Key inputs'!$C$20:$K$20,0))*INDEX(Usage!$B$4:$M$18,MATCH($B48,Usage!$B$4:$B$18,0),MATCH(IF($E48="CL1","CL1 Proportion","CL2 Proportion"),Usage!$B$8:$M$8,0))</f>
        <v>8.3208170999999993</v>
      </c>
      <c r="I48" s="128">
        <f>IFERROR(INDEX('Detail inputs'!$B$3:$K$195,MATCH($B48&amp;$C48&amp;$E48&amp;$G48&amp;I$5,'Detail inputs'!$B$3:$B$195&amp;'Detail inputs'!$D$3:$D$195&amp;'Detail inputs'!$F$3:$F$195&amp;'Detail inputs'!$G$3:$G$195&amp;'Detail inputs'!$H$3:$H$195,0),MATCH(I$4,'Detail inputs'!$B$3:$K$3,0)),0)</f>
        <v>0</v>
      </c>
      <c r="J48" s="128">
        <f t="shared" si="20"/>
        <v>8.3208170999999993</v>
      </c>
      <c r="K48" s="143">
        <f>IFERROR(J48/J49,"")</f>
        <v>0.11346756030305086</v>
      </c>
      <c r="L48" s="143"/>
      <c r="M48" s="143">
        <f t="shared" si="18"/>
        <v>1.8956239285682797E-2</v>
      </c>
      <c r="N48" s="140"/>
      <c r="O48" s="128" cm="1">
        <f t="array" ref="O48">INDEX('Key inputs'!$C$17:$K$40,MATCH($B48&amp;$C48&amp;$E48,'Key inputs'!$C$17:$C$40&amp;'Key inputs'!$D$17:$D$40&amp;'Key inputs'!$E$17:$E$40,0),MATCH($G48&amp;O$4&amp;O$5,'Key inputs'!$C$18:$K$18&amp;'Key inputs'!$C$19:$K$19&amp;'Key inputs'!$C$20:$K$20,0))*INDEX(Usage!$B$4:$M$18,MATCH($B48,Usage!$B$4:$B$18,0),MATCH(IF($E48="CL1","CL1 Proportion","CL2 Proportion"),Usage!$B$8:$M$8,0))</f>
        <v>8.4785485000000005</v>
      </c>
      <c r="P48" s="128">
        <f>IFERROR(INDEX('Detail inputs'!$B$3:$K$195,MATCH($B48&amp;$C48&amp;$E48&amp;$G48&amp;P$5,'Detail inputs'!$B$3:$B$195&amp;'Detail inputs'!$D$3:$D$195&amp;'Detail inputs'!$F$3:$F$195&amp;'Detail inputs'!$G$3:$G$195&amp;'Detail inputs'!$H$3:$H$195,0),MATCH(P$4,'Detail inputs'!$B$3:$K$3,0)),0)</f>
        <v>0</v>
      </c>
      <c r="Q48" s="128">
        <f t="shared" si="21"/>
        <v>8.4785485000000005</v>
      </c>
      <c r="R48" s="143">
        <f>IFERROR(Q48/Q49,"")</f>
        <v>9.4633658250041428E-2</v>
      </c>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row>
    <row r="49" spans="2:43" x14ac:dyDescent="0.25">
      <c r="B49" s="3" t="str">
        <f t="shared" si="17"/>
        <v>Endeavour</v>
      </c>
      <c r="C49" s="3" t="str">
        <f t="shared" si="17"/>
        <v>Residential</v>
      </c>
      <c r="D49" s="3" t="str">
        <f t="shared" si="17"/>
        <v>with CL</v>
      </c>
      <c r="E49" s="3" t="s">
        <v>14</v>
      </c>
      <c r="F49" s="131">
        <f t="array" ref="F49">IFERROR(INDEX(Usage!$B$5:$P$18,MATCH($B49,Usage!$B$5:$B$18,0),MATCH($C49&amp;$D49&amp;$E49,Usage!$B$5:$S$5&amp;Usage!$B$6:$S$6&amp;Usage!$B$7:$S$7,0)),0)</f>
        <v>1474</v>
      </c>
      <c r="G49" s="5" t="s">
        <v>55</v>
      </c>
      <c r="H49" s="130">
        <f>+H48+H47</f>
        <v>23.482917100000002</v>
      </c>
      <c r="I49" s="130">
        <f>+I48+I47</f>
        <v>33.819000000000003</v>
      </c>
      <c r="J49" s="130">
        <f t="shared" si="20"/>
        <v>73.332123100000004</v>
      </c>
      <c r="K49" s="145"/>
      <c r="L49" s="152"/>
      <c r="M49" s="145">
        <f t="shared" si="18"/>
        <v>0.22174795591047025</v>
      </c>
      <c r="N49" s="130">
        <f t="shared" ref="N49:P49" si="22">SUM(N47:N48)</f>
        <v>0</v>
      </c>
      <c r="O49" s="130">
        <f t="shared" si="22"/>
        <v>26.208423500000002</v>
      </c>
      <c r="P49" s="130">
        <f t="shared" si="22"/>
        <v>43.001999999999995</v>
      </c>
      <c r="Q49" s="130">
        <f t="shared" si="21"/>
        <v>89.593371499999989</v>
      </c>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row>
    <row r="50" spans="2:43" x14ac:dyDescent="0.25">
      <c r="B50" s="3" t="str">
        <f t="shared" si="17"/>
        <v>Endeavour</v>
      </c>
      <c r="C50" s="3" t="str">
        <f t="shared" si="17"/>
        <v>Residential</v>
      </c>
      <c r="D50" s="3" t="str">
        <f t="shared" si="17"/>
        <v>with CL</v>
      </c>
      <c r="E50" s="3" t="s">
        <v>15</v>
      </c>
      <c r="F50" s="131">
        <f t="array" ref="F50">IFERROR(INDEX(Usage!$B$5:$P$18,MATCH($B50,Usage!$B$5:$B$18,0),MATCH($C50&amp;$D50&amp;$E50,Usage!$B$5:$S$5&amp;Usage!$B$6:$S$6&amp;Usage!$B$7:$S$7,0)),0)</f>
        <v>726</v>
      </c>
      <c r="G50" s="3" t="s">
        <v>57</v>
      </c>
      <c r="H50" s="128" cm="1">
        <f t="array" ref="H50">INDEX('Key inputs'!$C$17:$K$40,MATCH($B50&amp;$C50&amp;$E50,'Key inputs'!$C$17:$C$40&amp;'Key inputs'!$D$17:$D$40&amp;'Key inputs'!$E$17:$E$40,0),MATCH($G50&amp;H$4&amp;H$5,'Key inputs'!$C$18:$K$18&amp;'Key inputs'!$C$19:$K$19&amp;'Key inputs'!$C$20:$K$20,0))*INDEX(Usage!$B$4:$M$18,MATCH($B50,Usage!$B$4:$B$18,0),MATCH(IF($E50="CL1","CL1 Proportion","CL2 Proportion"),Usage!$B$8:$M$8,0))</f>
        <v>7.4678999999999984</v>
      </c>
      <c r="I50" s="246">
        <f t="array" ref="I50">INDEX('Key inputs'!$C$17:$K$40,MATCH($B50&amp;$C50&amp;$E50,'Key inputs'!$C$17:$C$40&amp;'Key inputs'!$D$17:$D$40&amp;'Key inputs'!$E$17:$E$40,0),MATCH($G50&amp;I$4&amp;I$5,'Key inputs'!$C$18:$K$18&amp;'Key inputs'!$C$19:$K$19&amp;'Key inputs'!$C$20:$K$20,0))</f>
        <v>53.552</v>
      </c>
      <c r="J50" s="128">
        <f t="shared" si="20"/>
        <v>46.346651999999999</v>
      </c>
      <c r="K50" s="143">
        <f>IFERROR(J50/J52,"")</f>
        <v>0.91875674989318912</v>
      </c>
      <c r="L50" s="143"/>
      <c r="M50" s="143">
        <f t="shared" si="18"/>
        <v>0.2201034715517316</v>
      </c>
      <c r="N50" s="140"/>
      <c r="O50" s="128" cm="1">
        <f t="array" ref="O50">INDEX('Key inputs'!$C$17:$K$40,MATCH($B50&amp;$C50&amp;$E50,'Key inputs'!$C$17:$C$40&amp;'Key inputs'!$D$17:$D$40&amp;'Key inputs'!$E$17:$E$40,0),MATCH($G50&amp;O$4&amp;O$5,'Key inputs'!$C$18:$K$18&amp;'Key inputs'!$C$19:$K$19&amp;'Key inputs'!$C$20:$K$20,0))*INDEX(Usage!$B$4:$M$18,MATCH($B50,Usage!$B$4:$B$18,0),MATCH(IF($E50="CL1","CL1 Proportion","CL2 Proportion"),Usage!$B$8:$M$8,0))</f>
        <v>8.7326249999999987</v>
      </c>
      <c r="P50" s="128">
        <f t="array" ref="P50">INDEX('Key inputs'!$C$17:$K$40,MATCH($B50&amp;$C50&amp;$E50,'Key inputs'!$C$17:$C$40&amp;'Key inputs'!$D$17:$D$40&amp;'Key inputs'!$E$17:$E$40,0),MATCH($G50&amp;P$4&amp;P$5,'Key inputs'!$C$18:$K$18&amp;'Key inputs'!$C$19:$K$19&amp;'Key inputs'!$C$20:$K$20,0))</f>
        <v>65.861000000000004</v>
      </c>
      <c r="Q50" s="128">
        <f t="shared" si="21"/>
        <v>56.547711</v>
      </c>
      <c r="R50" s="143">
        <f>IFERROR(Q50/Q52,"")</f>
        <v>0.93122947645864051</v>
      </c>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row>
    <row r="51" spans="2:43" x14ac:dyDescent="0.25">
      <c r="B51" s="3" t="str">
        <f t="shared" si="17"/>
        <v>Endeavour</v>
      </c>
      <c r="C51" s="3" t="str">
        <f t="shared" si="17"/>
        <v>Residential</v>
      </c>
      <c r="D51" s="3" t="str">
        <f t="shared" si="17"/>
        <v>with CL</v>
      </c>
      <c r="E51" s="3" t="s">
        <v>15</v>
      </c>
      <c r="F51" s="131">
        <f t="array" ref="F51">IFERROR(INDEX(Usage!$B$5:$P$18,MATCH($B51,Usage!$B$5:$B$18,0),MATCH($C51&amp;$D51&amp;$E51,Usage!$B$5:$S$5&amp;Usage!$B$6:$S$6&amp;Usage!$B$7:$S$7,0)),0)</f>
        <v>726</v>
      </c>
      <c r="G51" s="3" t="s">
        <v>61</v>
      </c>
      <c r="H51" s="128" cm="1">
        <f t="array" ref="H51">INDEX('Key inputs'!$C$17:$K$40,MATCH($B51&amp;$C51&amp;$E51,'Key inputs'!$C$17:$C$40&amp;'Key inputs'!$D$17:$D$40&amp;'Key inputs'!$E$17:$E$40,0),MATCH($G51&amp;H$4&amp;H$5,'Key inputs'!$C$18:$K$18&amp;'Key inputs'!$C$19:$K$19&amp;'Key inputs'!$C$20:$K$20,0))*INDEX(Usage!$B$4:$M$18,MATCH($B51,Usage!$B$4:$B$18,0),MATCH(IF($E51="CL1","CL1 Proportion","CL2 Proportion"),Usage!$B$8:$M$8,0))</f>
        <v>4.0983128999999989</v>
      </c>
      <c r="I51" s="128">
        <f>IFERROR(INDEX('Detail inputs'!$B$3:$K$195,MATCH($B51&amp;$C51&amp;$E51&amp;$G51&amp;I$5,'Detail inputs'!$B$3:$B$195&amp;'Detail inputs'!$D$3:$D$195&amp;'Detail inputs'!$F$3:$F$195&amp;'Detail inputs'!$G$3:$G$195&amp;'Detail inputs'!$H$3:$H$195,0),MATCH(I$4,'Detail inputs'!$B$3:$K$3,0)),0)</f>
        <v>0</v>
      </c>
      <c r="J51" s="128">
        <f t="shared" si="20"/>
        <v>4.0983128999999989</v>
      </c>
      <c r="K51" s="143">
        <f>IFERROR(J51/J52,"")</f>
        <v>8.1243250106810938E-2</v>
      </c>
      <c r="L51" s="143"/>
      <c r="M51" s="143">
        <f t="shared" si="18"/>
        <v>1.8956239285682797E-2</v>
      </c>
      <c r="N51" s="140"/>
      <c r="O51" s="128" cm="1">
        <f t="array" ref="O51">INDEX('Key inputs'!$C$17:$K$40,MATCH($B51&amp;$C51&amp;$E51,'Key inputs'!$C$17:$C$40&amp;'Key inputs'!$D$17:$D$40&amp;'Key inputs'!$E$17:$E$40,0),MATCH($G51&amp;O$4&amp;O$5,'Key inputs'!$C$18:$K$18&amp;'Key inputs'!$C$19:$K$19&amp;'Key inputs'!$C$20:$K$20,0))*INDEX(Usage!$B$4:$M$18,MATCH($B51,Usage!$B$4:$B$18,0),MATCH(IF($E51="CL1","CL1 Proportion","CL2 Proportion"),Usage!$B$8:$M$8,0))</f>
        <v>4.1760014999999999</v>
      </c>
      <c r="P51" s="128">
        <f>IFERROR(INDEX('Detail inputs'!$B$3:$K$195,MATCH($B51&amp;$C51&amp;$E51&amp;$G51&amp;P$5,'Detail inputs'!$B$3:$B$195&amp;'Detail inputs'!$D$3:$D$195&amp;'Detail inputs'!$F$3:$F$195&amp;'Detail inputs'!$G$3:$G$195&amp;'Detail inputs'!$H$3:$H$195,0),MATCH(P$4,'Detail inputs'!$B$3:$K$3,0)),0)</f>
        <v>0</v>
      </c>
      <c r="Q51" s="128">
        <f t="shared" si="21"/>
        <v>4.1760014999999999</v>
      </c>
      <c r="R51" s="143">
        <f>IFERROR(Q51/Q52,"")</f>
        <v>6.8770523541359568E-2</v>
      </c>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row>
    <row r="52" spans="2:43" x14ac:dyDescent="0.25">
      <c r="B52" s="3" t="str">
        <f t="shared" si="17"/>
        <v>Endeavour</v>
      </c>
      <c r="C52" s="3" t="str">
        <f t="shared" si="17"/>
        <v>Residential</v>
      </c>
      <c r="D52" s="3" t="str">
        <f t="shared" si="17"/>
        <v>with CL</v>
      </c>
      <c r="E52" s="3" t="s">
        <v>15</v>
      </c>
      <c r="F52" s="131">
        <f t="array" ref="F52">IFERROR(INDEX(Usage!$B$5:$P$18,MATCH($B52,Usage!$B$5:$B$18,0),MATCH($C52&amp;$D52&amp;$E52,Usage!$B$5:$S$5&amp;Usage!$B$6:$S$6&amp;Usage!$B$7:$S$7,0)),0)</f>
        <v>726</v>
      </c>
      <c r="G52" s="5" t="s">
        <v>55</v>
      </c>
      <c r="H52" s="130">
        <f>+H51+H50</f>
        <v>11.566212899999996</v>
      </c>
      <c r="I52" s="130">
        <f>+I51+I50</f>
        <v>53.552</v>
      </c>
      <c r="J52" s="130">
        <f t="shared" si="20"/>
        <v>50.444964899999995</v>
      </c>
      <c r="K52" s="145"/>
      <c r="L52" s="152"/>
      <c r="M52" s="145">
        <f t="shared" si="18"/>
        <v>0.20376161665244807</v>
      </c>
      <c r="N52" s="150"/>
      <c r="O52" s="130">
        <f>SUM(O50:O51)</f>
        <v>12.908626499999999</v>
      </c>
      <c r="P52" s="130">
        <f>SUM(P50:P51)</f>
        <v>65.861000000000004</v>
      </c>
      <c r="Q52" s="130">
        <f t="shared" si="21"/>
        <v>60.723712499999998</v>
      </c>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row>
    <row r="53" spans="2:43" x14ac:dyDescent="0.25">
      <c r="B53" s="3" t="str">
        <f t="shared" si="17"/>
        <v>Endeavour</v>
      </c>
      <c r="C53" s="3" t="str">
        <f t="shared" si="17"/>
        <v>Residential</v>
      </c>
      <c r="D53" s="3" t="str">
        <f t="shared" si="17"/>
        <v>with CL</v>
      </c>
      <c r="E53" s="3" t="s">
        <v>55</v>
      </c>
      <c r="F53" s="131">
        <f t="array" ref="F53">IFERROR(INDEX(Usage!$B$5:$P$18,MATCH($B53,Usage!$B$5:$B$18,0),MATCH($C53&amp;$D53&amp;$E53,Usage!$B$5:$S$5&amp;Usage!$B$6:$S$6&amp;Usage!$B$7:$S$7,0)),0)</f>
        <v>7400</v>
      </c>
      <c r="G53" s="5" t="s">
        <v>55</v>
      </c>
      <c r="H53" s="130"/>
      <c r="I53" s="130"/>
      <c r="J53" s="130">
        <f>SUM(J46,J49,J52)</f>
        <v>849.22151799999995</v>
      </c>
      <c r="K53" s="145"/>
      <c r="L53" s="152"/>
      <c r="M53" s="145">
        <f>IF(OR(J53=0,J53="",Q53=""),"",Q53/J53-1)</f>
        <v>0.11069987512963619</v>
      </c>
      <c r="N53" s="150"/>
      <c r="O53" s="130"/>
      <c r="P53" s="130"/>
      <c r="Q53" s="130">
        <f>SUM(Q46,Q49,Q52)</f>
        <v>943.230234</v>
      </c>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row>
    <row r="54" spans="2:43" x14ac:dyDescent="0.25">
      <c r="B54" s="3" t="str">
        <f t="shared" si="17"/>
        <v>Endeavour</v>
      </c>
      <c r="C54" s="3" t="str">
        <f t="shared" si="17"/>
        <v>Residential</v>
      </c>
      <c r="D54" s="3" t="str">
        <f t="shared" si="17"/>
        <v>with CL</v>
      </c>
      <c r="F54" s="131"/>
      <c r="G54" s="3" t="s">
        <v>38</v>
      </c>
      <c r="H54" s="128"/>
      <c r="I54" s="128"/>
      <c r="J54" s="128">
        <f>J53*GST</f>
        <v>84.922151799999995</v>
      </c>
      <c r="K54" s="144"/>
      <c r="L54" s="151"/>
      <c r="M54" s="143">
        <f t="shared" si="18"/>
        <v>0.11069987512963619</v>
      </c>
      <c r="N54" s="149"/>
      <c r="O54" s="128"/>
      <c r="P54" s="128"/>
      <c r="Q54" s="128">
        <f>Q53*GST</f>
        <v>94.323023400000011</v>
      </c>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row>
    <row r="55" spans="2:43" x14ac:dyDescent="0.25">
      <c r="B55" s="3" t="str">
        <f t="shared" si="17"/>
        <v>Endeavour</v>
      </c>
      <c r="C55" s="3" t="str">
        <f t="shared" si="17"/>
        <v>Residential</v>
      </c>
      <c r="D55" s="3" t="str">
        <f t="shared" si="17"/>
        <v>with CL</v>
      </c>
      <c r="F55" s="131"/>
      <c r="G55" s="5" t="s">
        <v>80</v>
      </c>
      <c r="H55" s="130"/>
      <c r="I55" s="130"/>
      <c r="J55" s="130">
        <f>SUM(J53:J54)</f>
        <v>934.1436698</v>
      </c>
      <c r="K55" s="145"/>
      <c r="L55" s="152"/>
      <c r="M55" s="145">
        <f t="shared" si="18"/>
        <v>0.11069987512963597</v>
      </c>
      <c r="N55" s="150"/>
      <c r="O55" s="130"/>
      <c r="P55" s="130"/>
      <c r="Q55" s="130">
        <f>SUM(Q53:Q54)</f>
        <v>1037.5532573999999</v>
      </c>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row>
    <row r="56" spans="2:43" x14ac:dyDescent="0.25">
      <c r="F56" s="131"/>
      <c r="H56" s="128"/>
      <c r="I56" s="128"/>
      <c r="J56" s="128"/>
      <c r="K56" s="143"/>
      <c r="L56" s="151"/>
      <c r="M56" s="143"/>
      <c r="N56" s="149"/>
      <c r="O56" s="128"/>
      <c r="P56" s="128"/>
      <c r="Q56" s="128"/>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row>
    <row r="57" spans="2:43" x14ac:dyDescent="0.25">
      <c r="B57" s="5" t="s">
        <v>4</v>
      </c>
      <c r="C57" s="5" t="s">
        <v>13</v>
      </c>
      <c r="D57" s="5" t="s">
        <v>127</v>
      </c>
      <c r="F57" s="131"/>
      <c r="H57" s="128"/>
      <c r="I57" s="128"/>
      <c r="J57" s="128"/>
      <c r="K57" s="143"/>
      <c r="L57" s="151"/>
      <c r="M57" s="143"/>
      <c r="N57" s="149"/>
      <c r="O57" s="128"/>
      <c r="P57" s="128"/>
      <c r="Q57" s="128"/>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row>
    <row r="58" spans="2:43" x14ac:dyDescent="0.25">
      <c r="B58" s="3" t="str">
        <f t="shared" ref="B58:D62" si="23">B$57</f>
        <v>Endeavour</v>
      </c>
      <c r="C58" s="3" t="str">
        <f t="shared" si="23"/>
        <v>Small business</v>
      </c>
      <c r="D58" s="3" t="str">
        <f t="shared" si="23"/>
        <v>without CL</v>
      </c>
      <c r="E58" s="3" t="s">
        <v>19</v>
      </c>
      <c r="F58" s="131">
        <f t="array" ref="F58">IFERROR(INDEX(Usage!$B$5:$P$18,MATCH($B58,Usage!$B$5:$B$18,0),MATCH($C58&amp;$D58&amp;$E58,Usage!$B$5:$S$5&amp;Usage!$B$6:$S$6&amp;Usage!$B$7:$S$7,0)),0)</f>
        <v>10000</v>
      </c>
      <c r="G58" s="3" t="s">
        <v>57</v>
      </c>
      <c r="H58" s="128">
        <f t="array" ref="H58">INDEX('Key inputs'!$C$17:$K$40,MATCH($B58&amp;$C58&amp;$E58,'Key inputs'!$C$17:$C$40&amp;'Key inputs'!$D$17:$D$40&amp;'Key inputs'!$E$17:$E$40,0),MATCH($G58&amp;H$4&amp;H$5,'Key inputs'!$C$18:$K$18&amp;'Key inputs'!$C$19:$K$19&amp;'Key inputs'!$C$20:$K$20,0))</f>
        <v>272.32650000000001</v>
      </c>
      <c r="I58" s="128">
        <f t="array" ref="I58">INDEX('Key inputs'!$C$17:$K$40,MATCH($B58&amp;$C58&amp;$E58,'Key inputs'!$C$17:$C$40&amp;'Key inputs'!$D$17:$D$40&amp;'Key inputs'!$E$17:$E$40,0),MATCH($G58&amp;I$4&amp;I$5,'Key inputs'!$C$18:$K$18&amp;'Key inputs'!$C$19:$K$19&amp;'Key inputs'!$C$20:$K$20,0))</f>
        <v>103.703</v>
      </c>
      <c r="J58" s="128">
        <f>H58+I58*+Usage!M37/1000</f>
        <v>1309.3564999999999</v>
      </c>
      <c r="K58" s="143">
        <f>IFERROR(J58/J60,"")</f>
        <v>0.99060420716033304</v>
      </c>
      <c r="L58" s="143"/>
      <c r="M58" s="143">
        <f t="shared" ref="M58:M62" si="24">IF(OR(J58=0,J58="",Q58=""),"",Q58/J58-1)</f>
        <v>9.952255172674529E-2</v>
      </c>
      <c r="N58" s="140"/>
      <c r="O58" s="128">
        <f t="array" ref="O58">INDEX('Key inputs'!$C$17:$K$40,MATCH($B58&amp;$C58&amp;$E58,'Key inputs'!$C$17:$C$40&amp;'Key inputs'!$D$17:$D$40&amp;'Key inputs'!$E$17:$E$40,0),MATCH($G58&amp;O$4&amp;O$5,'Key inputs'!$C$18:$K$18&amp;'Key inputs'!$C$19:$K$19&amp;'Key inputs'!$C$20:$K$20,0))</f>
        <v>311.63699999999994</v>
      </c>
      <c r="P58" s="128">
        <f t="array" ref="P58">INDEX('Key inputs'!$C$17:$K$40,MATCH($B58&amp;$C58&amp;$E58,'Key inputs'!$C$17:$C$40&amp;'Key inputs'!$D$17:$D$40&amp;'Key inputs'!$E$17:$E$40,0),MATCH($G58&amp;P$4&amp;P$5,'Key inputs'!$C$18:$K$18&amp;'Key inputs'!$C$19:$K$19&amp;'Key inputs'!$C$20:$K$20,0))</f>
        <v>112.803</v>
      </c>
      <c r="Q58" s="128">
        <f>O58+P58*$F58/1000</f>
        <v>1439.6669999999999</v>
      </c>
      <c r="R58" s="143">
        <f>IFERROR(Q58/Q60,"")</f>
        <v>0.99128667477253918</v>
      </c>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row>
    <row r="59" spans="2:43" x14ac:dyDescent="0.25">
      <c r="B59" s="3" t="str">
        <f t="shared" si="23"/>
        <v>Endeavour</v>
      </c>
      <c r="C59" s="3" t="str">
        <f t="shared" si="23"/>
        <v>Small business</v>
      </c>
      <c r="D59" s="3" t="str">
        <f t="shared" si="23"/>
        <v>without CL</v>
      </c>
      <c r="E59" s="3" t="s">
        <v>19</v>
      </c>
      <c r="F59" s="131">
        <f t="array" ref="F59">IFERROR(INDEX(Usage!$B$5:$P$18,MATCH($B59,Usage!$B$5:$B$18,0),MATCH($C59&amp;$D59&amp;$E59,Usage!$B$5:$S$5&amp;Usage!$B$6:$S$6&amp;Usage!$B$7:$S$7,0)),0)</f>
        <v>10000</v>
      </c>
      <c r="G59" s="3" t="s">
        <v>61</v>
      </c>
      <c r="H59" s="128">
        <f t="array" ref="H59">INDEX('Key inputs'!$C$17:$K$40,MATCH($B59&amp;$C59&amp;$E59,'Key inputs'!$C$17:$C$40&amp;'Key inputs'!$D$17:$D$40&amp;'Key inputs'!$E$17:$E$40,0),MATCH($G59&amp;H$4&amp;H$5,'Key inputs'!$C$18:$K$18&amp;'Key inputs'!$C$19:$K$19&amp;'Key inputs'!$C$20:$K$20,0))</f>
        <v>12.419129999999999</v>
      </c>
      <c r="I59" s="128">
        <f>IFERROR(INDEX('Detail inputs'!$B$3:$K$195,MATCH($B59&amp;$C59&amp;$E59&amp;$G59&amp;I$5,'Detail inputs'!$B$3:$B$195&amp;'Detail inputs'!$D$3:$D$195&amp;'Detail inputs'!$F$3:$F$195&amp;'Detail inputs'!$G$3:$G$195&amp;'Detail inputs'!$H$3:$H$195,0),MATCH(I$4,'Detail inputs'!$B$3:$K$3,0)),0)</f>
        <v>0</v>
      </c>
      <c r="J59" s="128">
        <f>H59+I59*+Usage!M$37/1000</f>
        <v>12.419129999999999</v>
      </c>
      <c r="K59" s="143">
        <f>IFERROR(J59/J60,"")</f>
        <v>9.3957928396667424E-3</v>
      </c>
      <c r="L59" s="143"/>
      <c r="M59" s="143">
        <f t="shared" si="24"/>
        <v>1.8956239285682797E-2</v>
      </c>
      <c r="N59" s="140"/>
      <c r="O59" s="128">
        <f t="array" ref="O59">INDEX('Key inputs'!$C$17:$K$40,MATCH($B59&amp;$C59&amp;$E59,'Key inputs'!$C$17:$C$40&amp;'Key inputs'!$D$17:$D$40&amp;'Key inputs'!$E$17:$E$40,0),MATCH($G59&amp;O$4&amp;O$5,'Key inputs'!$C$18:$K$18&amp;'Key inputs'!$C$19:$K$19&amp;'Key inputs'!$C$20:$K$20,0))</f>
        <v>12.65455</v>
      </c>
      <c r="P59" s="128">
        <f>IFERROR(INDEX('Detail inputs'!$B$3:$K$195,MATCH($B59&amp;$C59&amp;$E59&amp;$G59&amp;P$5,'Detail inputs'!$B$3:$B$195&amp;'Detail inputs'!$D$3:$D$195&amp;'Detail inputs'!$F$3:$F$195&amp;'Detail inputs'!$G$3:$G$195&amp;'Detail inputs'!$H$3:$H$195,0),MATCH(P$4,'Detail inputs'!$B$3:$K$3,0)),0)</f>
        <v>0</v>
      </c>
      <c r="Q59" s="128">
        <f>O59+P59*$F$59/1000</f>
        <v>12.65455</v>
      </c>
      <c r="R59" s="143">
        <f>IFERROR(Q59/Q60,"")</f>
        <v>8.7133252274608202E-3</v>
      </c>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row>
    <row r="60" spans="2:43" x14ac:dyDescent="0.25">
      <c r="B60" s="3" t="str">
        <f t="shared" si="23"/>
        <v>Endeavour</v>
      </c>
      <c r="C60" s="3" t="str">
        <f t="shared" si="23"/>
        <v>Small business</v>
      </c>
      <c r="D60" s="3" t="str">
        <f t="shared" si="23"/>
        <v>without CL</v>
      </c>
      <c r="E60" s="3" t="s">
        <v>19</v>
      </c>
      <c r="F60" s="131">
        <f t="array" ref="F60">IFERROR(INDEX(Usage!$B$5:$P$18,MATCH($B60,Usage!$B$5:$B$18,0),MATCH($C60&amp;$D60&amp;$E60,Usage!$B$5:$S$5&amp;Usage!$B$6:$S$6&amp;Usage!$B$7:$S$7,0)),0)</f>
        <v>10000</v>
      </c>
      <c r="G60" s="5" t="s">
        <v>55</v>
      </c>
      <c r="H60" s="130">
        <f>+H59+H58</f>
        <v>284.74563000000001</v>
      </c>
      <c r="I60" s="130">
        <f>+I58</f>
        <v>103.703</v>
      </c>
      <c r="J60" s="130">
        <f>H60+I60*+Usage!M$37/1000</f>
        <v>1321.7756300000001</v>
      </c>
      <c r="K60" s="145"/>
      <c r="L60" s="152"/>
      <c r="M60" s="145">
        <f t="shared" si="24"/>
        <v>9.8765567345192817E-2</v>
      </c>
      <c r="N60" s="150"/>
      <c r="O60" s="130">
        <f>+O59+O58</f>
        <v>324.29154999999992</v>
      </c>
      <c r="P60" s="130">
        <f>+P58</f>
        <v>112.803</v>
      </c>
      <c r="Q60" s="130">
        <f>O60+P60*$F$60/1000</f>
        <v>1452.3215499999999</v>
      </c>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row>
    <row r="61" spans="2:43" x14ac:dyDescent="0.25">
      <c r="B61" s="3" t="str">
        <f t="shared" si="23"/>
        <v>Endeavour</v>
      </c>
      <c r="C61" s="3" t="str">
        <f t="shared" si="23"/>
        <v>Small business</v>
      </c>
      <c r="D61" s="3" t="str">
        <f t="shared" si="23"/>
        <v>without CL</v>
      </c>
      <c r="E61" s="3" t="s">
        <v>19</v>
      </c>
      <c r="F61" s="131">
        <f t="array" ref="F61">IFERROR(INDEX(Usage!$B$5:$P$18,MATCH($B61,Usage!$B$5:$B$18,0),MATCH($C61&amp;$D61&amp;$E61,Usage!$B$5:$S$5&amp;Usage!$B$6:$S$6&amp;Usage!$B$7:$S$7,0)),0)</f>
        <v>10000</v>
      </c>
      <c r="G61" s="3" t="s">
        <v>38</v>
      </c>
      <c r="H61" s="128"/>
      <c r="I61" s="128"/>
      <c r="J61" s="128">
        <f>J60*GST</f>
        <v>132.17756300000002</v>
      </c>
      <c r="K61" s="144"/>
      <c r="L61" s="151"/>
      <c r="M61" s="143">
        <f t="shared" si="24"/>
        <v>9.8765567345193039E-2</v>
      </c>
      <c r="N61" s="149"/>
      <c r="O61" s="128"/>
      <c r="P61" s="128"/>
      <c r="Q61" s="128">
        <f>Q60*GST</f>
        <v>145.23215500000001</v>
      </c>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row>
    <row r="62" spans="2:43" x14ac:dyDescent="0.25">
      <c r="B62" s="3" t="str">
        <f t="shared" si="23"/>
        <v>Endeavour</v>
      </c>
      <c r="C62" s="3" t="str">
        <f t="shared" si="23"/>
        <v>Small business</v>
      </c>
      <c r="D62" s="3" t="str">
        <f t="shared" si="23"/>
        <v>without CL</v>
      </c>
      <c r="F62" s="131"/>
      <c r="G62" s="5" t="s">
        <v>80</v>
      </c>
      <c r="H62" s="130"/>
      <c r="I62" s="130"/>
      <c r="J62" s="130">
        <f>SUM(J60:J61)</f>
        <v>1453.9531930000001</v>
      </c>
      <c r="K62" s="145"/>
      <c r="L62" s="152"/>
      <c r="M62" s="145">
        <f t="shared" si="24"/>
        <v>9.8765567345192817E-2</v>
      </c>
      <c r="N62" s="150"/>
      <c r="O62" s="130"/>
      <c r="P62" s="130"/>
      <c r="Q62" s="130">
        <f>SUM(Q60:Q61)</f>
        <v>1597.5537049999998</v>
      </c>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row>
    <row r="63" spans="2:43" x14ac:dyDescent="0.25">
      <c r="F63" s="131"/>
      <c r="H63" s="128"/>
      <c r="I63" s="128"/>
      <c r="J63" s="128"/>
      <c r="K63" s="143"/>
      <c r="L63" s="151"/>
      <c r="M63" s="143"/>
      <c r="N63" s="149"/>
      <c r="O63" s="128"/>
      <c r="P63" s="128"/>
      <c r="Q63" s="128"/>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row>
    <row r="64" spans="2:43" x14ac:dyDescent="0.25">
      <c r="B64" s="5" t="s">
        <v>3</v>
      </c>
      <c r="C64" s="5" t="s">
        <v>6</v>
      </c>
      <c r="D64" s="5" t="s">
        <v>127</v>
      </c>
      <c r="F64" s="131"/>
      <c r="H64" s="128"/>
      <c r="I64" s="128"/>
      <c r="J64" s="128"/>
      <c r="K64" s="143"/>
      <c r="L64" s="143"/>
      <c r="M64" s="143"/>
      <c r="N64" s="140"/>
      <c r="O64" s="128"/>
      <c r="P64" s="128"/>
      <c r="Q64" s="128"/>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row>
    <row r="65" spans="2:43" x14ac:dyDescent="0.25">
      <c r="B65" s="3" t="str">
        <f t="shared" ref="B65:D69" si="25">B$64</f>
        <v>Essential</v>
      </c>
      <c r="C65" s="3" t="str">
        <f t="shared" si="25"/>
        <v>Residential</v>
      </c>
      <c r="D65" s="3" t="str">
        <f t="shared" si="25"/>
        <v>without CL</v>
      </c>
      <c r="E65" s="3" t="s">
        <v>19</v>
      </c>
      <c r="F65" s="131">
        <f t="array" ref="F65">IFERROR(INDEX(Usage!$B$5:$P$18,MATCH($B65,Usage!$B$5:$B$18,0),MATCH($C65&amp;$D65&amp;$E65,Usage!$B$5:$S$5&amp;Usage!$B$6:$S$6&amp;Usage!$B$7:$S$7,0)),0)</f>
        <v>4600</v>
      </c>
      <c r="G65" s="3" t="s">
        <v>57</v>
      </c>
      <c r="H65" s="128">
        <f t="array" ref="H65">INDEX('Key inputs'!$C$17:$K$40,MATCH($B65&amp;$C65&amp;$E65,'Key inputs'!$C$17:$C$40&amp;'Key inputs'!$D$17:$D$40&amp;'Key inputs'!$E$17:$E$40,0),MATCH($G65&amp;H$4&amp;H$5,'Key inputs'!$C$18:$K$18&amp;'Key inputs'!$C$19:$K$19&amp;'Key inputs'!$C$20:$K$20,0))</f>
        <v>406.15737690164713</v>
      </c>
      <c r="I65" s="128">
        <f t="array" ref="I65">INDEX('Key inputs'!$C$17:$K$40,MATCH($B65&amp;$C65&amp;$E65,'Key inputs'!$C$17:$C$40&amp;'Key inputs'!$D$17:$D$40&amp;'Key inputs'!$E$17:$E$40,0),MATCH($G65&amp;I$4&amp;I$5,'Key inputs'!$C$18:$K$18&amp;'Key inputs'!$C$19:$K$19&amp;'Key inputs'!$C$20:$K$20,0))</f>
        <v>126.80754120996902</v>
      </c>
      <c r="J65" s="128">
        <f>H65+I65*+Usage!C38/1000</f>
        <v>989.47206646750465</v>
      </c>
      <c r="K65" s="143">
        <f>IFERROR(J65/J67,"")</f>
        <v>0.94228177632516497</v>
      </c>
      <c r="L65" s="143"/>
      <c r="M65" s="143">
        <f t="shared" ref="M65:M67" si="26">IF(OR(J65=0,J65="",Q65=""),"",Q65/J65-1)</f>
        <v>8.4730315393213962E-2</v>
      </c>
      <c r="N65" s="140"/>
      <c r="O65" s="128" cm="1">
        <f t="array" ref="O65">INDEX('Key inputs'!$C$17:$K$40,MATCH($B65&amp;$C65&amp;$E65,'Key inputs'!$C$17:$C$40&amp;'Key inputs'!$D$17:$D$40&amp;'Key inputs'!$E$17:$E$40,0),MATCH($G65&amp;O$4&amp;O$5,'Key inputs'!$C$18:$K$18&amp;'Key inputs'!$C$19:$K$19&amp;'Key inputs'!$C$20:$K$20,0))</f>
        <v>440.68497988884502</v>
      </c>
      <c r="P65" s="128">
        <f t="array" ref="P65">INDEX('Key inputs'!$C$17:$K$40,MATCH($B65&amp;$C65&amp;$E65,'Key inputs'!$C$17:$C$40&amp;'Key inputs'!$D$17:$D$40&amp;'Key inputs'!$E$17:$E$40,0),MATCH($G65&amp;P$4&amp;P$5,'Key inputs'!$C$18:$K$18&amp;'Key inputs'!$C$19:$K$19&amp;'Key inputs'!$C$20:$K$20,0))</f>
        <v>137.527253661571</v>
      </c>
      <c r="Q65" s="128">
        <f>O65+P65*$F65/1000</f>
        <v>1073.3103467320716</v>
      </c>
      <c r="R65" s="143">
        <f>IFERROR(Q65/Q67,"")</f>
        <v>0.94528380261304423</v>
      </c>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row>
    <row r="66" spans="2:43" x14ac:dyDescent="0.25">
      <c r="B66" s="3" t="str">
        <f t="shared" si="25"/>
        <v>Essential</v>
      </c>
      <c r="C66" s="3" t="str">
        <f t="shared" si="25"/>
        <v>Residential</v>
      </c>
      <c r="D66" s="3" t="str">
        <f t="shared" si="25"/>
        <v>without CL</v>
      </c>
      <c r="E66" s="3" t="s">
        <v>19</v>
      </c>
      <c r="F66" s="131">
        <f t="array" ref="F66">IFERROR(INDEX(Usage!$B$5:$P$18,MATCH($B66,Usage!$B$5:$B$18,0),MATCH($C66&amp;$D66&amp;$E66,Usage!$B$5:$S$5&amp;Usage!$B$6:$S$6&amp;Usage!$B$7:$S$7,0)),0)</f>
        <v>4600</v>
      </c>
      <c r="G66" s="3" t="s">
        <v>61</v>
      </c>
      <c r="H66" s="128">
        <f t="array" ref="H66">INDEX('Key inputs'!$C$17:$K$40,MATCH($B66&amp;$C66&amp;$E66,'Key inputs'!$C$17:$C$40&amp;'Key inputs'!$D$17:$D$40&amp;'Key inputs'!$E$17:$E$40,0),MATCH($G66&amp;H$4&amp;H$5,'Key inputs'!$C$18:$K$18&amp;'Key inputs'!$C$19:$K$19&amp;'Key inputs'!$C$20:$K$20,0))</f>
        <v>60.608802470000001</v>
      </c>
      <c r="I66" s="128">
        <f>IFERROR(INDEX('Detail inputs'!$B$3:$K$195,MATCH($B66&amp;$C66&amp;$E66&amp;$G66&amp;I$5,'Detail inputs'!$B$3:$B$195&amp;'Detail inputs'!$D$3:$D$195&amp;'Detail inputs'!$F$3:$F$195&amp;'Detail inputs'!$G$3:$G$195&amp;'Detail inputs'!$H$3:$H$195,0),MATCH(I$4,'Detail inputs'!$B$3:$K$3,0)),0)</f>
        <v>0</v>
      </c>
      <c r="J66" s="128">
        <f>H66+I66*+Usage!C$38/1000</f>
        <v>60.608802470000001</v>
      </c>
      <c r="K66" s="143">
        <f>IFERROR(J66/J67,"")</f>
        <v>5.7718223674835013E-2</v>
      </c>
      <c r="L66" s="143"/>
      <c r="M66" s="143">
        <f t="shared" si="26"/>
        <v>2.5045879232689527E-2</v>
      </c>
      <c r="N66" s="140"/>
      <c r="O66" s="128">
        <f t="array" ref="O66">INDEX('Key inputs'!$C$17:$K$40,MATCH($B66&amp;$C66&amp;$E66,'Key inputs'!$C$17:$C$40&amp;'Key inputs'!$D$17:$D$40&amp;'Key inputs'!$E$17:$E$40,0),MATCH($G66&amp;O$4&amp;O$5,'Key inputs'!$C$18:$K$18&amp;'Key inputs'!$C$19:$K$19&amp;'Key inputs'!$C$20:$K$20,0))</f>
        <v>62.126803217101561</v>
      </c>
      <c r="P66" s="128">
        <f>IFERROR(INDEX('Detail inputs'!$B$3:$K$195,MATCH($B66&amp;$C66&amp;$E66&amp;$G66&amp;P$5,'Detail inputs'!$B$3:$B$195&amp;'Detail inputs'!$D$3:$D$195&amp;'Detail inputs'!$F$3:$F$195&amp;'Detail inputs'!$G$3:$G$195&amp;'Detail inputs'!$H$3:$H$195,0),MATCH(P$4,'Detail inputs'!$B$3:$K$3,0)),0)</f>
        <v>0</v>
      </c>
      <c r="Q66" s="128">
        <f>O66+P66*$F$66/1000</f>
        <v>62.126803217101561</v>
      </c>
      <c r="R66" s="143">
        <f>IFERROR(Q66/Q67,"")</f>
        <v>5.4716197386955864E-2</v>
      </c>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row>
    <row r="67" spans="2:43" x14ac:dyDescent="0.25">
      <c r="B67" s="3" t="str">
        <f t="shared" si="25"/>
        <v>Essential</v>
      </c>
      <c r="C67" s="3" t="str">
        <f t="shared" si="25"/>
        <v>Residential</v>
      </c>
      <c r="D67" s="3" t="str">
        <f t="shared" si="25"/>
        <v>without CL</v>
      </c>
      <c r="E67" s="3" t="s">
        <v>19</v>
      </c>
      <c r="F67" s="131">
        <f t="array" ref="F67">IFERROR(INDEX(Usage!$B$5:$P$18,MATCH($B67,Usage!$B$5:$B$18,0),MATCH($C67&amp;$D67&amp;$E67,Usage!$B$5:$S$5&amp;Usage!$B$6:$S$6&amp;Usage!$B$7:$S$7,0)),0)</f>
        <v>4600</v>
      </c>
      <c r="G67" s="5" t="s">
        <v>55</v>
      </c>
      <c r="H67" s="130">
        <f>+H66+H65</f>
        <v>466.76617937164713</v>
      </c>
      <c r="I67" s="130">
        <f>+I65</f>
        <v>126.80754120996902</v>
      </c>
      <c r="J67" s="130">
        <f>H67+I67*+Usage!C$38/1000</f>
        <v>1050.0808689375046</v>
      </c>
      <c r="K67" s="145"/>
      <c r="L67" s="152"/>
      <c r="M67" s="145">
        <f t="shared" si="26"/>
        <v>8.128543575699454E-2</v>
      </c>
      <c r="N67" s="150"/>
      <c r="O67" s="130">
        <f>+O66+O65</f>
        <v>502.81178310594657</v>
      </c>
      <c r="P67" s="130">
        <f>+P65</f>
        <v>137.527253661571</v>
      </c>
      <c r="Q67" s="130">
        <f>O67+P67*$F$67/1000</f>
        <v>1135.4371499491731</v>
      </c>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row>
    <row r="68" spans="2:43" x14ac:dyDescent="0.25">
      <c r="B68" s="3" t="str">
        <f t="shared" si="25"/>
        <v>Essential</v>
      </c>
      <c r="C68" s="3" t="str">
        <f t="shared" si="25"/>
        <v>Residential</v>
      </c>
      <c r="D68" s="3" t="str">
        <f t="shared" si="25"/>
        <v>without CL</v>
      </c>
      <c r="F68" s="131"/>
      <c r="G68" s="3" t="s">
        <v>38</v>
      </c>
      <c r="H68" s="128"/>
      <c r="I68" s="128"/>
      <c r="J68" s="128">
        <f>J67*GST</f>
        <v>105.00808689375047</v>
      </c>
      <c r="K68" s="144"/>
      <c r="L68" s="151"/>
      <c r="M68" s="143">
        <f>IF(OR(J68=0,Q68=""),"",Q68/J68-1)</f>
        <v>8.1285435756994318E-2</v>
      </c>
      <c r="N68" s="149"/>
      <c r="O68" s="128"/>
      <c r="P68" s="128"/>
      <c r="Q68" s="128">
        <f>Q67*GST</f>
        <v>113.54371499491731</v>
      </c>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row>
    <row r="69" spans="2:43" x14ac:dyDescent="0.25">
      <c r="B69" s="3" t="str">
        <f t="shared" si="25"/>
        <v>Essential</v>
      </c>
      <c r="C69" s="3" t="str">
        <f t="shared" si="25"/>
        <v>Residential</v>
      </c>
      <c r="D69" s="3" t="str">
        <f t="shared" si="25"/>
        <v>without CL</v>
      </c>
      <c r="F69" s="131"/>
      <c r="G69" s="5" t="s">
        <v>80</v>
      </c>
      <c r="H69" s="130"/>
      <c r="I69" s="130"/>
      <c r="J69" s="130">
        <f>SUM(J67:J68)</f>
        <v>1155.0889558312551</v>
      </c>
      <c r="K69" s="145"/>
      <c r="L69" s="152"/>
      <c r="M69" s="145">
        <f>IF(OR(J69=0,Q69=""),"",Q69/J69-1)</f>
        <v>8.128543575699454E-2</v>
      </c>
      <c r="N69" s="150"/>
      <c r="O69" s="130"/>
      <c r="P69" s="130"/>
      <c r="Q69" s="130">
        <f>SUM(Q67:Q68)</f>
        <v>1248.9808649440904</v>
      </c>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row>
    <row r="70" spans="2:43" x14ac:dyDescent="0.25">
      <c r="F70" s="131"/>
      <c r="H70" s="128"/>
      <c r="I70" s="128"/>
      <c r="J70" s="128"/>
      <c r="K70" s="143"/>
      <c r="L70" s="151"/>
      <c r="M70" s="143"/>
      <c r="N70" s="149"/>
      <c r="O70" s="128"/>
      <c r="P70" s="128"/>
      <c r="Q70" s="128"/>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row>
    <row r="71" spans="2:43" x14ac:dyDescent="0.25">
      <c r="B71" s="5" t="s">
        <v>3</v>
      </c>
      <c r="C71" s="5" t="s">
        <v>6</v>
      </c>
      <c r="D71" s="5" t="s">
        <v>128</v>
      </c>
      <c r="F71" s="131"/>
      <c r="H71" s="128"/>
      <c r="I71" s="128"/>
      <c r="J71" s="128"/>
      <c r="K71" s="143"/>
      <c r="L71" s="151"/>
      <c r="M71" s="143"/>
      <c r="N71" s="149"/>
      <c r="O71" s="128"/>
      <c r="P71" s="128"/>
      <c r="Q71" s="128"/>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row>
    <row r="72" spans="2:43" x14ac:dyDescent="0.25">
      <c r="B72" s="3" t="str">
        <f t="shared" ref="B72:D83" si="27">B$71</f>
        <v>Essential</v>
      </c>
      <c r="C72" s="3" t="str">
        <f t="shared" si="27"/>
        <v>Residential</v>
      </c>
      <c r="D72" s="3" t="str">
        <f t="shared" si="27"/>
        <v>with CL</v>
      </c>
      <c r="E72" s="3" t="s">
        <v>19</v>
      </c>
      <c r="F72" s="131">
        <f t="array" ref="F72">IFERROR(INDEX(Usage!$B$5:$P$18,MATCH($B72,Usage!$B$5:$B$18,0),MATCH($C72&amp;$D72&amp;$E72,Usage!$B$5:$S$5&amp;Usage!$B$6:$S$6&amp;Usage!$B$7:$S$7,0)),0)</f>
        <v>4600</v>
      </c>
      <c r="G72" s="21" t="s">
        <v>57</v>
      </c>
      <c r="H72" s="128">
        <f t="array" ref="H72">INDEX('Key inputs'!$C$17:$K$40,MATCH($B72&amp;$C72&amp;$E72,'Key inputs'!$C$17:$C$40&amp;'Key inputs'!$D$17:$D$40&amp;'Key inputs'!$E$17:$E$40,0),MATCH($G72&amp;H$4&amp;H$5,'Key inputs'!$C$18:$K$18&amp;'Key inputs'!$C$19:$K$19&amp;'Key inputs'!$C$20:$K$20,0))</f>
        <v>406.15737690164713</v>
      </c>
      <c r="I72" s="128">
        <f t="array" ref="I72">INDEX('Key inputs'!$C$17:$K$40,MATCH($B72&amp;$C72&amp;$E72,'Key inputs'!$C$17:$C$40&amp;'Key inputs'!$D$17:$D$40&amp;'Key inputs'!$E$17:$E$40,0),MATCH($G72&amp;I$4&amp;I$5,'Key inputs'!$C$18:$K$18&amp;'Key inputs'!$C$19:$K$19&amp;'Key inputs'!$C$20:$K$20,0))</f>
        <v>126.80754120996902</v>
      </c>
      <c r="J72" s="128">
        <f>H72+I72*+Usage!C39/1000</f>
        <v>989.47206646750465</v>
      </c>
      <c r="K72" s="143">
        <f>IFERROR(J72/J74,"")</f>
        <v>0.94228177632516497</v>
      </c>
      <c r="L72" s="143"/>
      <c r="M72" s="143">
        <f t="shared" ref="M72:M73" si="28">IF(OR(J72=0,J72="",Q72=""),"",Q72/J72-1)</f>
        <v>8.4730315393213962E-2</v>
      </c>
      <c r="N72" s="140"/>
      <c r="O72" s="128">
        <f t="array" ref="O72">INDEX('Key inputs'!$C$17:$K$40,MATCH($B72&amp;$C72&amp;$E72,'Key inputs'!$C$17:$C$40&amp;'Key inputs'!$D$17:$D$40&amp;'Key inputs'!$E$17:$E$40,0),MATCH($G72&amp;O$4&amp;O$5,'Key inputs'!$C$18:$K$18&amp;'Key inputs'!$C$19:$K$19&amp;'Key inputs'!$C$20:$K$20,0))</f>
        <v>440.68497988884502</v>
      </c>
      <c r="P72" s="128">
        <f t="array" ref="P72">INDEX('Key inputs'!$C$17:$K$40,MATCH($B72&amp;$C72&amp;$E72,'Key inputs'!$C$17:$C$40&amp;'Key inputs'!$D$17:$D$40&amp;'Key inputs'!$E$17:$E$40,0),MATCH($G72&amp;P$4&amp;P$5,'Key inputs'!$C$18:$K$18&amp;'Key inputs'!$C$19:$K$19&amp;'Key inputs'!$C$20:$K$20,0))</f>
        <v>137.527253661571</v>
      </c>
      <c r="Q72" s="128">
        <f>O72+P72*$F72/1000</f>
        <v>1073.3103467320716</v>
      </c>
      <c r="R72" s="143">
        <f>IFERROR(Q72/Q74,"")</f>
        <v>0.94528380261304423</v>
      </c>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row>
    <row r="73" spans="2:43" x14ac:dyDescent="0.25">
      <c r="B73" s="3" t="str">
        <f t="shared" si="27"/>
        <v>Essential</v>
      </c>
      <c r="C73" s="3" t="str">
        <f t="shared" si="27"/>
        <v>Residential</v>
      </c>
      <c r="D73" s="3" t="str">
        <f t="shared" si="27"/>
        <v>with CL</v>
      </c>
      <c r="E73" s="3" t="s">
        <v>19</v>
      </c>
      <c r="F73" s="131">
        <f t="array" ref="F73">IFERROR(INDEX(Usage!$B$5:$P$18,MATCH($B73,Usage!$B$5:$B$18,0),MATCH($C73&amp;$D73&amp;$E73,Usage!$B$5:$S$5&amp;Usage!$B$6:$S$6&amp;Usage!$B$7:$S$7,0)),0)</f>
        <v>4600</v>
      </c>
      <c r="G73" s="21" t="s">
        <v>61</v>
      </c>
      <c r="H73" s="128">
        <f t="array" ref="H73">INDEX('Key inputs'!$C$17:$K$40,MATCH($B73&amp;$C73&amp;$E73,'Key inputs'!$C$17:$C$40&amp;'Key inputs'!$D$17:$D$40&amp;'Key inputs'!$E$17:$E$40,0),MATCH($G73&amp;H$4&amp;H$5,'Key inputs'!$C$18:$K$18&amp;'Key inputs'!$C$19:$K$19&amp;'Key inputs'!$C$20:$K$20,0))</f>
        <v>60.608802470000001</v>
      </c>
      <c r="I73" s="128">
        <f>IFERROR(INDEX('Detail inputs'!$B$3:$K$195,MATCH($B73&amp;$C73&amp;$E73&amp;$G73&amp;I$5,'Detail inputs'!$B$3:$B$195&amp;'Detail inputs'!$D$3:$D$195&amp;'Detail inputs'!$F$3:$F$195&amp;'Detail inputs'!$G$3:$G$195&amp;'Detail inputs'!$H$3:$H$195,0),MATCH(I$4,'Detail inputs'!$B$3:$K$3,0)),0)</f>
        <v>0</v>
      </c>
      <c r="J73" s="128">
        <f>H73+I73*+Usage!C$39/1000</f>
        <v>60.608802470000001</v>
      </c>
      <c r="K73" s="143">
        <f>IFERROR(J73/J74,"")</f>
        <v>5.7718223674835013E-2</v>
      </c>
      <c r="L73" s="143"/>
      <c r="M73" s="143">
        <f t="shared" si="28"/>
        <v>2.5045879232689527E-2</v>
      </c>
      <c r="N73" s="140"/>
      <c r="O73" s="128">
        <f t="array" ref="O73">INDEX('Key inputs'!$C$17:$K$40,MATCH($B73&amp;$C73&amp;$E73,'Key inputs'!$C$17:$C$40&amp;'Key inputs'!$D$17:$D$40&amp;'Key inputs'!$E$17:$E$40,0),MATCH($G73&amp;O$4&amp;O$5,'Key inputs'!$C$18:$K$18&amp;'Key inputs'!$C$19:$K$19&amp;'Key inputs'!$C$20:$K$20,0))</f>
        <v>62.126803217101561</v>
      </c>
      <c r="P73" s="128">
        <f>IFERROR(INDEX('Detail inputs'!$B$3:$K$195,MATCH($B73&amp;$C73&amp;$E73&amp;$G73&amp;P$5,'Detail inputs'!$B$3:$B$195&amp;'Detail inputs'!$D$3:$D$195&amp;'Detail inputs'!$F$3:$F$195&amp;'Detail inputs'!$G$3:$G$195&amp;'Detail inputs'!$H$3:$H$195,0),MATCH(P$4,'Detail inputs'!$B$3:$K$3,0)),0)</f>
        <v>0</v>
      </c>
      <c r="Q73" s="128">
        <f>O73+P73*$F$73/1000</f>
        <v>62.126803217101561</v>
      </c>
      <c r="R73" s="143">
        <f>IFERROR(Q73/Q74,"")</f>
        <v>5.4716197386955864E-2</v>
      </c>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row>
    <row r="74" spans="2:43" x14ac:dyDescent="0.25">
      <c r="B74" s="3" t="str">
        <f t="shared" si="27"/>
        <v>Essential</v>
      </c>
      <c r="C74" s="3" t="str">
        <f t="shared" si="27"/>
        <v>Residential</v>
      </c>
      <c r="D74" s="3" t="str">
        <f t="shared" si="27"/>
        <v>with CL</v>
      </c>
      <c r="E74" s="3" t="s">
        <v>19</v>
      </c>
      <c r="F74" s="131">
        <f t="array" ref="F74">IFERROR(INDEX(Usage!$B$5:$P$18,MATCH($B74,Usage!$B$5:$B$18,0),MATCH($C74&amp;$D74&amp;$E74,Usage!$B$5:$S$5&amp;Usage!$B$6:$S$6&amp;Usage!$B$7:$S$7,0)),0)</f>
        <v>4600</v>
      </c>
      <c r="G74" s="5" t="s">
        <v>55</v>
      </c>
      <c r="H74" s="130">
        <f>+H73+H72</f>
        <v>466.76617937164713</v>
      </c>
      <c r="I74" s="130">
        <f>+I73+I72</f>
        <v>126.80754120996902</v>
      </c>
      <c r="J74" s="130">
        <f>H74+I74*+Usage!C$39/1000</f>
        <v>1050.0808689375046</v>
      </c>
      <c r="K74" s="145"/>
      <c r="L74" s="152"/>
      <c r="M74" s="145">
        <f>IF(OR(J74=0,Q74=""),"",Q74/J74-1)</f>
        <v>8.128543575699454E-2</v>
      </c>
      <c r="N74" s="150"/>
      <c r="O74" s="130">
        <f t="shared" ref="O74:P74" si="29">IF(AND(O72="",O73=""),H74*(1+K74),SUM(O72:O73))</f>
        <v>502.81178310594657</v>
      </c>
      <c r="P74" s="130">
        <f t="shared" si="29"/>
        <v>137.527253661571</v>
      </c>
      <c r="Q74" s="130">
        <f t="shared" ref="Q74:Q80" si="30">O74+P74*$F74/1000</f>
        <v>1135.4371499491731</v>
      </c>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row>
    <row r="75" spans="2:43" x14ac:dyDescent="0.25">
      <c r="B75" s="3" t="str">
        <f t="shared" si="27"/>
        <v>Essential</v>
      </c>
      <c r="C75" s="3" t="str">
        <f t="shared" si="27"/>
        <v>Residential</v>
      </c>
      <c r="D75" s="3" t="str">
        <f t="shared" si="27"/>
        <v>with CL</v>
      </c>
      <c r="E75" s="3" t="s">
        <v>14</v>
      </c>
      <c r="F75" s="131">
        <f t="array" ref="F75">IFERROR(INDEX(Usage!$B$5:$P$18,MATCH($B75,Usage!$B$5:$B$18,0),MATCH($C75&amp;$D75&amp;$E75,Usage!$B$5:$S$5&amp;Usage!$B$6:$S$6&amp;Usage!$B$7:$S$7,0)),0)</f>
        <v>1540</v>
      </c>
      <c r="G75" s="21" t="s">
        <v>57</v>
      </c>
      <c r="H75" s="128" cm="1">
        <f t="array" ref="H75">INDEX('Key inputs'!$C$17:$K$40,MATCH($B75&amp;$C75&amp;$E75,'Key inputs'!$C$17:$C$40&amp;'Key inputs'!$D$17:$D$40&amp;'Key inputs'!$E$17:$E$40,0),MATCH($G75&amp;H$4&amp;H$5,'Key inputs'!$C$18:$K$18&amp;'Key inputs'!$C$19:$K$19&amp;'Key inputs'!$C$20:$K$20,0))*INDEX(Usage!$B$4:$M$18,MATCH($B75,Usage!$B$4:$B$18,0),MATCH(IF($E75="CL1","CL1 Proportion","CL2 Proportion"),Usage!$B$8:$M$8,0))</f>
        <v>32.272448121650683</v>
      </c>
      <c r="I75" s="128" cm="1">
        <f t="array" ref="I75">INDEX('Key inputs'!$C$17:$K$40,MATCH($B75&amp;$C75&amp;$E75,'Key inputs'!$C$17:$C$40&amp;'Key inputs'!$D$17:$D$40&amp;'Key inputs'!$E$17:$E$40,0),MATCH($G75&amp;I$4&amp;I$5,'Key inputs'!$C$18:$K$18&amp;'Key inputs'!$C$19:$K$19&amp;'Key inputs'!$C$20:$K$20,0))</f>
        <v>27.129983855610998</v>
      </c>
      <c r="J75" s="128">
        <f t="shared" ref="J75:J80" si="31">H75+I75*F75/1000</f>
        <v>74.052623259291622</v>
      </c>
      <c r="K75" s="143">
        <f>IFERROR(J75/J77,"")</f>
        <v>1</v>
      </c>
      <c r="L75" s="143"/>
      <c r="M75" s="143">
        <f t="shared" ref="M75:M76" si="32">IF(OR(J75=0,J75="",Q75=""),"",Q75/J75-1)</f>
        <v>0.11068142287849714</v>
      </c>
      <c r="N75" s="140"/>
      <c r="O75" s="128" cm="1">
        <f t="array" ref="O75">INDEX('Key inputs'!$C$17:$K$40,MATCH($B75&amp;$C75&amp;$E75,'Key inputs'!$C$17:$C$40&amp;'Key inputs'!$D$17:$D$40&amp;'Key inputs'!$E$17:$E$40,0),MATCH($G75&amp;O$4&amp;O$5,'Key inputs'!$C$18:$K$18&amp;'Key inputs'!$C$19:$K$19&amp;'Key inputs'!$C$20:$K$20,0))*INDEX(Usage!$B$4:$M$18,MATCH($B75,Usage!$B$4:$B$18,0),MATCH(IF($E75="CL1","CL1 Proportion","CL2 Proportion"),Usage!$B$8:$M$8,0))</f>
        <v>35.015941997521153</v>
      </c>
      <c r="P75" s="128">
        <f t="array" ref="P75">INDEX('Key inputs'!$C$17:$K$40,MATCH($B75&amp;$C75&amp;$E75,'Key inputs'!$C$17:$C$40&amp;'Key inputs'!$D$17:$D$40&amp;'Key inputs'!$E$17:$E$40,0),MATCH($G75&amp;P$4&amp;P$5,'Key inputs'!$C$18:$K$18&amp;'Key inputs'!$C$19:$K$19&amp;'Key inputs'!$C$20:$K$20,0))</f>
        <v>30.6707343973988</v>
      </c>
      <c r="Q75" s="128">
        <f t="shared" si="30"/>
        <v>82.248872969515304</v>
      </c>
      <c r="R75" s="143">
        <f>IFERROR(Q75/Q77,"")</f>
        <v>1</v>
      </c>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row>
    <row r="76" spans="2:43" x14ac:dyDescent="0.25">
      <c r="B76" s="3" t="str">
        <f t="shared" si="27"/>
        <v>Essential</v>
      </c>
      <c r="C76" s="3" t="str">
        <f t="shared" si="27"/>
        <v>Residential</v>
      </c>
      <c r="D76" s="3" t="str">
        <f t="shared" si="27"/>
        <v>with CL</v>
      </c>
      <c r="E76" s="3" t="s">
        <v>14</v>
      </c>
      <c r="F76" s="131">
        <f t="array" ref="F76">IFERROR(INDEX(Usage!$B$5:$P$18,MATCH($B76,Usage!$B$5:$B$18,0),MATCH($C76&amp;$D76&amp;$E76,Usage!$B$5:$S$5&amp;Usage!$B$6:$S$6&amp;Usage!$B$7:$S$7,0)),0)</f>
        <v>1540</v>
      </c>
      <c r="G76" s="21" t="s">
        <v>61</v>
      </c>
      <c r="H76" s="128" cm="1">
        <f t="array" ref="H76">INDEX('Key inputs'!$C$17:$K$40,MATCH($B76&amp;$C76&amp;$E76,'Key inputs'!$C$17:$C$40&amp;'Key inputs'!$D$17:$D$40&amp;'Key inputs'!$E$17:$E$40,0),MATCH($G76&amp;H$4&amp;H$5,'Key inputs'!$C$18:$K$18&amp;'Key inputs'!$C$19:$K$19&amp;'Key inputs'!$C$20:$K$20,0))*INDEX(Usage!$B$4:$M$18,MATCH($B76,Usage!$B$4:$B$18,0),MATCH(IF($E76="CL1","CL1 Proportion","CL2 Proportion"),Usage!$B$8:$M$8,0))</f>
        <v>0</v>
      </c>
      <c r="I76" s="128">
        <f>IFERROR(INDEX('Detail inputs'!$B$3:$K$195,MATCH($B76&amp;$C76&amp;$E76&amp;$G76&amp;I$5,'Detail inputs'!$B$3:$B$195&amp;'Detail inputs'!$D$3:$D$195&amp;'Detail inputs'!$F$3:$F$195&amp;'Detail inputs'!$G$3:$G$195&amp;'Detail inputs'!$H$3:$H$195,0),MATCH(I$4,'Detail inputs'!$B$3:$K$3,0)),0)</f>
        <v>0</v>
      </c>
      <c r="J76" s="128">
        <f t="shared" si="31"/>
        <v>0</v>
      </c>
      <c r="K76" s="143">
        <f>IFERROR(J76/J77,"")</f>
        <v>0</v>
      </c>
      <c r="L76" s="143"/>
      <c r="M76" s="143" t="str">
        <f t="shared" si="32"/>
        <v/>
      </c>
      <c r="N76" s="140"/>
      <c r="O76" s="128" cm="1">
        <f t="array" ref="O76">INDEX('Key inputs'!$C$17:$K$40,MATCH($B76&amp;$C76&amp;$E76,'Key inputs'!$C$17:$C$40&amp;'Key inputs'!$D$17:$D$40&amp;'Key inputs'!$E$17:$E$40,0),MATCH($G76&amp;O$4&amp;O$5,'Key inputs'!$C$18:$K$18&amp;'Key inputs'!$C$19:$K$19&amp;'Key inputs'!$C$20:$K$20,0))*INDEX(Usage!$B$4:$M$18,MATCH($B76,Usage!$B$4:$B$18,0),MATCH(IF($E76="CL1","CL1 Proportion","CL2 Proportion"),Usage!$B$8:$M$8,0))</f>
        <v>0</v>
      </c>
      <c r="P76" s="128">
        <f>IFERROR(INDEX('Detail inputs'!$B$3:$K$195,MATCH($B76&amp;$C76&amp;$E76&amp;$G76&amp;P$5,'Detail inputs'!$B$3:$B$195&amp;'Detail inputs'!$D$3:$D$195&amp;'Detail inputs'!$F$3:$F$195&amp;'Detail inputs'!$G$3:$G$195&amp;'Detail inputs'!$H$3:$H$195,0),MATCH(P$4,'Detail inputs'!$B$3:$K$3,0)),0)</f>
        <v>0</v>
      </c>
      <c r="Q76" s="128">
        <f t="shared" si="30"/>
        <v>0</v>
      </c>
      <c r="R76" s="143">
        <f>IFERROR(Q76/Q77,"")</f>
        <v>0</v>
      </c>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row>
    <row r="77" spans="2:43" x14ac:dyDescent="0.25">
      <c r="B77" s="3" t="str">
        <f t="shared" si="27"/>
        <v>Essential</v>
      </c>
      <c r="C77" s="3" t="str">
        <f t="shared" si="27"/>
        <v>Residential</v>
      </c>
      <c r="D77" s="3" t="str">
        <f t="shared" si="27"/>
        <v>with CL</v>
      </c>
      <c r="E77" s="3" t="s">
        <v>14</v>
      </c>
      <c r="F77" s="131">
        <f t="array" ref="F77">IFERROR(INDEX(Usage!$B$5:$P$18,MATCH($B77,Usage!$B$5:$B$18,0),MATCH($C77&amp;$D77&amp;$E77,Usage!$B$5:$S$5&amp;Usage!$B$6:$S$6&amp;Usage!$B$7:$S$7,0)),0)</f>
        <v>1540</v>
      </c>
      <c r="G77" s="5" t="s">
        <v>55</v>
      </c>
      <c r="H77" s="130">
        <f>+H76+H75</f>
        <v>32.272448121650683</v>
      </c>
      <c r="I77" s="130">
        <f>+I76+I75</f>
        <v>27.129983855610998</v>
      </c>
      <c r="J77" s="130">
        <f t="shared" si="31"/>
        <v>74.052623259291622</v>
      </c>
      <c r="K77" s="145"/>
      <c r="L77" s="152"/>
      <c r="M77" s="145">
        <f>IF(OR(J77=0,Q77=""),"",Q77/J77-1)</f>
        <v>0.11068142287849714</v>
      </c>
      <c r="N77" s="150"/>
      <c r="O77" s="130">
        <f t="shared" ref="O77:P77" si="33">IF(AND(O75="",O76=""),H77*(1+K77),SUM(O75:O76))</f>
        <v>35.015941997521153</v>
      </c>
      <c r="P77" s="130">
        <f t="shared" si="33"/>
        <v>30.6707343973988</v>
      </c>
      <c r="Q77" s="130">
        <f t="shared" si="30"/>
        <v>82.248872969515304</v>
      </c>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row>
    <row r="78" spans="2:43" x14ac:dyDescent="0.25">
      <c r="B78" s="3" t="str">
        <f t="shared" si="27"/>
        <v>Essential</v>
      </c>
      <c r="C78" s="3" t="str">
        <f t="shared" si="27"/>
        <v>Residential</v>
      </c>
      <c r="D78" s="3" t="str">
        <f t="shared" si="27"/>
        <v>with CL</v>
      </c>
      <c r="E78" s="3" t="s">
        <v>15</v>
      </c>
      <c r="F78" s="131">
        <f t="array" ref="F78">IFERROR(INDEX(Usage!$B$5:$P$18,MATCH($B78,Usage!$B$5:$B$18,0),MATCH($C78&amp;$D78&amp;$E78,Usage!$B$5:$S$5&amp;Usage!$B$6:$S$6&amp;Usage!$B$7:$S$7,0)),0)</f>
        <v>460</v>
      </c>
      <c r="G78" s="21" t="s">
        <v>57</v>
      </c>
      <c r="H78" s="128" cm="1">
        <f t="array" ref="H78">INDEX('Key inputs'!$C$17:$K$40,MATCH($B78&amp;$C78&amp;$E78,'Key inputs'!$C$17:$C$40&amp;'Key inputs'!$D$17:$D$40&amp;'Key inputs'!$E$17:$E$40,0),MATCH($G78&amp;H$4&amp;H$5,'Key inputs'!$C$18:$K$18&amp;'Key inputs'!$C$19:$K$19&amp;'Key inputs'!$C$20:$K$20,0))*INDEX(Usage!$B$4:$M$18,MATCH($B78,Usage!$B$4:$B$18,0),MATCH(IF($E78="CL1","CL1 Proportion","CL2 Proportion"),Usage!$B$8:$M$8,0))</f>
        <v>9.6398221662073453</v>
      </c>
      <c r="I78" s="128">
        <f t="array" ref="I78">INDEX('Key inputs'!$C$17:$K$40,MATCH($B78&amp;$C78&amp;$E78,'Key inputs'!$C$17:$C$40&amp;'Key inputs'!$D$17:$D$40&amp;'Key inputs'!$E$17:$E$40,0),MATCH($G78&amp;I$4&amp;I$5,'Key inputs'!$C$18:$K$18&amp;'Key inputs'!$C$19:$K$19&amp;'Key inputs'!$C$20:$K$20,0))</f>
        <v>57.747978837108299</v>
      </c>
      <c r="J78" s="128">
        <f t="shared" si="31"/>
        <v>36.203892431277168</v>
      </c>
      <c r="K78" s="143">
        <f>IFERROR(J78/J80,"")</f>
        <v>1</v>
      </c>
      <c r="L78" s="143"/>
      <c r="M78" s="143">
        <f t="shared" ref="M78:M79" si="34">IF(OR(J78=0,J78="",Q78=""),"",Q78/J78-1)</f>
        <v>9.9868323648675927E-2</v>
      </c>
      <c r="N78" s="140"/>
      <c r="O78" s="128" cm="1">
        <f t="array" ref="O78">INDEX('Key inputs'!$C$17:$K$40,MATCH($B78&amp;$C78&amp;$E78,'Key inputs'!$C$17:$C$40&amp;'Key inputs'!$D$17:$D$40&amp;'Key inputs'!$E$17:$E$40,0),MATCH($G78&amp;O$4&amp;O$5,'Key inputs'!$C$18:$K$18&amp;'Key inputs'!$C$19:$K$19&amp;'Key inputs'!$C$20:$K$20,0))*INDEX(Usage!$B$4:$M$18,MATCH($B78,Usage!$B$4:$B$18,0),MATCH(IF($E78="CL1","CL1 Proportion","CL2 Proportion"),Usage!$B$8:$M$8,0))</f>
        <v>10.459307349908915</v>
      </c>
      <c r="P78" s="128">
        <f t="array" ref="P78">INDEX('Key inputs'!$C$17:$K$40,MATCH($B78&amp;$C78&amp;$E78,'Key inputs'!$C$17:$C$40&amp;'Key inputs'!$D$17:$D$40&amp;'Key inputs'!$E$17:$E$40,0),MATCH($G78&amp;P$4&amp;P$5,'Key inputs'!$C$18:$K$18&amp;'Key inputs'!$C$19:$K$19&amp;'Key inputs'!$C$20:$K$20,0))</f>
        <v>63.826537234862798</v>
      </c>
      <c r="Q78" s="128">
        <f t="shared" si="30"/>
        <v>39.819514477945802</v>
      </c>
      <c r="R78" s="143">
        <f>IFERROR(Q78/Q80,"")</f>
        <v>1</v>
      </c>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row>
    <row r="79" spans="2:43" x14ac:dyDescent="0.25">
      <c r="B79" s="3" t="str">
        <f t="shared" si="27"/>
        <v>Essential</v>
      </c>
      <c r="C79" s="3" t="str">
        <f t="shared" si="27"/>
        <v>Residential</v>
      </c>
      <c r="D79" s="3" t="str">
        <f t="shared" si="27"/>
        <v>with CL</v>
      </c>
      <c r="E79" s="3" t="s">
        <v>15</v>
      </c>
      <c r="F79" s="131">
        <f t="array" ref="F79">IFERROR(INDEX(Usage!$B$5:$P$18,MATCH($B79,Usage!$B$5:$B$18,0),MATCH($C79&amp;$D79&amp;$E79,Usage!$B$5:$S$5&amp;Usage!$B$6:$S$6&amp;Usage!$B$7:$S$7,0)),0)</f>
        <v>460</v>
      </c>
      <c r="G79" s="21" t="s">
        <v>61</v>
      </c>
      <c r="H79" s="128" cm="1">
        <f t="array" ref="H79">INDEX('Key inputs'!$C$17:$K$40,MATCH($B79&amp;$C79&amp;$E79,'Key inputs'!$C$17:$C$40&amp;'Key inputs'!$D$17:$D$40&amp;'Key inputs'!$E$17:$E$40,0),MATCH($G79&amp;H$4&amp;H$5,'Key inputs'!$C$18:$K$18&amp;'Key inputs'!$C$19:$K$19&amp;'Key inputs'!$C$20:$K$20,0))*INDEX(Usage!$B$4:$M$18,MATCH($B79,Usage!$B$4:$B$18,0),MATCH(IF($E79="CL1","CL1 Proportion","CL2 Proportion"),Usage!$B$8:$M$8,0))</f>
        <v>0</v>
      </c>
      <c r="I79" s="128">
        <f>IFERROR(INDEX('Detail inputs'!$B$3:$K$195,MATCH($B79&amp;$C79&amp;$E79&amp;$G79&amp;I$5,'Detail inputs'!$B$3:$B$195&amp;'Detail inputs'!$D$3:$D$195&amp;'Detail inputs'!$F$3:$F$195&amp;'Detail inputs'!$G$3:$G$195&amp;'Detail inputs'!$H$3:$H$195,0),MATCH(I$4,'Detail inputs'!$B$3:$K$3,0)),0)</f>
        <v>0</v>
      </c>
      <c r="J79" s="128">
        <f t="shared" si="31"/>
        <v>0</v>
      </c>
      <c r="K79" s="143">
        <f>IFERROR(J79/J80,"")</f>
        <v>0</v>
      </c>
      <c r="L79" s="143"/>
      <c r="M79" s="143" t="str">
        <f t="shared" si="34"/>
        <v/>
      </c>
      <c r="N79" s="140"/>
      <c r="O79" s="128" cm="1">
        <f t="array" ref="O79">INDEX('Key inputs'!$C$17:$K$40,MATCH($B79&amp;$C79&amp;$E79,'Key inputs'!$C$17:$C$40&amp;'Key inputs'!$D$17:$D$40&amp;'Key inputs'!$E$17:$E$40,0),MATCH($G79&amp;O$4&amp;O$5,'Key inputs'!$C$18:$K$18&amp;'Key inputs'!$C$19:$K$19&amp;'Key inputs'!$C$20:$K$20,0))*INDEX(Usage!$B$4:$M$18,MATCH($B79,Usage!$B$4:$B$18,0),MATCH(IF($E79="CL1","CL1 Proportion","CL2 Proportion"),Usage!$B$8:$M$8,0))</f>
        <v>0</v>
      </c>
      <c r="P79" s="128">
        <f>IFERROR(INDEX('Detail inputs'!$B$3:$K$195,MATCH($B79&amp;$C79&amp;$E79&amp;$G79&amp;P$5,'Detail inputs'!$B$3:$B$195&amp;'Detail inputs'!$D$3:$D$195&amp;'Detail inputs'!$F$3:$F$195&amp;'Detail inputs'!$G$3:$G$195&amp;'Detail inputs'!$H$3:$H$195,0),MATCH(P$4,'Detail inputs'!$B$3:$K$3,0)),0)</f>
        <v>0</v>
      </c>
      <c r="Q79" s="128">
        <f t="shared" si="30"/>
        <v>0</v>
      </c>
      <c r="R79" s="143">
        <f>IFERROR(Q79/Q80,"")</f>
        <v>0</v>
      </c>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row>
    <row r="80" spans="2:43" x14ac:dyDescent="0.25">
      <c r="B80" s="3" t="str">
        <f t="shared" si="27"/>
        <v>Essential</v>
      </c>
      <c r="C80" s="3" t="str">
        <f t="shared" si="27"/>
        <v>Residential</v>
      </c>
      <c r="D80" s="3" t="str">
        <f t="shared" si="27"/>
        <v>with CL</v>
      </c>
      <c r="E80" s="3" t="s">
        <v>15</v>
      </c>
      <c r="F80" s="131">
        <f t="array" ref="F80">IFERROR(INDEX(Usage!$B$5:$P$18,MATCH($B80,Usage!$B$5:$B$18,0),MATCH($C80&amp;$D80&amp;$E80,Usage!$B$5:$S$5&amp;Usage!$B$6:$S$6&amp;Usage!$B$7:$S$7,0)),0)</f>
        <v>460</v>
      </c>
      <c r="G80" s="5" t="s">
        <v>55</v>
      </c>
      <c r="H80" s="130">
        <f>+H79+H78</f>
        <v>9.6398221662073453</v>
      </c>
      <c r="I80" s="130">
        <f>+I79+I78</f>
        <v>57.747978837108299</v>
      </c>
      <c r="J80" s="130">
        <f t="shared" si="31"/>
        <v>36.203892431277168</v>
      </c>
      <c r="K80" s="145"/>
      <c r="L80" s="152"/>
      <c r="M80" s="145">
        <f>IF(OR(J80=0,Q80=""),"",Q80/J80-1)</f>
        <v>9.9868323648675927E-2</v>
      </c>
      <c r="N80" s="150"/>
      <c r="O80" s="130">
        <f t="shared" ref="O80:P80" si="35">IF(AND(O78="",O79=""),H80*(1+K80),SUM(O78:O79))</f>
        <v>10.459307349908915</v>
      </c>
      <c r="P80" s="130">
        <f t="shared" si="35"/>
        <v>63.826537234862798</v>
      </c>
      <c r="Q80" s="130">
        <f t="shared" si="30"/>
        <v>39.819514477945802</v>
      </c>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row>
    <row r="81" spans="2:43" x14ac:dyDescent="0.25">
      <c r="B81" s="3" t="str">
        <f t="shared" si="27"/>
        <v>Essential</v>
      </c>
      <c r="C81" s="3" t="str">
        <f t="shared" si="27"/>
        <v>Residential</v>
      </c>
      <c r="D81" s="3" t="str">
        <f t="shared" si="27"/>
        <v>with CL</v>
      </c>
      <c r="E81" s="3" t="s">
        <v>55</v>
      </c>
      <c r="F81" s="131">
        <f t="array" ref="F81">IFERROR(INDEX(Usage!$B$5:$P$18,MATCH($B81,Usage!$B$5:$B$18,0),MATCH($C81&amp;$D81&amp;$E81,Usage!$B$5:$S$5&amp;Usage!$B$6:$S$6&amp;Usage!$B$7:$S$7,0)),0)</f>
        <v>6600</v>
      </c>
      <c r="G81" s="5" t="s">
        <v>55</v>
      </c>
      <c r="H81" s="130"/>
      <c r="I81" s="130"/>
      <c r="J81" s="130">
        <f>SUM(J74,J77,J80)</f>
        <v>1160.3373846280733</v>
      </c>
      <c r="K81" s="145"/>
      <c r="L81" s="152"/>
      <c r="M81" s="145">
        <f t="shared" ref="M81" si="36">IF(OR(J81=0,J81="",Q81=""),"",Q81/J81-1)</f>
        <v>8.374129288242016E-2</v>
      </c>
      <c r="N81" s="150"/>
      <c r="O81" s="130"/>
      <c r="P81" s="130"/>
      <c r="Q81" s="130">
        <f>SUM(Q74,Q77,Q80)</f>
        <v>1257.5055373966343</v>
      </c>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row>
    <row r="82" spans="2:43" x14ac:dyDescent="0.25">
      <c r="B82" s="3" t="str">
        <f t="shared" si="27"/>
        <v>Essential</v>
      </c>
      <c r="C82" s="3" t="str">
        <f t="shared" si="27"/>
        <v>Residential</v>
      </c>
      <c r="D82" s="3" t="str">
        <f t="shared" si="27"/>
        <v>with CL</v>
      </c>
      <c r="F82" s="131"/>
      <c r="G82" s="3" t="s">
        <v>38</v>
      </c>
      <c r="H82" s="128"/>
      <c r="I82" s="128"/>
      <c r="J82" s="128">
        <f>J81*GST</f>
        <v>116.03373846280734</v>
      </c>
      <c r="K82" s="144"/>
      <c r="L82" s="151"/>
      <c r="M82" s="143">
        <f>IF(OR(J82=0,Q82=""),"",Q82/J82-1)</f>
        <v>8.374129288242016E-2</v>
      </c>
      <c r="N82" s="149"/>
      <c r="O82" s="128"/>
      <c r="P82" s="128"/>
      <c r="Q82" s="128">
        <f>Q81*GST</f>
        <v>125.75055373966343</v>
      </c>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row>
    <row r="83" spans="2:43" x14ac:dyDescent="0.25">
      <c r="B83" s="3" t="str">
        <f t="shared" si="27"/>
        <v>Essential</v>
      </c>
      <c r="C83" s="3" t="str">
        <f t="shared" si="27"/>
        <v>Residential</v>
      </c>
      <c r="D83" s="3" t="str">
        <f t="shared" si="27"/>
        <v>with CL</v>
      </c>
      <c r="F83" s="131"/>
      <c r="G83" s="5" t="s">
        <v>80</v>
      </c>
      <c r="H83" s="130"/>
      <c r="I83" s="130"/>
      <c r="J83" s="130">
        <f>SUM(J81:J82)</f>
        <v>1276.3711230908807</v>
      </c>
      <c r="K83" s="145"/>
      <c r="L83" s="152"/>
      <c r="M83" s="145">
        <f>IF(OR(J83=0,Q83=""),"",Q83/J83-1)</f>
        <v>8.374129288242016E-2</v>
      </c>
      <c r="N83" s="150"/>
      <c r="O83" s="130"/>
      <c r="P83" s="130"/>
      <c r="Q83" s="130">
        <f>SUM(Q81:Q82)</f>
        <v>1383.2560911362978</v>
      </c>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row>
    <row r="84" spans="2:43" x14ac:dyDescent="0.25">
      <c r="F84" s="131"/>
      <c r="H84" s="128"/>
      <c r="I84" s="128"/>
      <c r="J84" s="128"/>
      <c r="K84" s="143"/>
      <c r="L84" s="151"/>
      <c r="M84" s="143"/>
      <c r="N84" s="149"/>
      <c r="O84" s="128"/>
      <c r="P84" s="128"/>
      <c r="Q84" s="128"/>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row>
    <row r="85" spans="2:43" x14ac:dyDescent="0.25">
      <c r="B85" s="5" t="s">
        <v>3</v>
      </c>
      <c r="C85" s="5" t="s">
        <v>13</v>
      </c>
      <c r="D85" s="5" t="s">
        <v>127</v>
      </c>
      <c r="E85" s="5"/>
      <c r="F85" s="153"/>
      <c r="H85" s="128"/>
      <c r="I85" s="128"/>
      <c r="J85" s="128"/>
      <c r="K85" s="143"/>
      <c r="L85" s="151"/>
      <c r="M85" s="143"/>
      <c r="N85" s="149"/>
      <c r="O85" s="128"/>
      <c r="P85" s="128"/>
      <c r="Q85" s="128"/>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row>
    <row r="86" spans="2:43" x14ac:dyDescent="0.25">
      <c r="B86" s="3" t="str">
        <f t="shared" ref="B86:D91" si="37">B$85</f>
        <v>Essential</v>
      </c>
      <c r="C86" s="3" t="str">
        <f t="shared" si="37"/>
        <v>Small business</v>
      </c>
      <c r="D86" s="3" t="str">
        <f t="shared" si="37"/>
        <v>without CL</v>
      </c>
      <c r="E86" s="3" t="s">
        <v>19</v>
      </c>
      <c r="F86" s="131">
        <f t="array" ref="F86">IFERROR(INDEX(Usage!$B$5:$P$18,MATCH($B86,Usage!$B$5:$B$18,0),MATCH($C86&amp;$D86&amp;$E86,Usage!$B$5:$S$5&amp;Usage!$B$6:$S$6&amp;Usage!$B$7:$S$7,0)),0)</f>
        <v>10000</v>
      </c>
      <c r="G86" s="3" t="s">
        <v>57</v>
      </c>
      <c r="H86" s="128">
        <f t="array" ref="H86">INDEX('Key inputs'!$C$17:$K$40,MATCH($B86&amp;$C86&amp;$E86,'Key inputs'!$C$17:$C$40&amp;'Key inputs'!$D$17:$D$40&amp;'Key inputs'!$E$17:$E$40,0),MATCH($G86&amp;H$4&amp;H$5,'Key inputs'!$C$18:$K$18&amp;'Key inputs'!$C$19:$K$19&amp;'Key inputs'!$C$20:$K$20,0))</f>
        <v>690.52416625922547</v>
      </c>
      <c r="I86" s="128">
        <f t="array" ref="I86">INDEX('Key inputs'!$C$17:$K$40,MATCH($B86&amp;$C86&amp;$E86,'Key inputs'!$C$17:$C$40&amp;'Key inputs'!$D$17:$D$40&amp;'Key inputs'!$E$17:$E$40,0),MATCH($G86&amp;I$4&amp;I$5,'Key inputs'!$C$18:$K$18&amp;'Key inputs'!$C$19:$K$19&amp;'Key inputs'!$C$20:$K$20,0))</f>
        <v>174.230594407018</v>
      </c>
      <c r="J86" s="128">
        <f>H86+I86*+Usage!M39/1000</f>
        <v>2432.8301103294052</v>
      </c>
      <c r="K86" s="143">
        <f>IFERROR(J86/J89,"")</f>
        <v>0.97569268604942316</v>
      </c>
      <c r="L86" s="143"/>
      <c r="M86" s="143">
        <f t="shared" ref="M86:M89" si="38">IF(OR(J86=0,J86="",Q86=""),"",Q86/J86-1)</f>
        <v>8.0225252285449633E-2</v>
      </c>
      <c r="N86" s="140"/>
      <c r="O86" s="128">
        <f t="array" ref="O86">INDEX('Key inputs'!$C$17:$K$40,MATCH($B86&amp;$C86&amp;$E86,'Key inputs'!$C$17:$C$40&amp;'Key inputs'!$D$17:$D$40&amp;'Key inputs'!$E$17:$E$40,0),MATCH($G86&amp;O$4&amp;O$5,'Key inputs'!$C$18:$K$18&amp;'Key inputs'!$C$19:$K$19&amp;'Key inputs'!$C$20:$K$20,0))</f>
        <v>749.22590509637962</v>
      </c>
      <c r="P86" s="128">
        <f t="array" ref="P86">INDEX('Key inputs'!$C$17:$K$40,MATCH($B86&amp;$C86&amp;$E86,'Key inputs'!$C$17:$C$40&amp;'Key inputs'!$D$17:$D$40&amp;'Key inputs'!$E$17:$E$40,0),MATCH($G86&amp;P$4&amp;P$5,'Key inputs'!$C$18:$K$18&amp;'Key inputs'!$C$19:$K$19&amp;'Key inputs'!$C$20:$K$20,0))</f>
        <v>187.87786146018402</v>
      </c>
      <c r="Q86" s="128">
        <f>O86+P86*$F86/1000</f>
        <v>2628.0045196982201</v>
      </c>
      <c r="R86" s="143">
        <f>IFERROR(Q86/Q89,"")</f>
        <v>0.97690566156087355</v>
      </c>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row>
    <row r="87" spans="2:43" x14ac:dyDescent="0.25">
      <c r="B87" s="3" t="str">
        <f t="shared" si="37"/>
        <v>Essential</v>
      </c>
      <c r="C87" s="3" t="str">
        <f t="shared" si="37"/>
        <v>Small business</v>
      </c>
      <c r="D87" s="3" t="str">
        <f t="shared" si="37"/>
        <v>without CL</v>
      </c>
      <c r="E87" s="3" t="s">
        <v>19</v>
      </c>
      <c r="F87" s="131">
        <f t="array" ref="F87">IFERROR(INDEX(Usage!$B$5:$P$18,MATCH($B87,Usage!$B$5:$B$18,0),MATCH($C87&amp;$D87&amp;$E87,Usage!$B$5:$S$5&amp;Usage!$B$6:$S$6&amp;Usage!$B$7:$S$7,0)),0)</f>
        <v>10000</v>
      </c>
      <c r="G87" s="3" t="s">
        <v>61</v>
      </c>
      <c r="H87" s="128">
        <f t="array" ref="H87">INDEX('Key inputs'!$C$17:$K$40,MATCH($B87&amp;$C87&amp;$E87,'Key inputs'!$C$17:$C$40&amp;'Key inputs'!$D$17:$D$40&amp;'Key inputs'!$E$17:$E$40,0),MATCH($G87&amp;H$4&amp;H$5,'Key inputs'!$C$18:$K$18&amp;'Key inputs'!$C$19:$K$19&amp;'Key inputs'!$C$20:$K$20,0))</f>
        <v>60.608802470000001</v>
      </c>
      <c r="I87" s="128">
        <f>IFERROR(INDEX('Detail inputs'!$B$3:$K$195,MATCH($B87&amp;$C87&amp;$E87&amp;$G87&amp;I$5,'Detail inputs'!$B$3:$B$195&amp;'Detail inputs'!$D$3:$D$195&amp;'Detail inputs'!$F$3:$F$195&amp;'Detail inputs'!$G$3:$G$195&amp;'Detail inputs'!$H$3:$H$195,0),MATCH(I$4,'Detail inputs'!$B$3:$K$3,0)),0)</f>
        <v>0</v>
      </c>
      <c r="J87" s="128">
        <f>H87+I87*+Usage!M$39/1000</f>
        <v>60.608802470000001</v>
      </c>
      <c r="K87" s="143">
        <f>IFERROR(J87/J89,"")</f>
        <v>2.4307313950576784E-2</v>
      </c>
      <c r="L87" s="143"/>
      <c r="M87" s="143">
        <f t="shared" si="38"/>
        <v>2.5045879232689527E-2</v>
      </c>
      <c r="N87" s="140"/>
      <c r="O87" s="128">
        <f t="array" ref="O87">INDEX('Key inputs'!$C$17:$K$40,MATCH($B87&amp;$C87&amp;$E87,'Key inputs'!$C$17:$C$40&amp;'Key inputs'!$D$17:$D$40&amp;'Key inputs'!$E$17:$E$40,0),MATCH($G87&amp;O$4&amp;O$5,'Key inputs'!$C$18:$K$18&amp;'Key inputs'!$C$19:$K$19&amp;'Key inputs'!$C$20:$K$20,0))</f>
        <v>62.126803217101561</v>
      </c>
      <c r="P87" s="128">
        <f>IFERROR(INDEX('Detail inputs'!$B$3:$K$195,MATCH($B87&amp;$C87&amp;$E87&amp;$G87&amp;P$5,'Detail inputs'!$B$3:$B$195&amp;'Detail inputs'!$D$3:$D$195&amp;'Detail inputs'!$F$3:$F$195&amp;'Detail inputs'!$G$3:$G$195&amp;'Detail inputs'!$H$3:$H$195,0),MATCH(P$4,'Detail inputs'!$B$3:$K$3,0)),0)</f>
        <v>0</v>
      </c>
      <c r="Q87" s="128">
        <f>O87+P87*$F87/1000</f>
        <v>62.126803217101561</v>
      </c>
      <c r="R87" s="143">
        <f>IFERROR(Q87/Q89,"")</f>
        <v>2.3094338439126508E-2</v>
      </c>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row>
    <row r="88" spans="2:43" x14ac:dyDescent="0.25">
      <c r="B88" s="3" t="str">
        <f t="shared" si="37"/>
        <v>Essential</v>
      </c>
      <c r="C88" s="3" t="str">
        <f t="shared" si="37"/>
        <v>Small business</v>
      </c>
      <c r="D88" s="3" t="str">
        <f t="shared" si="37"/>
        <v>without CL</v>
      </c>
      <c r="E88" s="3" t="s">
        <v>19</v>
      </c>
      <c r="F88" s="131">
        <f t="array" ref="F88">IFERROR(INDEX(Usage!$B$5:$P$18,MATCH($B88,Usage!$B$5:$B$18,0),MATCH($C88&amp;$D88&amp;$E88,Usage!$B$5:$S$5&amp;Usage!$B$6:$S$6&amp;Usage!$B$7:$S$7,0)),0)</f>
        <v>10000</v>
      </c>
      <c r="G88" s="3" t="s">
        <v>206</v>
      </c>
      <c r="H88" s="128"/>
      <c r="I88" s="128" cm="1">
        <f t="array" ref="I88">IFERROR(INDEX('Detail inputs'!$B$3:$K$197,MATCH($B88&amp;$G88&amp;I$5,'Detail inputs'!$B$3:$B$197&amp;'Detail inputs'!$G$3:$G$197&amp;'Detail inputs'!$H$3:$H$197,0),MATCH(I$4,'Detail inputs'!$B$3:$K$3,0)),0)</f>
        <v>0</v>
      </c>
      <c r="J88" s="128">
        <f>H88+I88*+Usage!M$39/1000</f>
        <v>0</v>
      </c>
      <c r="K88" s="143"/>
      <c r="L88" s="143"/>
      <c r="M88" s="143" t="str">
        <f t="shared" si="38"/>
        <v/>
      </c>
      <c r="N88" s="140"/>
      <c r="O88" s="128"/>
      <c r="P88" s="128" cm="1">
        <f t="array" ref="P88">IFERROR(INDEX('Detail inputs'!$B$3:$K$197,MATCH($B88&amp;$G88&amp;P$5,'Detail inputs'!$B$3:$B$197&amp;'Detail inputs'!$G$3:$G$197&amp;'Detail inputs'!$H$3:$H$197,0),MATCH(P$4,'Detail inputs'!$B$3:$K$3,0)),0)</f>
        <v>0</v>
      </c>
      <c r="Q88" s="128">
        <f>O88+P88*$F88/1000</f>
        <v>0</v>
      </c>
      <c r="R88" s="143">
        <f>IFERROR(Q88/Q89,"")</f>
        <v>0</v>
      </c>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row>
    <row r="89" spans="2:43" x14ac:dyDescent="0.25">
      <c r="B89" s="3" t="str">
        <f t="shared" si="37"/>
        <v>Essential</v>
      </c>
      <c r="C89" s="3" t="str">
        <f t="shared" si="37"/>
        <v>Small business</v>
      </c>
      <c r="D89" s="3" t="str">
        <f t="shared" si="37"/>
        <v>without CL</v>
      </c>
      <c r="E89" s="3" t="s">
        <v>19</v>
      </c>
      <c r="F89" s="131">
        <f t="array" ref="F89">IFERROR(INDEX(Usage!$B$5:$P$18,MATCH($B89,Usage!$B$5:$B$18,0),MATCH($C89&amp;$D89&amp;$E89,Usage!$B$5:$S$5&amp;Usage!$B$6:$S$6&amp;Usage!$B$7:$S$7,0)),0)</f>
        <v>10000</v>
      </c>
      <c r="G89" s="5" t="s">
        <v>55</v>
      </c>
      <c r="H89" s="130">
        <f>+H87+H86</f>
        <v>751.13296872922547</v>
      </c>
      <c r="I89" s="130">
        <f>+I86</f>
        <v>174.230594407018</v>
      </c>
      <c r="J89" s="130">
        <f>H89+I89*+Usage!M$39/1000</f>
        <v>2493.4389127994054</v>
      </c>
      <c r="K89" s="145"/>
      <c r="L89" s="152"/>
      <c r="M89" s="145">
        <f t="shared" si="38"/>
        <v>7.8883989941060051E-2</v>
      </c>
      <c r="N89" s="150"/>
      <c r="O89" s="130">
        <f>SUM(O86:O87)</f>
        <v>811.35270831348123</v>
      </c>
      <c r="P89" s="130">
        <f>SUM(P86:P88)</f>
        <v>187.87786146018402</v>
      </c>
      <c r="Q89" s="130">
        <f>O89+P89*$F89/1000</f>
        <v>2690.1313229153216</v>
      </c>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row>
    <row r="90" spans="2:43" x14ac:dyDescent="0.25">
      <c r="B90" s="3" t="str">
        <f t="shared" si="37"/>
        <v>Essential</v>
      </c>
      <c r="C90" s="3" t="str">
        <f t="shared" si="37"/>
        <v>Small business</v>
      </c>
      <c r="D90" s="3" t="str">
        <f t="shared" si="37"/>
        <v>without CL</v>
      </c>
      <c r="F90" s="131"/>
      <c r="G90" s="3" t="s">
        <v>38</v>
      </c>
      <c r="H90" s="128"/>
      <c r="I90" s="128"/>
      <c r="J90" s="128">
        <f>J89*GST</f>
        <v>249.34389127994055</v>
      </c>
      <c r="K90" s="144"/>
      <c r="L90" s="151"/>
      <c r="M90" s="143">
        <f>IF(OR(J90=0,Q90=""),"",Q90/J90-1)</f>
        <v>7.8883989941060051E-2</v>
      </c>
      <c r="N90" s="149"/>
      <c r="O90" s="128"/>
      <c r="P90" s="128"/>
      <c r="Q90" s="128">
        <f>Q89*GST</f>
        <v>269.01313229153214</v>
      </c>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row>
    <row r="91" spans="2:43" x14ac:dyDescent="0.25">
      <c r="B91" s="3" t="str">
        <f t="shared" si="37"/>
        <v>Essential</v>
      </c>
      <c r="C91" s="3" t="str">
        <f t="shared" si="37"/>
        <v>Small business</v>
      </c>
      <c r="D91" s="3" t="str">
        <f t="shared" si="37"/>
        <v>without CL</v>
      </c>
      <c r="F91" s="131"/>
      <c r="G91" s="5" t="s">
        <v>80</v>
      </c>
      <c r="H91" s="130"/>
      <c r="I91" s="130"/>
      <c r="J91" s="130">
        <f>SUM(J89:J90)</f>
        <v>2742.7828040793461</v>
      </c>
      <c r="K91" s="145"/>
      <c r="L91" s="152"/>
      <c r="M91" s="145">
        <f>IF(OR(J91=0,Q91=""),"",Q91/J91-1)</f>
        <v>7.8883989941060051E-2</v>
      </c>
      <c r="N91" s="150"/>
      <c r="O91" s="130"/>
      <c r="P91" s="130"/>
      <c r="Q91" s="130">
        <f>SUM(Q89:Q90)</f>
        <v>2959.1444552068538</v>
      </c>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row>
    <row r="92" spans="2:43" x14ac:dyDescent="0.25">
      <c r="F92" s="149"/>
      <c r="H92" s="128"/>
      <c r="I92" s="128"/>
      <c r="J92" s="128"/>
      <c r="K92" s="151"/>
      <c r="L92" s="151"/>
      <c r="M92" s="151"/>
      <c r="N92" s="149"/>
      <c r="O92" s="128"/>
      <c r="P92" s="128"/>
      <c r="Q92" s="128"/>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row>
    <row r="93" spans="2:43" x14ac:dyDescent="0.25">
      <c r="B93" s="5" t="s">
        <v>0</v>
      </c>
      <c r="C93" s="5" t="s">
        <v>6</v>
      </c>
      <c r="D93" s="5" t="s">
        <v>127</v>
      </c>
      <c r="F93" s="131"/>
      <c r="H93" s="128"/>
      <c r="I93" s="128"/>
      <c r="J93" s="128"/>
      <c r="K93" s="143"/>
      <c r="L93" s="143"/>
      <c r="M93" s="143"/>
      <c r="N93" s="140"/>
      <c r="O93" s="128"/>
      <c r="P93" s="128"/>
      <c r="Q93" s="128"/>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row>
    <row r="94" spans="2:43" x14ac:dyDescent="0.25">
      <c r="B94" s="3" t="str">
        <f t="shared" ref="B94:D98" si="39">B$93</f>
        <v>Energex</v>
      </c>
      <c r="C94" s="3" t="str">
        <f t="shared" si="39"/>
        <v>Residential</v>
      </c>
      <c r="D94" s="3" t="str">
        <f t="shared" si="39"/>
        <v>without CL</v>
      </c>
      <c r="E94" s="3" t="s">
        <v>19</v>
      </c>
      <c r="F94" s="131">
        <f t="array" ref="F94">IFERROR(INDEX(Usage!$B$5:$P$18,MATCH($B94,Usage!$B$5:$B$18,0),MATCH($C94&amp;$D94&amp;$E94,Usage!$B$5:$S$5&amp;Usage!$B$6:$S$6&amp;Usage!$B$7:$S$7,0)),0)</f>
        <v>4600</v>
      </c>
      <c r="G94" s="3" t="s">
        <v>57</v>
      </c>
      <c r="H94" s="128">
        <f t="array" ref="H94">INDEX('Key inputs'!$C$17:$K$40,MATCH($B94&amp;$C94&amp;$E94,'Key inputs'!$C$17:$C$40&amp;'Key inputs'!$D$17:$D$40&amp;'Key inputs'!$E$17:$E$40,0),MATCH($G94&amp;H$4&amp;H$5,'Key inputs'!$C$18:$K$18&amp;'Key inputs'!$C$19:$K$19&amp;'Key inputs'!$C$20:$K$20,0))</f>
        <v>209.87499999999997</v>
      </c>
      <c r="I94" s="128" cm="1">
        <f t="array" ref="I94">INDEX('Key inputs'!$C$17:$K$40,MATCH($B94&amp;$C94&amp;$E94,'Key inputs'!$C$17:$C$40&amp;'Key inputs'!$D$17:$D$40&amp;'Key inputs'!$E$17:$E$40,0),MATCH($G94&amp;I$4&amp;I$5,'Key inputs'!$C$18:$K$18&amp;'Key inputs'!$C$19:$K$19&amp;'Key inputs'!$C$20:$K$20,0))</f>
        <v>96.47999999999999</v>
      </c>
      <c r="J94" s="128">
        <f>H94+I94*+Usage!C38/1000</f>
        <v>653.68299999999988</v>
      </c>
      <c r="K94" s="143">
        <f>IFERROR(J94/J96,"")</f>
        <v>0.93662533868834652</v>
      </c>
      <c r="L94" s="143"/>
      <c r="M94" s="143">
        <f t="shared" ref="M94:M98" si="40">IF(OR(J94=0,J94="",Q94=""),"",Q94/J94-1)</f>
        <v>1.5076114875252955E-2</v>
      </c>
      <c r="N94" s="140"/>
      <c r="O94" s="128" cm="1">
        <f t="array" ref="O94">INDEX('Key inputs'!$C$17:$K$40,MATCH($B94&amp;$C94&amp;$E94,'Key inputs'!$C$17:$C$40&amp;'Key inputs'!$D$17:$D$40&amp;'Key inputs'!$E$17:$E$40,0),MATCH($G94&amp;O$4&amp;O$5,'Key inputs'!$C$18:$K$18&amp;'Key inputs'!$C$19:$K$19&amp;'Key inputs'!$C$20:$K$20,0))</f>
        <v>253.30999999999997</v>
      </c>
      <c r="P94" s="128" cm="1">
        <f t="array" ref="P94">INDEX('Key inputs'!$C$17:$K$40,MATCH($B94&amp;$C94&amp;$E94,'Key inputs'!$C$17:$C$40&amp;'Key inputs'!$D$17:$D$40&amp;'Key inputs'!$E$17:$E$40,0),MATCH($G94&amp;P$4&amp;P$5,'Key inputs'!$C$18:$K$18&amp;'Key inputs'!$C$19:$K$19&amp;'Key inputs'!$C$20:$K$20,0))</f>
        <v>89.179999999999993</v>
      </c>
      <c r="Q94" s="128">
        <f>O94+P94*$F94/1000</f>
        <v>663.5379999999999</v>
      </c>
      <c r="R94" s="143">
        <f>IFERROR(Q94/Q96,"")</f>
        <v>0.93762261914786715</v>
      </c>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row>
    <row r="95" spans="2:43" x14ac:dyDescent="0.25">
      <c r="B95" s="3" t="str">
        <f t="shared" si="39"/>
        <v>Energex</v>
      </c>
      <c r="C95" s="3" t="str">
        <f t="shared" si="39"/>
        <v>Residential</v>
      </c>
      <c r="D95" s="3" t="str">
        <f t="shared" si="39"/>
        <v>without CL</v>
      </c>
      <c r="E95" s="3" t="s">
        <v>19</v>
      </c>
      <c r="F95" s="131">
        <f t="array" ref="F95">IFERROR(INDEX(Usage!$B$5:$P$18,MATCH($B95,Usage!$B$5:$B$18,0),MATCH($C95&amp;$D95&amp;$E95,Usage!$B$5:$S$5&amp;Usage!$B$6:$S$6&amp;Usage!$B$7:$S$7,0)),0)</f>
        <v>4600</v>
      </c>
      <c r="G95" s="3" t="s">
        <v>61</v>
      </c>
      <c r="H95" s="128">
        <f t="array" ref="H95">INDEX('Key inputs'!$C$17:$K$40,MATCH($B95&amp;$C95&amp;$E95,'Key inputs'!$C$17:$C$40&amp;'Key inputs'!$D$17:$D$40&amp;'Key inputs'!$E$17:$E$40,0),MATCH($G95&amp;H$4&amp;H$5,'Key inputs'!$C$18:$K$18&amp;'Key inputs'!$C$19:$K$19&amp;'Key inputs'!$C$20:$K$20,0))</f>
        <v>44.23</v>
      </c>
      <c r="I95" s="128">
        <f>IFERROR(INDEX('Detail inputs'!$B$3:$K$195,MATCH($B95&amp;$C95&amp;$E95&amp;$G95&amp;I$5,'Detail inputs'!$B$3:$B$195&amp;'Detail inputs'!$D$3:$D$195&amp;'Detail inputs'!$F$3:$F$195&amp;'Detail inputs'!$G$3:$G$195&amp;'Detail inputs'!$H$3:$H$195,0),MATCH(I$4,'Detail inputs'!$B$3:$K$3,0)),0)</f>
        <v>0</v>
      </c>
      <c r="J95" s="128">
        <f>H95+I95*+Usage!C$38/1000</f>
        <v>44.23</v>
      </c>
      <c r="K95" s="143">
        <f>IFERROR(J95/J96,"")</f>
        <v>6.3374661311653466E-2</v>
      </c>
      <c r="L95" s="143"/>
      <c r="M95" s="143">
        <f t="shared" si="40"/>
        <v>-1.9600639987572555E-3</v>
      </c>
      <c r="N95" s="140"/>
      <c r="O95" s="128">
        <f t="array" ref="O95">INDEX('Key inputs'!$C$17:$K$40,MATCH($B95&amp;$C95&amp;$E95,'Key inputs'!$C$17:$C$40&amp;'Key inputs'!$D$17:$D$40&amp;'Key inputs'!$E$17:$E$40,0),MATCH($G95&amp;O$4&amp;O$5,'Key inputs'!$C$18:$K$18&amp;'Key inputs'!$C$19:$K$19&amp;'Key inputs'!$C$20:$K$20,0))</f>
        <v>44.143306369334965</v>
      </c>
      <c r="P95" s="128">
        <f>IFERROR(INDEX('Detail inputs'!$B$3:$K$195,MATCH($B95&amp;$C95&amp;$E95&amp;$G95&amp;P$5,'Detail inputs'!$B$3:$B$195&amp;'Detail inputs'!$D$3:$D$195&amp;'Detail inputs'!$F$3:$F$195&amp;'Detail inputs'!$G$3:$G$195&amp;'Detail inputs'!$H$3:$H$195,0),MATCH(P$4,'Detail inputs'!$B$3:$K$3,0)),0)</f>
        <v>0</v>
      </c>
      <c r="Q95" s="128">
        <f>O95+P95*$F95/1000</f>
        <v>44.143306369334965</v>
      </c>
      <c r="R95" s="143">
        <f>IFERROR(Q95/Q96,"")</f>
        <v>6.237738085213293E-2</v>
      </c>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row>
    <row r="96" spans="2:43" x14ac:dyDescent="0.25">
      <c r="B96" s="3" t="str">
        <f t="shared" si="39"/>
        <v>Energex</v>
      </c>
      <c r="C96" s="3" t="str">
        <f t="shared" si="39"/>
        <v>Residential</v>
      </c>
      <c r="D96" s="3" t="str">
        <f t="shared" si="39"/>
        <v>without CL</v>
      </c>
      <c r="E96" s="3" t="s">
        <v>19</v>
      </c>
      <c r="F96" s="131">
        <f t="array" ref="F96">IFERROR(INDEX(Usage!$B$5:$P$18,MATCH($B96,Usage!$B$5:$B$18,0),MATCH($C96&amp;$D96&amp;$E96,Usage!$B$5:$S$5&amp;Usage!$B$6:$S$6&amp;Usage!$B$7:$S$7,0)),0)</f>
        <v>4600</v>
      </c>
      <c r="G96" s="5" t="s">
        <v>55</v>
      </c>
      <c r="H96" s="130">
        <f>+H95+H94</f>
        <v>254.10499999999996</v>
      </c>
      <c r="I96" s="130">
        <f>+I95+I94</f>
        <v>96.47999999999999</v>
      </c>
      <c r="J96" s="130">
        <f>H96+I96*+Usage!C$38/1000</f>
        <v>697.9129999999999</v>
      </c>
      <c r="K96" s="145"/>
      <c r="L96" s="152"/>
      <c r="M96" s="145">
        <f t="shared" si="40"/>
        <v>1.3996452809067694E-2</v>
      </c>
      <c r="N96" s="150"/>
      <c r="O96" s="130">
        <f>SUM(O94:O95)</f>
        <v>297.45330636933494</v>
      </c>
      <c r="P96" s="130">
        <f>SUM(P94:P95)</f>
        <v>89.179999999999993</v>
      </c>
      <c r="Q96" s="130">
        <f>O96+P96*$F96/1000</f>
        <v>707.68130636933483</v>
      </c>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row>
    <row r="97" spans="2:43" x14ac:dyDescent="0.25">
      <c r="B97" s="3" t="str">
        <f t="shared" si="39"/>
        <v>Energex</v>
      </c>
      <c r="C97" s="3" t="str">
        <f t="shared" si="39"/>
        <v>Residential</v>
      </c>
      <c r="D97" s="3" t="str">
        <f t="shared" si="39"/>
        <v>without CL</v>
      </c>
      <c r="F97" s="131"/>
      <c r="G97" s="3" t="s">
        <v>38</v>
      </c>
      <c r="H97" s="128"/>
      <c r="I97" s="128"/>
      <c r="J97" s="128">
        <f>J96*GST</f>
        <v>69.791299999999993</v>
      </c>
      <c r="K97" s="144"/>
      <c r="L97" s="151"/>
      <c r="M97" s="143">
        <f t="shared" si="40"/>
        <v>1.3996452809067916E-2</v>
      </c>
      <c r="N97" s="149"/>
      <c r="O97" s="128"/>
      <c r="P97" s="128"/>
      <c r="Q97" s="128">
        <f>Q96*GST</f>
        <v>70.768130636933492</v>
      </c>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row>
    <row r="98" spans="2:43" x14ac:dyDescent="0.25">
      <c r="B98" s="3" t="str">
        <f t="shared" si="39"/>
        <v>Energex</v>
      </c>
      <c r="C98" s="3" t="str">
        <f t="shared" si="39"/>
        <v>Residential</v>
      </c>
      <c r="D98" s="3" t="str">
        <f t="shared" si="39"/>
        <v>without CL</v>
      </c>
      <c r="F98" s="131"/>
      <c r="G98" s="5" t="s">
        <v>80</v>
      </c>
      <c r="H98" s="130"/>
      <c r="I98" s="130"/>
      <c r="J98" s="130">
        <f>SUM(J96:J97)</f>
        <v>767.70429999999988</v>
      </c>
      <c r="K98" s="145"/>
      <c r="L98" s="152"/>
      <c r="M98" s="145">
        <f t="shared" si="40"/>
        <v>1.3996452809067916E-2</v>
      </c>
      <c r="N98" s="150"/>
      <c r="O98" s="130"/>
      <c r="P98" s="130"/>
      <c r="Q98" s="130">
        <f>SUM(Q96:Q97)</f>
        <v>778.44943700626834</v>
      </c>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row>
    <row r="99" spans="2:43" x14ac:dyDescent="0.25">
      <c r="F99" s="131"/>
      <c r="H99" s="128"/>
      <c r="I99" s="128"/>
      <c r="J99" s="128"/>
      <c r="K99" s="143"/>
      <c r="L99" s="151"/>
      <c r="M99" s="143"/>
      <c r="N99" s="149"/>
      <c r="O99" s="128"/>
      <c r="P99" s="128"/>
      <c r="Q99" s="128"/>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row>
    <row r="100" spans="2:43" x14ac:dyDescent="0.25">
      <c r="B100" s="5" t="s">
        <v>0</v>
      </c>
      <c r="C100" s="5" t="s">
        <v>6</v>
      </c>
      <c r="D100" s="5" t="s">
        <v>128</v>
      </c>
      <c r="F100" s="131"/>
      <c r="H100" s="128"/>
      <c r="I100" s="128"/>
      <c r="J100" s="128"/>
      <c r="K100" s="143"/>
      <c r="L100" s="151"/>
      <c r="M100" s="143"/>
      <c r="N100" s="149"/>
      <c r="O100" s="128"/>
      <c r="P100" s="128"/>
      <c r="Q100" s="128"/>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row>
    <row r="101" spans="2:43" x14ac:dyDescent="0.25">
      <c r="B101" s="3" t="str">
        <f t="shared" ref="B101:D112" si="41">B$100</f>
        <v>Energex</v>
      </c>
      <c r="C101" s="3" t="str">
        <f t="shared" si="41"/>
        <v>Residential</v>
      </c>
      <c r="D101" s="3" t="str">
        <f t="shared" si="41"/>
        <v>with CL</v>
      </c>
      <c r="E101" s="3" t="s">
        <v>19</v>
      </c>
      <c r="F101" s="131">
        <f t="array" ref="F101">IFERROR(INDEX(Usage!$B$5:$P$18,MATCH($B101,Usage!$B$5:$B$18,0),MATCH($C101&amp;$D101&amp;$E101,Usage!$B$5:$S$5&amp;Usage!$B$6:$S$6&amp;Usage!$B$7:$S$7,0)),0)</f>
        <v>4400</v>
      </c>
      <c r="G101" s="21" t="s">
        <v>57</v>
      </c>
      <c r="H101" s="128">
        <f t="array" ref="H101">INDEX('Key inputs'!$C$17:$K$40,MATCH($B101&amp;$C101&amp;$E101,'Key inputs'!$C$17:$C$40&amp;'Key inputs'!$D$17:$D$40&amp;'Key inputs'!$E$17:$E$40,0),MATCH($G101&amp;H$4&amp;H$5,'Key inputs'!$C$18:$K$18&amp;'Key inputs'!$C$19:$K$19&amp;'Key inputs'!$C$20:$K$20,0))</f>
        <v>209.87499999999997</v>
      </c>
      <c r="I101" s="128">
        <f t="array" ref="I101">INDEX('Key inputs'!$C$17:$K$40,MATCH($B101&amp;$C101&amp;$E101,'Key inputs'!$C$17:$C$40&amp;'Key inputs'!$D$17:$D$40&amp;'Key inputs'!$E$17:$E$40,0),MATCH($G101&amp;I$4&amp;I$5,'Key inputs'!$C$18:$K$18&amp;'Key inputs'!$C$19:$K$19&amp;'Key inputs'!$C$20:$K$20,0))</f>
        <v>96.47999999999999</v>
      </c>
      <c r="J101" s="128">
        <f>H101+I101*+Usage!E38/1000</f>
        <v>634.38699999999994</v>
      </c>
      <c r="K101" s="143">
        <f>IFERROR(J101/J103,"")</f>
        <v>0.93482332449673378</v>
      </c>
      <c r="L101" s="143"/>
      <c r="M101" s="143">
        <f t="shared" ref="M101:M112" si="42">IF(OR(J101=0,J101="",Q101=""),"",Q101/J101-1)</f>
        <v>1.7836115809434894E-2</v>
      </c>
      <c r="N101" s="140"/>
      <c r="O101" s="128">
        <f t="array" ref="O101">INDEX('Key inputs'!$C$17:$K$40,MATCH($B101&amp;$C101&amp;$E101,'Key inputs'!$C$17:$C$40&amp;'Key inputs'!$D$17:$D$40&amp;'Key inputs'!$E$17:$E$40,0),MATCH($G101&amp;O$4&amp;O$5,'Key inputs'!$C$18:$K$18&amp;'Key inputs'!$C$19:$K$19&amp;'Key inputs'!$C$20:$K$20,0))</f>
        <v>253.30999999999997</v>
      </c>
      <c r="P101" s="128">
        <f t="array" ref="P101">INDEX('Key inputs'!$C$17:$K$40,MATCH($B101&amp;$C101&amp;$E101,'Key inputs'!$C$17:$C$40&amp;'Key inputs'!$D$17:$D$40&amp;'Key inputs'!$E$17:$E$40,0),MATCH($G101&amp;P$4&amp;P$5,'Key inputs'!$C$18:$K$18&amp;'Key inputs'!$C$19:$K$19&amp;'Key inputs'!$C$20:$K$20,0))</f>
        <v>89.179999999999993</v>
      </c>
      <c r="Q101" s="128">
        <f t="shared" ref="Q101:Q109" si="43">O101+P101*$F101/1000</f>
        <v>645.70199999999988</v>
      </c>
      <c r="R101" s="143">
        <f>IFERROR(Q101/Q103,"")</f>
        <v>0.93600984748064497</v>
      </c>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row>
    <row r="102" spans="2:43" x14ac:dyDescent="0.25">
      <c r="B102" s="3" t="str">
        <f t="shared" si="41"/>
        <v>Energex</v>
      </c>
      <c r="C102" s="3" t="str">
        <f t="shared" si="41"/>
        <v>Residential</v>
      </c>
      <c r="D102" s="3" t="str">
        <f t="shared" si="41"/>
        <v>with CL</v>
      </c>
      <c r="E102" s="3" t="s">
        <v>19</v>
      </c>
      <c r="F102" s="131">
        <f t="array" ref="F102">IFERROR(INDEX(Usage!$B$5:$P$18,MATCH($B102,Usage!$B$5:$B$18,0),MATCH($C102&amp;$D102&amp;$E102,Usage!$B$5:$S$5&amp;Usage!$B$6:$S$6&amp;Usage!$B$7:$S$7,0)),0)</f>
        <v>4400</v>
      </c>
      <c r="G102" s="21" t="s">
        <v>61</v>
      </c>
      <c r="H102" s="128">
        <f t="array" ref="H102">INDEX('Key inputs'!$C$17:$K$40,MATCH($B102&amp;$C102&amp;$E102,'Key inputs'!$C$17:$C$40&amp;'Key inputs'!$D$17:$D$40&amp;'Key inputs'!$E$17:$E$40,0),MATCH($G102&amp;H$4&amp;H$5,'Key inputs'!$C$18:$K$18&amp;'Key inputs'!$C$19:$K$19&amp;'Key inputs'!$C$20:$K$20,0))</f>
        <v>44.23</v>
      </c>
      <c r="I102" s="128">
        <f>IFERROR(INDEX('Detail inputs'!$B$3:$K$195,MATCH($B102&amp;$C102&amp;$E102&amp;$G102&amp;I$5,'Detail inputs'!$B$3:$B$195&amp;'Detail inputs'!$D$3:$D$195&amp;'Detail inputs'!$F$3:$F$195&amp;'Detail inputs'!$G$3:$G$195&amp;'Detail inputs'!$H$3:$H$195,0),MATCH(I$4,'Detail inputs'!$B$3:$K$3,0)),0)</f>
        <v>0</v>
      </c>
      <c r="J102" s="128">
        <f>H102+I102*+Usage!E$38/1000</f>
        <v>44.23</v>
      </c>
      <c r="K102" s="143">
        <f>IFERROR(J102/J103,"")</f>
        <v>6.5176675503266196E-2</v>
      </c>
      <c r="L102" s="143"/>
      <c r="M102" s="143">
        <f t="shared" si="42"/>
        <v>-1.9600639987572555E-3</v>
      </c>
      <c r="N102" s="140"/>
      <c r="O102" s="128">
        <f t="array" ref="O102">INDEX('Key inputs'!$C$17:$K$40,MATCH($B102&amp;$C102&amp;$E102,'Key inputs'!$C$17:$C$40&amp;'Key inputs'!$D$17:$D$40&amp;'Key inputs'!$E$17:$E$40,0),MATCH($G102&amp;O$4&amp;O$5,'Key inputs'!$C$18:$K$18&amp;'Key inputs'!$C$19:$K$19&amp;'Key inputs'!$C$20:$K$20,0))</f>
        <v>44.143306369334965</v>
      </c>
      <c r="P102" s="128">
        <f>IFERROR(INDEX('Detail inputs'!$B$3:$K$195,MATCH($B102&amp;$C102&amp;$E102&amp;$G102&amp;P$5,'Detail inputs'!$B$3:$B$195&amp;'Detail inputs'!$D$3:$D$195&amp;'Detail inputs'!$F$3:$F$195&amp;'Detail inputs'!$G$3:$G$195&amp;'Detail inputs'!$H$3:$H$195,0),MATCH(P$4,'Detail inputs'!$B$3:$K$3,0)),0)</f>
        <v>0</v>
      </c>
      <c r="Q102" s="128">
        <f t="shared" si="43"/>
        <v>44.143306369334965</v>
      </c>
      <c r="R102" s="143">
        <f>IFERROR(Q102/Q103,"")</f>
        <v>6.3990152519355081E-2</v>
      </c>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row>
    <row r="103" spans="2:43" x14ac:dyDescent="0.25">
      <c r="B103" s="3" t="str">
        <f t="shared" si="41"/>
        <v>Energex</v>
      </c>
      <c r="C103" s="3" t="str">
        <f t="shared" si="41"/>
        <v>Residential</v>
      </c>
      <c r="D103" s="3" t="str">
        <f t="shared" si="41"/>
        <v>with CL</v>
      </c>
      <c r="E103" s="3" t="s">
        <v>19</v>
      </c>
      <c r="F103" s="131">
        <f t="array" ref="F103">IFERROR(INDEX(Usage!$B$5:$P$18,MATCH($B103,Usage!$B$5:$B$18,0),MATCH($C103&amp;$D103&amp;$E103,Usage!$B$5:$S$5&amp;Usage!$B$6:$S$6&amp;Usage!$B$7:$S$7,0)),0)</f>
        <v>4400</v>
      </c>
      <c r="G103" s="5" t="s">
        <v>55</v>
      </c>
      <c r="H103" s="130">
        <f>+H102+H101</f>
        <v>254.10499999999996</v>
      </c>
      <c r="I103" s="130">
        <f>+I102+I101</f>
        <v>96.47999999999999</v>
      </c>
      <c r="J103" s="130">
        <f>H103+I103*+Usage!E$38/1000</f>
        <v>678.61699999999996</v>
      </c>
      <c r="K103" s="145"/>
      <c r="L103" s="152"/>
      <c r="M103" s="145">
        <f t="shared" si="42"/>
        <v>1.6545866621871852E-2</v>
      </c>
      <c r="N103" s="150"/>
      <c r="O103" s="130">
        <f t="shared" ref="O103:P103" si="44">SUM(O101:O102)</f>
        <v>297.45330636933494</v>
      </c>
      <c r="P103" s="130">
        <f t="shared" si="44"/>
        <v>89.179999999999993</v>
      </c>
      <c r="Q103" s="130">
        <f t="shared" si="43"/>
        <v>689.84530636933482</v>
      </c>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row>
    <row r="104" spans="2:43" x14ac:dyDescent="0.25">
      <c r="B104" s="3" t="str">
        <f t="shared" si="41"/>
        <v>Energex</v>
      </c>
      <c r="C104" s="3" t="str">
        <f t="shared" si="41"/>
        <v>Residential</v>
      </c>
      <c r="D104" s="3" t="str">
        <f t="shared" si="41"/>
        <v>with CL</v>
      </c>
      <c r="E104" s="3" t="s">
        <v>14</v>
      </c>
      <c r="F104" s="131">
        <f t="array" ref="F104">IFERROR(INDEX(Usage!$B$5:$P$18,MATCH($B104,Usage!$B$5:$B$18,0),MATCH($C104&amp;$D104&amp;$E104,Usage!$B$5:$S$5&amp;Usage!$B$6:$S$6&amp;Usage!$B$7:$S$7,0)),0)</f>
        <v>551</v>
      </c>
      <c r="G104" s="21" t="s">
        <v>57</v>
      </c>
      <c r="H104" s="128" cm="1">
        <f t="array" ref="H104">INDEX('Key inputs'!$C$17:$K$40,MATCH($B104&amp;$C104&amp;$E104,'Key inputs'!$C$17:$C$40&amp;'Key inputs'!$D$17:$D$40&amp;'Key inputs'!$E$17:$E$40,0),MATCH($G104&amp;H$4&amp;H$5,'Key inputs'!$C$18:$K$18&amp;'Key inputs'!$C$19:$K$19&amp;'Key inputs'!$C$20:$K$20,0))*INDEX(Usage!$B$4:$M$18,MATCH($B104,Usage!$B$4:$B$18,0),MATCH(IF($E104="CL1","CL1 Proportion","CL2 Proportion"),Usage!$B$8:$M$8,0))</f>
        <v>0</v>
      </c>
      <c r="I104" s="128">
        <f t="array" ref="I104">INDEX('Key inputs'!$C$17:$K$40,MATCH($B104&amp;$C104&amp;$E104,'Key inputs'!$C$17:$C$40&amp;'Key inputs'!$D$17:$D$40&amp;'Key inputs'!$E$17:$E$40,0),MATCH($G104&amp;I$4&amp;I$5,'Key inputs'!$C$18:$K$18&amp;'Key inputs'!$C$19:$K$19&amp;'Key inputs'!$C$20:$K$20,0))</f>
        <v>44.63</v>
      </c>
      <c r="J104" s="128">
        <f t="shared" ref="J104:J109" si="45">H104+I104*F104/1000</f>
        <v>24.59113</v>
      </c>
      <c r="K104" s="143">
        <f>IFERROR(J104/J106,"")</f>
        <v>0.8680479490617995</v>
      </c>
      <c r="L104" s="143"/>
      <c r="M104" s="143">
        <f t="shared" si="42"/>
        <v>-0.4398386735379789</v>
      </c>
      <c r="N104" s="140"/>
      <c r="O104" s="128" cm="1">
        <f t="array" ref="O104">INDEX('Key inputs'!$C$17:$K$40,MATCH($B104&amp;$C104&amp;$E104,'Key inputs'!$C$17:$C$40&amp;'Key inputs'!$D$17:$D$40&amp;'Key inputs'!$E$17:$E$40,0),MATCH($G104&amp;O$4&amp;O$5,'Key inputs'!$C$18:$K$18&amp;'Key inputs'!$C$19:$K$19&amp;'Key inputs'!$C$20:$K$20,0))*INDEX(Usage!$B$4:$M$18,MATCH($B104,Usage!$B$4:$B$18,0),MATCH(IF($E104="CL1","CL1 Proportion","CL2 Proportion"),Usage!$B$8:$M$8,0))</f>
        <v>0</v>
      </c>
      <c r="P104" s="128">
        <f t="array" ref="P104">INDEX('Key inputs'!$C$17:$K$40,MATCH($B104&amp;$C104&amp;$E104,'Key inputs'!$C$17:$C$40&amp;'Key inputs'!$D$17:$D$40&amp;'Key inputs'!$E$17:$E$40,0),MATCH($G104&amp;P$4&amp;P$5,'Key inputs'!$C$18:$K$18&amp;'Key inputs'!$C$19:$K$19&amp;'Key inputs'!$C$20:$K$20,0))</f>
        <v>25</v>
      </c>
      <c r="Q104" s="128">
        <f t="shared" si="43"/>
        <v>13.775</v>
      </c>
      <c r="R104" s="143">
        <f>IFERROR(Q104/Q106,"")</f>
        <v>1</v>
      </c>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row>
    <row r="105" spans="2:43" x14ac:dyDescent="0.25">
      <c r="B105" s="3" t="str">
        <f t="shared" si="41"/>
        <v>Energex</v>
      </c>
      <c r="C105" s="3" t="str">
        <f t="shared" si="41"/>
        <v>Residential</v>
      </c>
      <c r="D105" s="3" t="str">
        <f t="shared" si="41"/>
        <v>with CL</v>
      </c>
      <c r="E105" s="3" t="s">
        <v>14</v>
      </c>
      <c r="F105" s="131">
        <f t="array" ref="F105">IFERROR(INDEX(Usage!$B$5:$P$18,MATCH($B105,Usage!$B$5:$B$18,0),MATCH($C105&amp;$D105&amp;$E105,Usage!$B$5:$S$5&amp;Usage!$B$6:$S$6&amp;Usage!$B$7:$S$7,0)),0)</f>
        <v>551</v>
      </c>
      <c r="G105" s="21" t="s">
        <v>61</v>
      </c>
      <c r="H105" s="128" cm="1">
        <f t="array" ref="H105">INDEX('Key inputs'!$C$17:$K$40,MATCH($B105&amp;$C105&amp;$E105,'Key inputs'!$C$17:$C$40&amp;'Key inputs'!$D$17:$D$40&amp;'Key inputs'!$E$17:$E$40,0),MATCH($G105&amp;H$4&amp;H$5,'Key inputs'!$C$18:$K$18&amp;'Key inputs'!$C$19:$K$19&amp;'Key inputs'!$C$20:$K$20,0))*INDEX(Usage!$B$4:$M$18,MATCH($B105,Usage!$B$4:$B$18,0),MATCH(IF($E105="CL1","CL1 Proportion","CL2 Proportion"),Usage!$B$8:$M$8,0))</f>
        <v>3.7380999999999998</v>
      </c>
      <c r="I105" s="128">
        <f>IFERROR(INDEX('Detail inputs'!$B$3:$K$195,MATCH($B105&amp;$C105&amp;$E105&amp;$G105&amp;I$5,'Detail inputs'!$B$3:$B$195&amp;'Detail inputs'!$D$3:$D$195&amp;'Detail inputs'!$F$3:$F$195&amp;'Detail inputs'!$G$3:$G$195&amp;'Detail inputs'!$H$3:$H$195,0),MATCH(I$4,'Detail inputs'!$B$3:$K$3,0)),0)</f>
        <v>0</v>
      </c>
      <c r="J105" s="128">
        <f t="shared" si="45"/>
        <v>3.7380999999999998</v>
      </c>
      <c r="K105" s="143">
        <f>IFERROR(J105/J106,"")</f>
        <v>0.13195205093820059</v>
      </c>
      <c r="L105" s="143"/>
      <c r="M105" s="143">
        <f t="shared" si="42"/>
        <v>-1</v>
      </c>
      <c r="N105" s="140"/>
      <c r="O105" s="128" cm="1">
        <f t="array" ref="O105">INDEX('Key inputs'!$C$17:$K$40,MATCH($B105&amp;$C105&amp;$E105,'Key inputs'!$C$17:$C$40&amp;'Key inputs'!$D$17:$D$40&amp;'Key inputs'!$E$17:$E$40,0),MATCH($G105&amp;O$4&amp;O$5,'Key inputs'!$C$18:$K$18&amp;'Key inputs'!$C$19:$K$19&amp;'Key inputs'!$C$20:$K$20,0))*INDEX(Usage!$B$4:$M$18,MATCH($B105,Usage!$B$4:$B$18,0),MATCH(IF($E105="CL1","CL1 Proportion","CL2 Proportion"),Usage!$B$8:$M$8,0))</f>
        <v>0</v>
      </c>
      <c r="P105" s="128">
        <f>IFERROR(INDEX('Detail inputs'!$B$3:$K$195,MATCH($B105&amp;$C105&amp;$E105&amp;$G105&amp;P$5,'Detail inputs'!$B$3:$B$195&amp;'Detail inputs'!$D$3:$D$195&amp;'Detail inputs'!$F$3:$F$195&amp;'Detail inputs'!$G$3:$G$195&amp;'Detail inputs'!$H$3:$H$195,0),MATCH(P$4,'Detail inputs'!$B$3:$K$3,0)),0)</f>
        <v>0</v>
      </c>
      <c r="Q105" s="128">
        <f t="shared" si="43"/>
        <v>0</v>
      </c>
      <c r="R105" s="143">
        <f>IFERROR(Q105/Q106,"")</f>
        <v>0</v>
      </c>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row>
    <row r="106" spans="2:43" x14ac:dyDescent="0.25">
      <c r="B106" s="3" t="str">
        <f t="shared" si="41"/>
        <v>Energex</v>
      </c>
      <c r="C106" s="3" t="str">
        <f t="shared" si="41"/>
        <v>Residential</v>
      </c>
      <c r="D106" s="3" t="str">
        <f t="shared" si="41"/>
        <v>with CL</v>
      </c>
      <c r="E106" s="3" t="s">
        <v>14</v>
      </c>
      <c r="F106" s="131">
        <f t="array" ref="F106">IFERROR(INDEX(Usage!$B$5:$P$18,MATCH($B106,Usage!$B$5:$B$18,0),MATCH($C106&amp;$D106&amp;$E106,Usage!$B$5:$S$5&amp;Usage!$B$6:$S$6&amp;Usage!$B$7:$S$7,0)),0)</f>
        <v>551</v>
      </c>
      <c r="G106" s="5" t="s">
        <v>55</v>
      </c>
      <c r="H106" s="130">
        <f>+H105+H104</f>
        <v>3.7380999999999998</v>
      </c>
      <c r="I106" s="130">
        <f>+I105+I104</f>
        <v>44.63</v>
      </c>
      <c r="J106" s="130">
        <f t="shared" si="45"/>
        <v>28.329229999999999</v>
      </c>
      <c r="K106" s="145"/>
      <c r="L106" s="152"/>
      <c r="M106" s="145">
        <f t="shared" si="42"/>
        <v>-0.51375310942090557</v>
      </c>
      <c r="N106" s="150"/>
      <c r="O106" s="130">
        <f t="shared" ref="O106:P106" si="46">SUM(O104:O105)</f>
        <v>0</v>
      </c>
      <c r="P106" s="130">
        <f t="shared" si="46"/>
        <v>25</v>
      </c>
      <c r="Q106" s="130">
        <f t="shared" si="43"/>
        <v>13.775</v>
      </c>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row>
    <row r="107" spans="2:43" x14ac:dyDescent="0.25">
      <c r="B107" s="3" t="str">
        <f t="shared" si="41"/>
        <v>Energex</v>
      </c>
      <c r="C107" s="3" t="str">
        <f t="shared" si="41"/>
        <v>Residential</v>
      </c>
      <c r="D107" s="3" t="str">
        <f t="shared" si="41"/>
        <v>with CL</v>
      </c>
      <c r="E107" s="3" t="s">
        <v>15</v>
      </c>
      <c r="F107" s="131">
        <f t="array" ref="F107">IFERROR(INDEX(Usage!$B$5:$P$18,MATCH($B107,Usage!$B$5:$B$18,0),MATCH($C107&amp;$D107&amp;$E107,Usage!$B$5:$S$5&amp;Usage!$B$6:$S$6&amp;Usage!$B$7:$S$7,0)),0)</f>
        <v>1349</v>
      </c>
      <c r="G107" s="21" t="s">
        <v>57</v>
      </c>
      <c r="H107" s="128" cm="1">
        <f t="array" ref="H107">INDEX('Key inputs'!$C$17:$K$40,MATCH($B107&amp;$C107&amp;$E107,'Key inputs'!$C$17:$C$40&amp;'Key inputs'!$D$17:$D$40&amp;'Key inputs'!$E$17:$E$40,0),MATCH($G107&amp;H$4&amp;H$5,'Key inputs'!$C$18:$K$18&amp;'Key inputs'!$C$19:$K$19&amp;'Key inputs'!$C$20:$K$20,0))*INDEX(Usage!$B$4:$M$18,MATCH($B107,Usage!$B$4:$B$18,0),MATCH(IF($E107="CL1","CL1 Proportion","CL2 Proportion"),Usage!$B$8:$M$8,0))</f>
        <v>0</v>
      </c>
      <c r="I107" s="128">
        <f t="array" ref="I107">INDEX('Key inputs'!$C$17:$K$40,MATCH($B107&amp;$C107&amp;$E107,'Key inputs'!$C$17:$C$40&amp;'Key inputs'!$D$17:$D$40&amp;'Key inputs'!$E$17:$E$40,0),MATCH($G107&amp;I$4&amp;I$5,'Key inputs'!$C$18:$K$18&amp;'Key inputs'!$C$19:$K$19&amp;'Key inputs'!$C$20:$K$20,0))</f>
        <v>55.64</v>
      </c>
      <c r="J107" s="128">
        <f t="shared" si="45"/>
        <v>75.058360000000008</v>
      </c>
      <c r="K107" s="143">
        <f>IFERROR(J107/J109,"")</f>
        <v>0.89132084380216858</v>
      </c>
      <c r="L107" s="143"/>
      <c r="M107" s="143">
        <f t="shared" si="42"/>
        <v>-0.55068296189791521</v>
      </c>
      <c r="N107" s="140"/>
      <c r="O107" s="128" cm="1">
        <f t="array" ref="O107">INDEX('Key inputs'!$C$17:$K$40,MATCH($B107&amp;$C107&amp;$E107,'Key inputs'!$C$17:$C$40&amp;'Key inputs'!$D$17:$D$40&amp;'Key inputs'!$E$17:$E$40,0),MATCH($G107&amp;O$4&amp;O$5,'Key inputs'!$C$18:$K$18&amp;'Key inputs'!$C$19:$K$19&amp;'Key inputs'!$C$20:$K$20,0))*INDEX(Usage!$B$4:$M$18,MATCH($B107,Usage!$B$4:$B$18,0),MATCH(IF($E107="CL1","CL1 Proportion","CL2 Proportion"),Usage!$B$8:$M$8,0))</f>
        <v>0</v>
      </c>
      <c r="P107" s="128">
        <f t="array" ref="P107">INDEX('Key inputs'!$C$17:$K$40,MATCH($B107&amp;$C107&amp;$E107,'Key inputs'!$C$17:$C$40&amp;'Key inputs'!$D$17:$D$40&amp;'Key inputs'!$E$17:$E$40,0),MATCH($G107&amp;P$4&amp;P$5,'Key inputs'!$C$18:$K$18&amp;'Key inputs'!$C$19:$K$19&amp;'Key inputs'!$C$20:$K$20,0))</f>
        <v>25</v>
      </c>
      <c r="Q107" s="128">
        <f t="shared" si="43"/>
        <v>33.725000000000001</v>
      </c>
      <c r="R107" s="143">
        <f>IFERROR(Q107/Q109,"")</f>
        <v>1</v>
      </c>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row>
    <row r="108" spans="2:43" x14ac:dyDescent="0.25">
      <c r="B108" s="3" t="str">
        <f t="shared" si="41"/>
        <v>Energex</v>
      </c>
      <c r="C108" s="3" t="str">
        <f t="shared" si="41"/>
        <v>Residential</v>
      </c>
      <c r="D108" s="3" t="str">
        <f t="shared" si="41"/>
        <v>with CL</v>
      </c>
      <c r="E108" s="3" t="s">
        <v>15</v>
      </c>
      <c r="F108" s="131">
        <f t="array" ref="F108">IFERROR(INDEX(Usage!$B$5:$P$18,MATCH($B108,Usage!$B$5:$B$18,0),MATCH($C108&amp;$D108&amp;$E108,Usage!$B$5:$S$5&amp;Usage!$B$6:$S$6&amp;Usage!$B$7:$S$7,0)),0)</f>
        <v>1349</v>
      </c>
      <c r="G108" s="21" t="s">
        <v>61</v>
      </c>
      <c r="H108" s="128" cm="1">
        <f t="array" ref="H108">INDEX('Key inputs'!$C$17:$K$40,MATCH($B108&amp;$C108&amp;$E108,'Key inputs'!$C$17:$C$40&amp;'Key inputs'!$D$17:$D$40&amp;'Key inputs'!$E$17:$E$40,0),MATCH($G108&amp;H$4&amp;H$5,'Key inputs'!$C$18:$K$18&amp;'Key inputs'!$C$19:$K$19&amp;'Key inputs'!$C$20:$K$20,0))*INDEX(Usage!$B$4:$M$18,MATCH($B108,Usage!$B$4:$B$18,0),MATCH(IF($E108="CL1","CL1 Proportion","CL2 Proportion"),Usage!$B$8:$M$8,0))</f>
        <v>9.1518999999999995</v>
      </c>
      <c r="I108" s="128">
        <f>IFERROR(INDEX('Detail inputs'!$B$3:$K$195,MATCH($B108&amp;$C108&amp;$E108&amp;$G108&amp;I$5,'Detail inputs'!$B$3:$B$195&amp;'Detail inputs'!$D$3:$D$195&amp;'Detail inputs'!$F$3:$F$195&amp;'Detail inputs'!$G$3:$G$195&amp;'Detail inputs'!$H$3:$H$195,0),MATCH(I$4,'Detail inputs'!$B$3:$K$3,0)),0)</f>
        <v>0</v>
      </c>
      <c r="J108" s="128">
        <f t="shared" si="45"/>
        <v>9.1518999999999995</v>
      </c>
      <c r="K108" s="143">
        <f>IFERROR(J108/J109,"")</f>
        <v>0.10867915619783146</v>
      </c>
      <c r="L108" s="143"/>
      <c r="M108" s="143">
        <f t="shared" si="42"/>
        <v>-1</v>
      </c>
      <c r="N108" s="140"/>
      <c r="O108" s="128" cm="1">
        <f t="array" ref="O108">INDEX('Key inputs'!$C$17:$K$40,MATCH($B108&amp;$C108&amp;$E108,'Key inputs'!$C$17:$C$40&amp;'Key inputs'!$D$17:$D$40&amp;'Key inputs'!$E$17:$E$40,0),MATCH($G108&amp;O$4&amp;O$5,'Key inputs'!$C$18:$K$18&amp;'Key inputs'!$C$19:$K$19&amp;'Key inputs'!$C$20:$K$20,0))*INDEX(Usage!$B$4:$M$18,MATCH($B108,Usage!$B$4:$B$18,0),MATCH(IF($E108="CL1","CL1 Proportion","CL2 Proportion"),Usage!$B$8:$M$8,0))</f>
        <v>0</v>
      </c>
      <c r="P108" s="128">
        <f>IFERROR(INDEX('Detail inputs'!$B$3:$K$195,MATCH($B108&amp;$C108&amp;$E108&amp;$G108&amp;P$5,'Detail inputs'!$B$3:$B$195&amp;'Detail inputs'!$D$3:$D$195&amp;'Detail inputs'!$F$3:$F$195&amp;'Detail inputs'!$G$3:$G$195&amp;'Detail inputs'!$H$3:$H$195,0),MATCH(P$4,'Detail inputs'!$B$3:$K$3,0)),0)</f>
        <v>0</v>
      </c>
      <c r="Q108" s="128">
        <f t="shared" si="43"/>
        <v>0</v>
      </c>
      <c r="R108" s="143">
        <f>IFERROR(Q108/Q109,"")</f>
        <v>0</v>
      </c>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row>
    <row r="109" spans="2:43" x14ac:dyDescent="0.25">
      <c r="B109" s="3" t="str">
        <f t="shared" si="41"/>
        <v>Energex</v>
      </c>
      <c r="C109" s="3" t="str">
        <f t="shared" si="41"/>
        <v>Residential</v>
      </c>
      <c r="D109" s="3" t="str">
        <f t="shared" si="41"/>
        <v>with CL</v>
      </c>
      <c r="E109" s="3" t="s">
        <v>15</v>
      </c>
      <c r="F109" s="131">
        <f t="array" ref="F109">IFERROR(INDEX(Usage!$B$5:$P$18,MATCH($B109,Usage!$B$5:$B$18,0),MATCH($C109&amp;$D109&amp;$E109,Usage!$B$5:$S$5&amp;Usage!$B$6:$S$6&amp;Usage!$B$7:$S$7,0)),0)</f>
        <v>1349</v>
      </c>
      <c r="G109" s="5" t="s">
        <v>55</v>
      </c>
      <c r="H109" s="130">
        <f>+H108+H107</f>
        <v>9.1518999999999995</v>
      </c>
      <c r="I109" s="130">
        <f>+I108+I107</f>
        <v>55.64</v>
      </c>
      <c r="J109" s="130">
        <f t="shared" si="45"/>
        <v>84.210260000000005</v>
      </c>
      <c r="K109" s="145"/>
      <c r="L109" s="152"/>
      <c r="M109" s="145">
        <f t="shared" si="42"/>
        <v>-0.59951435846415868</v>
      </c>
      <c r="N109" s="150"/>
      <c r="O109" s="130">
        <f t="shared" ref="O109:P109" si="47">SUM(O107:O108)</f>
        <v>0</v>
      </c>
      <c r="P109" s="130">
        <f t="shared" si="47"/>
        <v>25</v>
      </c>
      <c r="Q109" s="130">
        <f t="shared" si="43"/>
        <v>33.725000000000001</v>
      </c>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row>
    <row r="110" spans="2:43" x14ac:dyDescent="0.25">
      <c r="B110" s="3" t="str">
        <f t="shared" si="41"/>
        <v>Energex</v>
      </c>
      <c r="C110" s="3" t="str">
        <f t="shared" si="41"/>
        <v>Residential</v>
      </c>
      <c r="D110" s="3" t="str">
        <f t="shared" si="41"/>
        <v>with CL</v>
      </c>
      <c r="E110" s="3" t="s">
        <v>55</v>
      </c>
      <c r="F110" s="131">
        <f t="array" ref="F110">IFERROR(INDEX(Usage!$B$5:$P$18,MATCH($B110,Usage!$B$5:$B$18,0),MATCH($C110&amp;$D110&amp;$E110,Usage!$B$5:$S$5&amp;Usage!$B$6:$S$6&amp;Usage!$B$7:$S$7,0)),0)</f>
        <v>6300</v>
      </c>
      <c r="G110" s="5" t="s">
        <v>55</v>
      </c>
      <c r="H110" s="130"/>
      <c r="I110" s="130"/>
      <c r="J110" s="130">
        <f>SUM(J103,J106,J109)</f>
        <v>791.15649000000008</v>
      </c>
      <c r="K110" s="145"/>
      <c r="L110" s="152"/>
      <c r="M110" s="145">
        <f t="shared" si="42"/>
        <v>-6.8015853135029225E-2</v>
      </c>
      <c r="N110" s="150"/>
      <c r="O110" s="130"/>
      <c r="P110" s="130"/>
      <c r="Q110" s="130">
        <f>SUM(Q103,Q106,Q109)</f>
        <v>737.34530636933482</v>
      </c>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row>
    <row r="111" spans="2:43" x14ac:dyDescent="0.25">
      <c r="B111" s="3" t="str">
        <f t="shared" si="41"/>
        <v>Energex</v>
      </c>
      <c r="C111" s="3" t="str">
        <f t="shared" si="41"/>
        <v>Residential</v>
      </c>
      <c r="D111" s="3" t="str">
        <f t="shared" si="41"/>
        <v>with CL</v>
      </c>
      <c r="F111" s="131"/>
      <c r="G111" s="3" t="s">
        <v>38</v>
      </c>
      <c r="H111" s="128"/>
      <c r="I111" s="128"/>
      <c r="J111" s="128">
        <f>J110*GST</f>
        <v>79.115649000000019</v>
      </c>
      <c r="K111" s="144"/>
      <c r="L111" s="151"/>
      <c r="M111" s="143">
        <f t="shared" si="42"/>
        <v>-6.8015853135029336E-2</v>
      </c>
      <c r="N111" s="149"/>
      <c r="O111" s="128"/>
      <c r="P111" s="128"/>
      <c r="Q111" s="128">
        <f>Q110*GST</f>
        <v>73.734530636933485</v>
      </c>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row>
    <row r="112" spans="2:43" x14ac:dyDescent="0.25">
      <c r="B112" s="3" t="str">
        <f t="shared" si="41"/>
        <v>Energex</v>
      </c>
      <c r="C112" s="3" t="str">
        <f t="shared" si="41"/>
        <v>Residential</v>
      </c>
      <c r="D112" s="3" t="str">
        <f t="shared" si="41"/>
        <v>with CL</v>
      </c>
      <c r="F112" s="131"/>
      <c r="G112" s="5" t="s">
        <v>80</v>
      </c>
      <c r="H112" s="130"/>
      <c r="I112" s="130"/>
      <c r="J112" s="130">
        <f>SUM(J110:J111)</f>
        <v>870.27213900000015</v>
      </c>
      <c r="K112" s="145"/>
      <c r="L112" s="152"/>
      <c r="M112" s="145">
        <f t="shared" si="42"/>
        <v>-6.8015853135029336E-2</v>
      </c>
      <c r="N112" s="150"/>
      <c r="O112" s="130"/>
      <c r="P112" s="130"/>
      <c r="Q112" s="130">
        <f>SUM(Q110:Q111)</f>
        <v>811.07983700626835</v>
      </c>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row>
    <row r="113" spans="2:43" x14ac:dyDescent="0.25">
      <c r="F113" s="131"/>
      <c r="H113" s="128"/>
      <c r="I113" s="128"/>
      <c r="J113" s="128"/>
      <c r="K113" s="143"/>
      <c r="L113" s="151"/>
      <c r="M113" s="143"/>
      <c r="N113" s="149"/>
      <c r="O113" s="128"/>
      <c r="P113" s="128"/>
      <c r="Q113" s="128"/>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row>
    <row r="114" spans="2:43" x14ac:dyDescent="0.25">
      <c r="B114" s="5" t="s">
        <v>0</v>
      </c>
      <c r="C114" s="5" t="s">
        <v>13</v>
      </c>
      <c r="D114" s="5" t="s">
        <v>127</v>
      </c>
      <c r="E114" s="5"/>
      <c r="F114" s="153"/>
      <c r="H114" s="128"/>
      <c r="I114" s="128"/>
      <c r="J114" s="128"/>
      <c r="K114" s="143"/>
      <c r="L114" s="151"/>
      <c r="M114" s="143"/>
      <c r="N114" s="149"/>
      <c r="O114" s="128"/>
      <c r="P114" s="128"/>
      <c r="Q114" s="128"/>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row>
    <row r="115" spans="2:43" x14ac:dyDescent="0.25">
      <c r="B115" s="3" t="str">
        <f t="shared" ref="B115:D119" si="48">B$114</f>
        <v>Energex</v>
      </c>
      <c r="C115" s="3" t="str">
        <f t="shared" si="48"/>
        <v>Small business</v>
      </c>
      <c r="D115" s="3" t="str">
        <f t="shared" si="48"/>
        <v>without CL</v>
      </c>
      <c r="E115" s="3" t="s">
        <v>19</v>
      </c>
      <c r="F115" s="131">
        <f t="array" ref="F115">IFERROR(INDEX(Usage!$B$5:$P$18,MATCH($B115,Usage!$B$5:$B$18,0),MATCH($C115&amp;$D115&amp;$E115,Usage!$B$5:$S$5&amp;Usage!$B$6:$S$6&amp;Usage!$B$7:$S$7,0)),0)</f>
        <v>10000</v>
      </c>
      <c r="G115" s="3" t="s">
        <v>57</v>
      </c>
      <c r="H115" s="128">
        <f t="array" ref="H115">INDEX('Key inputs'!$C$17:$K$40,MATCH($B115&amp;$C115&amp;$E115,'Key inputs'!$C$17:$C$40&amp;'Key inputs'!$D$17:$D$40&amp;'Key inputs'!$E$17:$E$40,0),MATCH($G115&amp;H$4&amp;H$5,'Key inputs'!$C$18:$K$18&amp;'Key inputs'!$C$19:$K$19&amp;'Key inputs'!$C$20:$K$20,0))</f>
        <v>277.03500000000003</v>
      </c>
      <c r="I115" s="128">
        <f t="array" ref="I115">INDEX('Key inputs'!$C$17:$K$40,MATCH($B115&amp;$C115&amp;$E115,'Key inputs'!$C$17:$C$40&amp;'Key inputs'!$D$17:$D$40&amp;'Key inputs'!$E$17:$E$40,0),MATCH($G115&amp;I$4&amp;I$5,'Key inputs'!$C$18:$K$18&amp;'Key inputs'!$C$19:$K$19&amp;'Key inputs'!$C$20:$K$20,0))</f>
        <v>102</v>
      </c>
      <c r="J115" s="128">
        <f>H115+I115*+Usage!M38/1000</f>
        <v>1297.0350000000001</v>
      </c>
      <c r="K115" s="143">
        <f>IFERROR(J115/J117,"")</f>
        <v>0.96702366795525119</v>
      </c>
      <c r="L115" s="143"/>
      <c r="M115" s="143">
        <f t="shared" ref="M115:M119" si="49">IF(OR(J115=0,J115="",Q115=""),"",Q115/J115-1)</f>
        <v>2.1780445400471082E-2</v>
      </c>
      <c r="N115" s="140"/>
      <c r="O115" s="128">
        <f t="array" ref="O115">INDEX('Key inputs'!$C$17:$K$40,MATCH($B115&amp;$C115&amp;$E115,'Key inputs'!$C$17:$C$40&amp;'Key inputs'!$D$17:$D$40&amp;'Key inputs'!$E$17:$E$40,0),MATCH($G115&amp;O$4&amp;O$5,'Key inputs'!$C$18:$K$18&amp;'Key inputs'!$C$19:$K$19&amp;'Key inputs'!$C$20:$K$20,0))</f>
        <v>339.08500000000004</v>
      </c>
      <c r="P115" s="128">
        <f t="array" ref="P115">INDEX('Key inputs'!$C$17:$K$40,MATCH($B115&amp;$C115&amp;$E115,'Key inputs'!$C$17:$C$40&amp;'Key inputs'!$D$17:$D$40&amp;'Key inputs'!$E$17:$E$40,0),MATCH($G115&amp;P$4&amp;P$5,'Key inputs'!$C$18:$K$18&amp;'Key inputs'!$C$19:$K$19&amp;'Key inputs'!$C$20:$K$20,0))</f>
        <v>98.62</v>
      </c>
      <c r="Q115" s="128">
        <f>O115+P115*$F115/1000</f>
        <v>1325.2850000000001</v>
      </c>
      <c r="R115" s="143">
        <f>IFERROR(Q115/Q117,"")</f>
        <v>0.9677651570629725</v>
      </c>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row>
    <row r="116" spans="2:43" x14ac:dyDescent="0.25">
      <c r="B116" s="3" t="str">
        <f t="shared" si="48"/>
        <v>Energex</v>
      </c>
      <c r="C116" s="3" t="str">
        <f t="shared" si="48"/>
        <v>Small business</v>
      </c>
      <c r="D116" s="3" t="str">
        <f t="shared" si="48"/>
        <v>without CL</v>
      </c>
      <c r="E116" s="3" t="s">
        <v>19</v>
      </c>
      <c r="F116" s="131">
        <f t="array" ref="F116">IFERROR(INDEX(Usage!$B$5:$P$18,MATCH($B116,Usage!$B$5:$B$18,0),MATCH($C116&amp;$D116&amp;$E116,Usage!$B$5:$S$5&amp;Usage!$B$6:$S$6&amp;Usage!$B$7:$S$7,0)),0)</f>
        <v>10000</v>
      </c>
      <c r="G116" s="3" t="s">
        <v>61</v>
      </c>
      <c r="H116" s="128">
        <f t="array" ref="H116">INDEX('Key inputs'!$C$17:$K$40,MATCH($B116&amp;$C116&amp;$E116,'Key inputs'!$C$17:$C$40&amp;'Key inputs'!$D$17:$D$40&amp;'Key inputs'!$E$17:$E$40,0),MATCH($G116&amp;H$4&amp;H$5,'Key inputs'!$C$18:$K$18&amp;'Key inputs'!$C$19:$K$19&amp;'Key inputs'!$C$20:$K$20,0))</f>
        <v>44.23</v>
      </c>
      <c r="I116" s="128">
        <f>IFERROR(INDEX('Detail inputs'!$B$3:$K$195,MATCH($B116&amp;$C116&amp;$E116&amp;$G116&amp;I$5,'Detail inputs'!$B$3:$B$195&amp;'Detail inputs'!$D$3:$D$195&amp;'Detail inputs'!$F$3:$F$195&amp;'Detail inputs'!$G$3:$G$195&amp;'Detail inputs'!$H$3:$H$195,0),MATCH(I$4,'Detail inputs'!$B$3:$K$3,0)),0)</f>
        <v>0</v>
      </c>
      <c r="J116" s="128">
        <f>H116+I116*+Usage!M$38/1000</f>
        <v>44.23</v>
      </c>
      <c r="K116" s="143">
        <f>IFERROR(J116/J117,"")</f>
        <v>3.2976332044748799E-2</v>
      </c>
      <c r="L116" s="143"/>
      <c r="M116" s="143">
        <f t="shared" si="49"/>
        <v>-1.9600639987572555E-3</v>
      </c>
      <c r="N116" s="140"/>
      <c r="O116" s="128">
        <f t="array" ref="O116">INDEX('Key inputs'!$C$17:$K$40,MATCH($B116&amp;$C116&amp;$E116,'Key inputs'!$C$17:$C$40&amp;'Key inputs'!$D$17:$D$40&amp;'Key inputs'!$E$17:$E$40,0),MATCH($G116&amp;O$4&amp;O$5,'Key inputs'!$C$18:$K$18&amp;'Key inputs'!$C$19:$K$19&amp;'Key inputs'!$C$20:$K$20,0))</f>
        <v>44.143306369334965</v>
      </c>
      <c r="P116" s="128">
        <f>IFERROR(INDEX('Detail inputs'!$B$3:$K$195,MATCH($B116&amp;$C116&amp;$E116&amp;$G116&amp;P$5,'Detail inputs'!$B$3:$B$195&amp;'Detail inputs'!$D$3:$D$195&amp;'Detail inputs'!$F$3:$F$195&amp;'Detail inputs'!$G$3:$G$195&amp;'Detail inputs'!$H$3:$H$195,0),MATCH(P$4,'Detail inputs'!$B$3:$K$3,0)),0)</f>
        <v>0</v>
      </c>
      <c r="Q116" s="128">
        <f>O116+P116*$F116/1000</f>
        <v>44.143306369334965</v>
      </c>
      <c r="R116" s="143">
        <f>IFERROR(Q116/Q117,"")</f>
        <v>3.2234842937027407E-2</v>
      </c>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row>
    <row r="117" spans="2:43" x14ac:dyDescent="0.25">
      <c r="B117" s="3" t="str">
        <f t="shared" si="48"/>
        <v>Energex</v>
      </c>
      <c r="C117" s="3" t="str">
        <f t="shared" si="48"/>
        <v>Small business</v>
      </c>
      <c r="D117" s="3" t="str">
        <f t="shared" si="48"/>
        <v>without CL</v>
      </c>
      <c r="E117" s="3" t="s">
        <v>19</v>
      </c>
      <c r="F117" s="131">
        <f t="array" ref="F117">IFERROR(INDEX(Usage!$B$5:$P$18,MATCH($B117,Usage!$B$5:$B$18,0),MATCH($C117&amp;$D117&amp;$E117,Usage!$B$5:$S$5&amp;Usage!$B$6:$S$6&amp;Usage!$B$7:$S$7,0)),0)</f>
        <v>10000</v>
      </c>
      <c r="G117" s="5" t="s">
        <v>55</v>
      </c>
      <c r="H117" s="130">
        <f>+H116+H115</f>
        <v>321.26500000000004</v>
      </c>
      <c r="I117" s="130">
        <f>+I116+I115</f>
        <v>102</v>
      </c>
      <c r="J117" s="130">
        <f>H117+I117*+Usage!M$38/1000</f>
        <v>1341.2650000000001</v>
      </c>
      <c r="K117" s="145"/>
      <c r="L117" s="152"/>
      <c r="M117" s="145">
        <f t="shared" si="49"/>
        <v>2.0997570479610594E-2</v>
      </c>
      <c r="N117" s="150"/>
      <c r="O117" s="130">
        <f t="shared" ref="O117:P117" si="50">SUM(O115:O116)</f>
        <v>383.22830636933497</v>
      </c>
      <c r="P117" s="130">
        <f t="shared" si="50"/>
        <v>98.62</v>
      </c>
      <c r="Q117" s="130">
        <f>O117+P117*$F117/1000</f>
        <v>1369.4283063693351</v>
      </c>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row>
    <row r="118" spans="2:43" x14ac:dyDescent="0.25">
      <c r="B118" s="3" t="str">
        <f t="shared" si="48"/>
        <v>Energex</v>
      </c>
      <c r="C118" s="3" t="str">
        <f t="shared" si="48"/>
        <v>Small business</v>
      </c>
      <c r="D118" s="3" t="str">
        <f t="shared" si="48"/>
        <v>without CL</v>
      </c>
      <c r="F118" s="131"/>
      <c r="G118" s="3" t="s">
        <v>38</v>
      </c>
      <c r="H118" s="128"/>
      <c r="I118" s="128"/>
      <c r="J118" s="128">
        <f>J117*GST</f>
        <v>134.12650000000002</v>
      </c>
      <c r="K118" s="144"/>
      <c r="L118" s="151"/>
      <c r="M118" s="143">
        <f t="shared" si="49"/>
        <v>2.0997570479610594E-2</v>
      </c>
      <c r="N118" s="149"/>
      <c r="O118" s="128">
        <f>O117*GST</f>
        <v>38.322830636933496</v>
      </c>
      <c r="P118" s="128">
        <f>P117*GST</f>
        <v>9.8620000000000019</v>
      </c>
      <c r="Q118" s="128">
        <f>Q117*GST</f>
        <v>136.94283063693351</v>
      </c>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row>
    <row r="119" spans="2:43" x14ac:dyDescent="0.25">
      <c r="B119" s="3" t="str">
        <f t="shared" si="48"/>
        <v>Energex</v>
      </c>
      <c r="C119" s="3" t="str">
        <f t="shared" si="48"/>
        <v>Small business</v>
      </c>
      <c r="D119" s="3" t="str">
        <f t="shared" si="48"/>
        <v>without CL</v>
      </c>
      <c r="F119" s="131"/>
      <c r="G119" s="5" t="s">
        <v>80</v>
      </c>
      <c r="H119" s="130"/>
      <c r="I119" s="130"/>
      <c r="J119" s="130">
        <f>SUM(J117:J118)</f>
        <v>1475.3915000000002</v>
      </c>
      <c r="K119" s="145"/>
      <c r="L119" s="152"/>
      <c r="M119" s="145">
        <f t="shared" si="49"/>
        <v>2.0997570479610594E-2</v>
      </c>
      <c r="N119" s="150"/>
      <c r="O119" s="130">
        <f>+O118+O117</f>
        <v>421.55113700626845</v>
      </c>
      <c r="P119" s="130">
        <f>+P118+P117</f>
        <v>108.482</v>
      </c>
      <c r="Q119" s="130">
        <f>SUM(Q117:Q118)</f>
        <v>1506.3711370062686</v>
      </c>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row>
    <row r="120" spans="2:43" x14ac:dyDescent="0.25">
      <c r="F120" s="149"/>
      <c r="H120" s="128"/>
      <c r="I120" s="128"/>
      <c r="J120" s="128"/>
      <c r="K120" s="151"/>
      <c r="L120" s="151"/>
      <c r="M120" s="151"/>
      <c r="N120" s="149"/>
      <c r="O120" s="128"/>
      <c r="P120" s="128"/>
      <c r="Q120" s="128"/>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row>
    <row r="121" spans="2:43" x14ac:dyDescent="0.25">
      <c r="B121" s="5" t="s">
        <v>5</v>
      </c>
      <c r="C121" s="5" t="s">
        <v>6</v>
      </c>
      <c r="D121" s="5" t="s">
        <v>127</v>
      </c>
      <c r="F121" s="131"/>
      <c r="G121" s="55"/>
      <c r="H121" s="128"/>
      <c r="I121" s="128"/>
      <c r="J121" s="128"/>
      <c r="K121" s="143"/>
      <c r="L121" s="151"/>
      <c r="M121" s="143"/>
      <c r="N121" s="149"/>
      <c r="O121" s="128"/>
      <c r="P121" s="128"/>
      <c r="Q121" s="128"/>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row>
    <row r="122" spans="2:43" x14ac:dyDescent="0.25">
      <c r="B122" s="3" t="str">
        <f t="shared" ref="B122:D126" si="51">B$121</f>
        <v>SAPN</v>
      </c>
      <c r="C122" s="3" t="str">
        <f t="shared" si="51"/>
        <v>Residential</v>
      </c>
      <c r="D122" s="3" t="str">
        <f t="shared" si="51"/>
        <v>without CL</v>
      </c>
      <c r="E122" s="3" t="s">
        <v>19</v>
      </c>
      <c r="F122" s="131">
        <f t="array" ref="F122">IFERROR(INDEX(Usage!$B$5:$P$18,MATCH($B122,Usage!$B$5:$B$18,0),MATCH($C122&amp;$D122&amp;$E122,Usage!$B$5:$S$5&amp;Usage!$B$6:$S$6&amp;Usage!$B$7:$S$7,0)),0)</f>
        <v>4000</v>
      </c>
      <c r="G122" s="3" t="s">
        <v>57</v>
      </c>
      <c r="H122" s="128">
        <f t="array" ref="H122">INDEX('Key inputs'!$C$17:$K$40,MATCH($B122&amp;$C122&amp;$E122,'Key inputs'!$C$17:$C$40&amp;'Key inputs'!$D$17:$D$40&amp;'Key inputs'!$E$17:$E$40,0),MATCH($G122&amp;H$4&amp;H$5,'Key inputs'!$C$18:$K$18&amp;'Key inputs'!$C$19:$K$19&amp;'Key inputs'!$C$20:$K$20,0))</f>
        <v>209.98450000000003</v>
      </c>
      <c r="I122" s="128">
        <f t="array" ref="I122">INDEX('Key inputs'!$C$17:$K$40,MATCH($B122&amp;$C122&amp;$E122,'Key inputs'!$C$17:$C$40&amp;'Key inputs'!$D$17:$D$40&amp;'Key inputs'!$E$17:$E$40,0),MATCH($G122&amp;I$4&amp;I$5,'Key inputs'!$C$18:$K$18&amp;'Key inputs'!$C$19:$K$19&amp;'Key inputs'!$C$20:$K$20,0))</f>
        <v>150.4</v>
      </c>
      <c r="J122" s="128">
        <f>H122+I122*+Usage!C40/1000</f>
        <v>811.58450000000005</v>
      </c>
      <c r="K122" s="143">
        <f>IFERROR(J122/J124,"")</f>
        <v>0.9679067662340064</v>
      </c>
      <c r="L122" s="143"/>
      <c r="M122" s="143">
        <f t="shared" ref="M122:M126" si="52">IF(OR(J122=0,J122="",Q122=""),"",Q122/J122-1)</f>
        <v>-6.6949674899502432E-3</v>
      </c>
      <c r="N122" s="140"/>
      <c r="O122" s="128">
        <f t="array" ref="O122">INDEX('Key inputs'!$C$17:$K$40,MATCH($B122&amp;$C122&amp;$E122,'Key inputs'!$C$17:$C$40&amp;'Key inputs'!$D$17:$D$40&amp;'Key inputs'!$E$17:$E$40,0),MATCH($G122&amp;O$4&amp;O$5,'Key inputs'!$C$18:$K$18&amp;'Key inputs'!$C$19:$K$19&amp;'Key inputs'!$C$20:$K$20,0))</f>
        <v>225.75096815715256</v>
      </c>
      <c r="P122" s="128">
        <f t="array" ref="P122">INDEX('Key inputs'!$C$17:$K$40,MATCH($B122&amp;$C122&amp;$E122,'Key inputs'!$C$17:$C$40&amp;'Key inputs'!$D$17:$D$40&amp;'Key inputs'!$E$17:$E$40,0),MATCH($G122&amp;P$4&amp;P$5,'Key inputs'!$C$18:$K$18&amp;'Key inputs'!$C$19:$K$19&amp;'Key inputs'!$C$20:$K$20,0))</f>
        <v>145.1</v>
      </c>
      <c r="Q122" s="128">
        <f>O122+P122*$F122/1000</f>
        <v>806.15096815715253</v>
      </c>
      <c r="R122" s="143">
        <f>IFERROR(Q122/Q124,"")</f>
        <v>0.98860041568545576</v>
      </c>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row>
    <row r="123" spans="2:43" x14ac:dyDescent="0.25">
      <c r="B123" s="3" t="str">
        <f t="shared" si="51"/>
        <v>SAPN</v>
      </c>
      <c r="C123" s="3" t="str">
        <f t="shared" si="51"/>
        <v>Residential</v>
      </c>
      <c r="D123" s="3" t="str">
        <f t="shared" si="51"/>
        <v>without CL</v>
      </c>
      <c r="E123" s="3" t="s">
        <v>19</v>
      </c>
      <c r="F123" s="131">
        <f t="array" ref="F123">IFERROR(INDEX(Usage!$B$5:$P$18,MATCH($B123,Usage!$B$5:$B$18,0),MATCH($C123&amp;$D123&amp;$E123,Usage!$B$5:$S$5&amp;Usage!$B$6:$S$6&amp;Usage!$B$7:$S$7,0)),0)</f>
        <v>4000</v>
      </c>
      <c r="G123" s="3" t="s">
        <v>61</v>
      </c>
      <c r="H123" s="128">
        <f t="array" ref="H123">INDEX('Key inputs'!$C$17:$K$40,MATCH($B123&amp;$C123&amp;$E123,'Key inputs'!$C$17:$C$40&amp;'Key inputs'!$D$17:$D$40&amp;'Key inputs'!$E$17:$E$40,0),MATCH($G123&amp;H$4&amp;H$5,'Key inputs'!$C$18:$K$18&amp;'Key inputs'!$C$19:$K$19&amp;'Key inputs'!$C$20:$K$20,0))</f>
        <v>26.91</v>
      </c>
      <c r="I123" s="128">
        <f>IFERROR(INDEX('Detail inputs'!$B$3:$K$195,MATCH($B123&amp;$C123&amp;$E123&amp;$G123&amp;I$5,'Detail inputs'!$B$3:$B$195&amp;'Detail inputs'!$D$3:$D$195&amp;'Detail inputs'!$F$3:$F$195&amp;'Detail inputs'!$G$3:$G$195&amp;'Detail inputs'!$H$3:$H$195,0),MATCH(I$4,'Detail inputs'!$B$3:$K$3,0)),0)</f>
        <v>0</v>
      </c>
      <c r="J123" s="128">
        <f>H123+I123*+Usage!C$40/1000</f>
        <v>26.91</v>
      </c>
      <c r="K123" s="143">
        <f>IFERROR(J123/J124,"")</f>
        <v>3.2093233765993691E-2</v>
      </c>
      <c r="L123" s="143"/>
      <c r="M123" s="143">
        <f t="shared" si="52"/>
        <v>-0.65456136531526665</v>
      </c>
      <c r="N123" s="140"/>
      <c r="O123" s="128">
        <f t="array" ref="O123">INDEX('Key inputs'!$C$17:$K$40,MATCH($B123&amp;$C123&amp;$E123,'Key inputs'!$C$17:$C$40&amp;'Key inputs'!$D$17:$D$40&amp;'Key inputs'!$E$17:$E$40,0),MATCH($G123&amp;O$4&amp;O$5,'Key inputs'!$C$18:$K$18&amp;'Key inputs'!$C$19:$K$19&amp;'Key inputs'!$C$20:$K$20,0))</f>
        <v>9.2957536593661754</v>
      </c>
      <c r="P123" s="128">
        <f>IFERROR(INDEX('Detail inputs'!$B$3:$K$195,MATCH($B123&amp;$C123&amp;$E123&amp;$G123&amp;P$5,'Detail inputs'!$B$3:$B$195&amp;'Detail inputs'!$D$3:$D$195&amp;'Detail inputs'!$F$3:$F$195&amp;'Detail inputs'!$G$3:$G$195&amp;'Detail inputs'!$H$3:$H$195,0),MATCH(P$4,'Detail inputs'!$B$3:$K$3,0)),0)</f>
        <v>0</v>
      </c>
      <c r="Q123" s="128">
        <f>O123+P123*$F123/1000</f>
        <v>9.2957536593661754</v>
      </c>
      <c r="R123" s="143">
        <f>IFERROR(Q123/Q124,"")</f>
        <v>1.1399584314544324E-2</v>
      </c>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row>
    <row r="124" spans="2:43" x14ac:dyDescent="0.25">
      <c r="B124" s="3" t="str">
        <f t="shared" si="51"/>
        <v>SAPN</v>
      </c>
      <c r="C124" s="3" t="str">
        <f t="shared" si="51"/>
        <v>Residential</v>
      </c>
      <c r="D124" s="3" t="str">
        <f t="shared" si="51"/>
        <v>without CL</v>
      </c>
      <c r="E124" s="3" t="s">
        <v>19</v>
      </c>
      <c r="F124" s="131">
        <f t="array" ref="F124">IFERROR(INDEX(Usage!$B$5:$P$18,MATCH($B124,Usage!$B$5:$B$18,0),MATCH($C124&amp;$D124&amp;$E124,Usage!$B$5:$S$5&amp;Usage!$B$6:$S$6&amp;Usage!$B$7:$S$7,0)),0)</f>
        <v>4000</v>
      </c>
      <c r="G124" s="5" t="s">
        <v>55</v>
      </c>
      <c r="H124" s="130">
        <f>+H123+H122</f>
        <v>236.89450000000002</v>
      </c>
      <c r="I124" s="130">
        <f>+I123+I122</f>
        <v>150.4</v>
      </c>
      <c r="J124" s="130">
        <f>H124+I124*+Usage!C$40/1000</f>
        <v>838.49450000000002</v>
      </c>
      <c r="K124" s="145"/>
      <c r="L124" s="152"/>
      <c r="M124" s="145">
        <f t="shared" si="52"/>
        <v>-2.7487095244490334E-2</v>
      </c>
      <c r="N124" s="150"/>
      <c r="O124" s="130">
        <f t="shared" ref="O124:P124" si="53">SUM(O122:O123)</f>
        <v>235.04672181651873</v>
      </c>
      <c r="P124" s="130">
        <f t="shared" si="53"/>
        <v>145.1</v>
      </c>
      <c r="Q124" s="130">
        <f>O124+P124*$F124/1000</f>
        <v>815.44672181651868</v>
      </c>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row>
    <row r="125" spans="2:43" x14ac:dyDescent="0.25">
      <c r="B125" s="3" t="str">
        <f t="shared" si="51"/>
        <v>SAPN</v>
      </c>
      <c r="C125" s="3" t="str">
        <f t="shared" si="51"/>
        <v>Residential</v>
      </c>
      <c r="D125" s="3" t="str">
        <f t="shared" si="51"/>
        <v>without CL</v>
      </c>
      <c r="F125" s="131"/>
      <c r="G125" s="3" t="s">
        <v>38</v>
      </c>
      <c r="H125" s="128"/>
      <c r="I125" s="128"/>
      <c r="J125" s="128">
        <f>J124*GST</f>
        <v>83.849450000000004</v>
      </c>
      <c r="K125" s="144"/>
      <c r="L125" s="151"/>
      <c r="M125" s="143">
        <f t="shared" si="52"/>
        <v>-2.7487095244490334E-2</v>
      </c>
      <c r="N125" s="149"/>
      <c r="O125" s="128"/>
      <c r="P125" s="128"/>
      <c r="Q125" s="128">
        <f>Q124*GST</f>
        <v>81.544672181651876</v>
      </c>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row>
    <row r="126" spans="2:43" x14ac:dyDescent="0.25">
      <c r="B126" s="3" t="str">
        <f t="shared" si="51"/>
        <v>SAPN</v>
      </c>
      <c r="C126" s="3" t="str">
        <f t="shared" si="51"/>
        <v>Residential</v>
      </c>
      <c r="D126" s="3" t="str">
        <f t="shared" si="51"/>
        <v>without CL</v>
      </c>
      <c r="F126" s="131"/>
      <c r="G126" s="5" t="s">
        <v>80</v>
      </c>
      <c r="H126" s="130"/>
      <c r="I126" s="130"/>
      <c r="J126" s="130">
        <f>SUM(J124:J125)</f>
        <v>922.34395000000006</v>
      </c>
      <c r="K126" s="145"/>
      <c r="L126" s="152"/>
      <c r="M126" s="145">
        <f t="shared" si="52"/>
        <v>-2.7487095244490445E-2</v>
      </c>
      <c r="N126" s="150"/>
      <c r="O126" s="130"/>
      <c r="P126" s="130"/>
      <c r="Q126" s="130">
        <f>SUM(Q124:Q125)</f>
        <v>896.99139399817057</v>
      </c>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row>
    <row r="127" spans="2:43" x14ac:dyDescent="0.25">
      <c r="F127" s="131"/>
      <c r="H127" s="128"/>
      <c r="I127" s="128"/>
      <c r="J127" s="128"/>
      <c r="K127" s="143"/>
      <c r="L127" s="151"/>
      <c r="M127" s="143"/>
      <c r="N127" s="149"/>
      <c r="O127" s="128"/>
      <c r="P127" s="128"/>
      <c r="Q127" s="128"/>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row>
    <row r="128" spans="2:43" x14ac:dyDescent="0.25">
      <c r="B128" s="5" t="s">
        <v>5</v>
      </c>
      <c r="C128" s="5" t="s">
        <v>6</v>
      </c>
      <c r="D128" s="5" t="s">
        <v>128</v>
      </c>
      <c r="F128" s="131"/>
      <c r="H128" s="128"/>
      <c r="I128" s="128"/>
      <c r="J128" s="128"/>
      <c r="K128" s="143"/>
      <c r="L128" s="151"/>
      <c r="M128" s="143"/>
      <c r="N128" s="149"/>
      <c r="O128" s="128"/>
      <c r="P128" s="128"/>
      <c r="Q128" s="128"/>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row>
    <row r="129" spans="2:43" x14ac:dyDescent="0.25">
      <c r="B129" s="3" t="str">
        <f t="shared" ref="B129:D137" si="54">B$128</f>
        <v>SAPN</v>
      </c>
      <c r="C129" s="3" t="str">
        <f t="shared" si="54"/>
        <v>Residential</v>
      </c>
      <c r="D129" s="3" t="str">
        <f t="shared" si="54"/>
        <v>with CL</v>
      </c>
      <c r="E129" s="3" t="s">
        <v>19</v>
      </c>
      <c r="F129" s="131">
        <f t="array" ref="F129">IFERROR(INDEX(Usage!$B$5:$P$18,MATCH($B129,Usage!$B$5:$B$18,0),MATCH($C129&amp;$D129&amp;$E129,Usage!$B$5:$S$5&amp;Usage!$B$6:$S$6&amp;Usage!$B$7:$S$7,0)),0)</f>
        <v>4200</v>
      </c>
      <c r="G129" s="3" t="s">
        <v>57</v>
      </c>
      <c r="H129" s="128">
        <f t="array" ref="H129">INDEX('Key inputs'!$C$17:$K$40,MATCH($B129&amp;$C129&amp;$E129,'Key inputs'!$C$17:$C$40&amp;'Key inputs'!$D$17:$D$40&amp;'Key inputs'!$E$17:$E$40,0),MATCH($G129&amp;H$4&amp;H$5,'Key inputs'!$C$18:$K$18&amp;'Key inputs'!$C$19:$K$19&amp;'Key inputs'!$C$20:$K$20,0))</f>
        <v>209.98450000000003</v>
      </c>
      <c r="I129" s="128">
        <f t="array" ref="I129">INDEX('Key inputs'!$C$17:$K$40,MATCH($B129&amp;$C129&amp;$E129,'Key inputs'!$C$17:$C$40&amp;'Key inputs'!$D$17:$D$40&amp;'Key inputs'!$E$17:$E$40,0),MATCH($G129&amp;I$4&amp;I$5,'Key inputs'!$C$18:$K$18&amp;'Key inputs'!$C$19:$K$19&amp;'Key inputs'!$C$20:$K$20,0))</f>
        <v>150.4</v>
      </c>
      <c r="J129" s="128">
        <f>H129+I129*+Usage!E$40/1000</f>
        <v>841.66449999999998</v>
      </c>
      <c r="K129" s="143">
        <f>IFERROR(J129/J131,"")</f>
        <v>0.96901820166260932</v>
      </c>
      <c r="L129" s="143"/>
      <c r="M129" s="143">
        <f t="shared" ref="M129:M131" si="55">IF(OR(J129=0,J129="",Q129=""),"",Q129/J129-1)</f>
        <v>-7.715107198708604E-3</v>
      </c>
      <c r="N129" s="140"/>
      <c r="O129" s="128">
        <f t="array" ref="O129">INDEX('Key inputs'!$C$17:$K$40,MATCH($B129&amp;$C129&amp;$E129,'Key inputs'!$C$17:$C$40&amp;'Key inputs'!$D$17:$D$40&amp;'Key inputs'!$E$17:$E$40,0),MATCH($G129&amp;O$4&amp;O$5,'Key inputs'!$C$18:$K$18&amp;'Key inputs'!$C$19:$K$19&amp;'Key inputs'!$C$20:$K$20,0))</f>
        <v>225.75096815715256</v>
      </c>
      <c r="P129" s="128">
        <f t="array" ref="P129">INDEX('Key inputs'!$C$17:$K$40,MATCH($B129&amp;$C129&amp;$E129,'Key inputs'!$C$17:$C$40&amp;'Key inputs'!$D$17:$D$40&amp;'Key inputs'!$E$17:$E$40,0),MATCH($G129&amp;P$4&amp;P$5,'Key inputs'!$C$18:$K$18&amp;'Key inputs'!$C$19:$K$19&amp;'Key inputs'!$C$20:$K$20,0))</f>
        <v>145.1</v>
      </c>
      <c r="Q129" s="128">
        <f t="shared" ref="Q129:Q134" si="56">O129+P129*$F129/1000</f>
        <v>835.17096815715252</v>
      </c>
      <c r="R129" s="143">
        <f>IFERROR(Q129/Q131,"")</f>
        <v>0.98899216106542343</v>
      </c>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row>
    <row r="130" spans="2:43" x14ac:dyDescent="0.25">
      <c r="B130" s="3" t="str">
        <f t="shared" si="54"/>
        <v>SAPN</v>
      </c>
      <c r="C130" s="3" t="str">
        <f t="shared" si="54"/>
        <v>Residential</v>
      </c>
      <c r="D130" s="3" t="str">
        <f t="shared" si="54"/>
        <v>with CL</v>
      </c>
      <c r="E130" s="3" t="s">
        <v>19</v>
      </c>
      <c r="F130" s="131">
        <f t="array" ref="F130">IFERROR(INDEX(Usage!$B$5:$P$18,MATCH($B130,Usage!$B$5:$B$18,0),MATCH($C130&amp;$D130&amp;$E130,Usage!$B$5:$S$5&amp;Usage!$B$6:$S$6&amp;Usage!$B$7:$S$7,0)),0)</f>
        <v>4200</v>
      </c>
      <c r="G130" s="3" t="s">
        <v>61</v>
      </c>
      <c r="H130" s="128">
        <f t="array" ref="H130">INDEX('Key inputs'!$C$17:$K$40,MATCH($B130&amp;$C130&amp;$E130,'Key inputs'!$C$17:$C$40&amp;'Key inputs'!$D$17:$D$40&amp;'Key inputs'!$E$17:$E$40,0),MATCH($G130&amp;H$4&amp;H$5,'Key inputs'!$C$18:$K$18&amp;'Key inputs'!$C$19:$K$19&amp;'Key inputs'!$C$20:$K$20,0))</f>
        <v>26.91</v>
      </c>
      <c r="I130" s="128">
        <f>IFERROR(INDEX('Detail inputs'!$B$3:$K$195,MATCH($B130&amp;$C130&amp;$E130&amp;$G130&amp;I$5,'Detail inputs'!$B$3:$B$195&amp;'Detail inputs'!$D$3:$D$195&amp;'Detail inputs'!$F$3:$F$195&amp;'Detail inputs'!$G$3:$G$195&amp;'Detail inputs'!$H$3:$H$195,0),MATCH(I$4,'Detail inputs'!$B$3:$K$3,0)),0)</f>
        <v>0</v>
      </c>
      <c r="J130" s="128">
        <f>H130+I130*+Usage!E$40/1000</f>
        <v>26.91</v>
      </c>
      <c r="K130" s="143">
        <f>IFERROR(J130/J131,"")</f>
        <v>3.0981798337390749E-2</v>
      </c>
      <c r="L130" s="143"/>
      <c r="M130" s="143">
        <f t="shared" si="55"/>
        <v>-0.65456136531526665</v>
      </c>
      <c r="N130" s="140"/>
      <c r="O130" s="128">
        <f t="array" ref="O130">INDEX('Key inputs'!$C$17:$K$40,MATCH($B130&amp;$C130&amp;$E130,'Key inputs'!$C$17:$C$40&amp;'Key inputs'!$D$17:$D$40&amp;'Key inputs'!$E$17:$E$40,0),MATCH($G130&amp;O$4&amp;O$5,'Key inputs'!$C$18:$K$18&amp;'Key inputs'!$C$19:$K$19&amp;'Key inputs'!$C$20:$K$20,0))</f>
        <v>9.2957536593661754</v>
      </c>
      <c r="P130" s="128">
        <f>IFERROR(INDEX('Detail inputs'!$B$3:$K$195,MATCH($B130&amp;$C130&amp;$E130&amp;$G130&amp;P$5,'Detail inputs'!$B$3:$B$195&amp;'Detail inputs'!$D$3:$D$195&amp;'Detail inputs'!$F$3:$F$195&amp;'Detail inputs'!$G$3:$G$195&amp;'Detail inputs'!$H$3:$H$195,0),MATCH(P$4,'Detail inputs'!$B$3:$K$3,0)),0)</f>
        <v>0</v>
      </c>
      <c r="Q130" s="128">
        <f t="shared" si="56"/>
        <v>9.2957536593661754</v>
      </c>
      <c r="R130" s="143">
        <f>IFERROR(Q130/Q131,"")</f>
        <v>1.1007838934576641E-2</v>
      </c>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row>
    <row r="131" spans="2:43" x14ac:dyDescent="0.25">
      <c r="B131" s="3" t="str">
        <f t="shared" si="54"/>
        <v>SAPN</v>
      </c>
      <c r="C131" s="3" t="str">
        <f t="shared" si="54"/>
        <v>Residential</v>
      </c>
      <c r="D131" s="3" t="str">
        <f t="shared" si="54"/>
        <v>with CL</v>
      </c>
      <c r="E131" s="3" t="s">
        <v>19</v>
      </c>
      <c r="F131" s="131">
        <f t="array" ref="F131">IFERROR(INDEX(Usage!$B$5:$P$18,MATCH($B131,Usage!$B$5:$B$18,0),MATCH($C131&amp;$D131&amp;$E131,Usage!$B$5:$S$5&amp;Usage!$B$6:$S$6&amp;Usage!$B$7:$S$7,0)),0)</f>
        <v>4200</v>
      </c>
      <c r="G131" s="5" t="s">
        <v>55</v>
      </c>
      <c r="H131" s="130">
        <f>+H130+H129</f>
        <v>236.89450000000002</v>
      </c>
      <c r="I131" s="130">
        <f>+I130+I129</f>
        <v>150.4</v>
      </c>
      <c r="J131" s="130">
        <f>H131+I131*+Usage!E$40/1000</f>
        <v>868.57449999999994</v>
      </c>
      <c r="K131" s="145"/>
      <c r="L131" s="152"/>
      <c r="M131" s="145">
        <f t="shared" si="55"/>
        <v>-2.7755567522971591E-2</v>
      </c>
      <c r="N131" s="150"/>
      <c r="O131" s="130">
        <f t="shared" ref="O131:P131" si="57">SUM(O129:O130)</f>
        <v>235.04672181651873</v>
      </c>
      <c r="P131" s="130">
        <f t="shared" si="57"/>
        <v>145.1</v>
      </c>
      <c r="Q131" s="130">
        <f t="shared" si="56"/>
        <v>844.46672181651866</v>
      </c>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row>
    <row r="132" spans="2:43" x14ac:dyDescent="0.25">
      <c r="B132" s="3" t="str">
        <f t="shared" si="54"/>
        <v>SAPN</v>
      </c>
      <c r="C132" s="3" t="str">
        <f t="shared" si="54"/>
        <v>Residential</v>
      </c>
      <c r="D132" s="3" t="str">
        <f t="shared" si="54"/>
        <v>with CL</v>
      </c>
      <c r="E132" s="3" t="s">
        <v>14</v>
      </c>
      <c r="F132" s="131">
        <f t="array" ref="F132">IFERROR(INDEX(Usage!$B$5:$P$18,MATCH($B132,Usage!$B$5:$B$18,0),MATCH($C132&amp;$D132&amp;$E132,Usage!$B$5:$S$5&amp;Usage!$B$6:$S$6&amp;Usage!$B$7:$S$7,0)),0)</f>
        <v>1800</v>
      </c>
      <c r="G132" s="3" t="s">
        <v>57</v>
      </c>
      <c r="H132" s="128" cm="1">
        <f t="array" ref="H132">INDEX('Key inputs'!$C$17:$K$40,MATCH($B132&amp;$C132&amp;$E132,'Key inputs'!$C$17:$C$40&amp;'Key inputs'!$D$17:$D$40&amp;'Key inputs'!$E$17:$E$40,0),MATCH($G132&amp;H$4&amp;H$5,'Key inputs'!$C$18:$K$18&amp;'Key inputs'!$C$19:$K$19&amp;'Key inputs'!$C$20:$K$20,0))*INDEX(Usage!$B$4:$M$18,MATCH($B132,Usage!$B$4:$B$18,0),MATCH(IF($E132="CL1","CL1 Proportion","CL2 Proportion"),Usage!$B$8:$M$8,0))</f>
        <v>0</v>
      </c>
      <c r="I132" s="128">
        <f t="array" ref="I132">INDEX('Key inputs'!$C$17:$K$40,MATCH($B132&amp;$C132&amp;$E132,'Key inputs'!$C$17:$C$40&amp;'Key inputs'!$D$17:$D$40&amp;'Key inputs'!$E$17:$E$40,0),MATCH($G132&amp;I$4&amp;I$5,'Key inputs'!$C$18:$K$18&amp;'Key inputs'!$C$19:$K$19&amp;'Key inputs'!$C$20:$K$20,0))</f>
        <v>75.599999999999994</v>
      </c>
      <c r="J132" s="128">
        <f>H132+I132*F132/1000</f>
        <v>136.08000000000001</v>
      </c>
      <c r="K132" s="143">
        <f>IFERROR(J132/J134,"")</f>
        <v>1</v>
      </c>
      <c r="L132" s="143"/>
      <c r="M132" s="143">
        <f t="shared" ref="M132:M137" si="58">IF(OR(J132=0,J132="",Q132=""),"",Q132/J132-1)</f>
        <v>-3.9682539682539875E-2</v>
      </c>
      <c r="N132" s="140"/>
      <c r="O132" s="128" cm="1">
        <f t="array" ref="O132">INDEX('Key inputs'!$C$17:$K$40,MATCH($B132&amp;$C132&amp;$E132,'Key inputs'!$C$17:$C$40&amp;'Key inputs'!$D$17:$D$40&amp;'Key inputs'!$E$17:$E$40,0),MATCH($G132&amp;O$4&amp;O$5,'Key inputs'!$C$18:$K$18&amp;'Key inputs'!$C$19:$K$19&amp;'Key inputs'!$C$20:$K$20,0))*INDEX(Usage!$B$4:$M$18,MATCH($B132,Usage!$B$4:$B$18,0),MATCH(IF($E132="CL1","CL1 Proportion","CL2 Proportion"),Usage!$B$8:$M$8,0))</f>
        <v>0</v>
      </c>
      <c r="P132" s="128">
        <f t="array" ref="P132">INDEX('Key inputs'!$C$17:$K$40,MATCH($B132&amp;$C132&amp;$E132,'Key inputs'!$C$17:$C$40&amp;'Key inputs'!$D$17:$D$40&amp;'Key inputs'!$E$17:$E$40,0),MATCH($G132&amp;P$4&amp;P$5,'Key inputs'!$C$18:$K$18&amp;'Key inputs'!$C$19:$K$19&amp;'Key inputs'!$C$20:$K$20,0))</f>
        <v>72.599999999999994</v>
      </c>
      <c r="Q132" s="128">
        <f t="shared" si="56"/>
        <v>130.67999999999998</v>
      </c>
      <c r="R132" s="143">
        <f>IFERROR(Q132/Q134,"")</f>
        <v>1</v>
      </c>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row>
    <row r="133" spans="2:43" x14ac:dyDescent="0.25">
      <c r="B133" s="3" t="str">
        <f t="shared" si="54"/>
        <v>SAPN</v>
      </c>
      <c r="C133" s="3" t="str">
        <f t="shared" si="54"/>
        <v>Residential</v>
      </c>
      <c r="D133" s="3" t="str">
        <f t="shared" si="54"/>
        <v>with CL</v>
      </c>
      <c r="E133" s="3" t="str">
        <f>+E134</f>
        <v>CL1</v>
      </c>
      <c r="F133" s="131">
        <f>+F134</f>
        <v>1800</v>
      </c>
      <c r="G133" s="3" t="str">
        <f>+G130</f>
        <v>ACS</v>
      </c>
      <c r="H133" s="128" cm="1">
        <f t="array" ref="H133">INDEX('Key inputs'!$C$17:$K$40,MATCH($B133&amp;$C133&amp;$E133,'Key inputs'!$C$17:$C$40&amp;'Key inputs'!$D$17:$D$40&amp;'Key inputs'!$E$17:$E$40,0),MATCH($G133&amp;H$4&amp;H$5,'Key inputs'!$C$18:$K$18&amp;'Key inputs'!$C$19:$K$19&amp;'Key inputs'!$C$20:$K$20,0))*INDEX(Usage!$B$4:$M$18,MATCH($B133,Usage!$B$4:$B$18,0),MATCH(IF($E133="CL1","CL1 Proportion","CL2 Proportion"),Usage!$B$8:$M$8,0))</f>
        <v>0</v>
      </c>
      <c r="I133" s="128">
        <f>IFERROR(INDEX('Detail inputs'!$B$3:$K$195,MATCH($B133&amp;$C133&amp;$E133&amp;$G133&amp;I$5,'Detail inputs'!$B$3:$B$195&amp;'Detail inputs'!$D$3:$D$195&amp;'Detail inputs'!$F$3:$F$195&amp;'Detail inputs'!$G$3:$G$195&amp;'Detail inputs'!$H$3:$H$195,0),MATCH(I$4,'Detail inputs'!$B$3:$K$3,0)),0)</f>
        <v>0</v>
      </c>
      <c r="J133" s="128">
        <f>H133+I133*F133/1000</f>
        <v>0</v>
      </c>
      <c r="K133" s="143">
        <f>IFERROR(J133/J135,"")</f>
        <v>0</v>
      </c>
      <c r="L133" s="151"/>
      <c r="M133" s="143" t="str">
        <f t="shared" si="58"/>
        <v/>
      </c>
      <c r="N133" s="149"/>
      <c r="O133" s="128" cm="1">
        <f t="array" ref="O133">INDEX('Key inputs'!$C$17:$K$40,MATCH($B133&amp;$C133&amp;$E133,'Key inputs'!$C$17:$C$40&amp;'Key inputs'!$D$17:$D$40&amp;'Key inputs'!$E$17:$E$40,0),MATCH($G133&amp;O$4&amp;O$5,'Key inputs'!$C$18:$K$18&amp;'Key inputs'!$C$19:$K$19&amp;'Key inputs'!$C$20:$K$20,0))*INDEX(Usage!$B$4:$M$18,MATCH($B133,Usage!$B$4:$B$18,0),MATCH(IF($E133="CL1","CL1 Proportion","CL2 Proportion"),Usage!$B$8:$M$8,0))</f>
        <v>0</v>
      </c>
      <c r="P133" s="128">
        <f>IFERROR(INDEX('Detail inputs'!$B$3:$K$195,MATCH($B133&amp;$C133&amp;$E133&amp;$G133&amp;P$5,'Detail inputs'!$B$3:$B$195&amp;'Detail inputs'!$D$3:$D$195&amp;'Detail inputs'!$F$3:$F$195&amp;'Detail inputs'!$G$3:$G$195&amp;'Detail inputs'!$H$3:$H$195,0),MATCH(P$4,'Detail inputs'!$B$3:$K$3,0)),0)</f>
        <v>0</v>
      </c>
      <c r="Q133" s="128">
        <f t="shared" si="56"/>
        <v>0</v>
      </c>
      <c r="R133" s="143">
        <f>IFERROR(Q133/Q134,"")</f>
        <v>0</v>
      </c>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row>
    <row r="134" spans="2:43" x14ac:dyDescent="0.25">
      <c r="B134" s="3" t="str">
        <f t="shared" si="54"/>
        <v>SAPN</v>
      </c>
      <c r="C134" s="64" t="str">
        <f t="shared" si="54"/>
        <v>Residential</v>
      </c>
      <c r="D134" s="64" t="str">
        <f t="shared" si="54"/>
        <v>with CL</v>
      </c>
      <c r="E134" s="3" t="s">
        <v>14</v>
      </c>
      <c r="F134" s="131">
        <f t="array" ref="F134">IFERROR(INDEX(Usage!$B$5:$P$18,MATCH($B134,Usage!$B$5:$B$18,0),MATCH($C134&amp;$D134&amp;$E134,Usage!$B$5:$S$5&amp;Usage!$B$6:$S$6&amp;Usage!$B$7:$S$7,0)),0)</f>
        <v>1800</v>
      </c>
      <c r="G134" s="5" t="s">
        <v>55</v>
      </c>
      <c r="H134" s="130">
        <f>SUM(H132:H133)</f>
        <v>0</v>
      </c>
      <c r="I134" s="130">
        <f>SUM(I132:I132)</f>
        <v>75.599999999999994</v>
      </c>
      <c r="J134" s="130">
        <f>H134+I134*F134/1000</f>
        <v>136.08000000000001</v>
      </c>
      <c r="K134" s="145"/>
      <c r="L134" s="152"/>
      <c r="M134" s="145">
        <f t="shared" si="58"/>
        <v>-3.9682539682539875E-2</v>
      </c>
      <c r="N134" s="150"/>
      <c r="O134" s="130">
        <f>SUM(O132:O133)</f>
        <v>0</v>
      </c>
      <c r="P134" s="130">
        <f>SUM(P132:P132)</f>
        <v>72.599999999999994</v>
      </c>
      <c r="Q134" s="130">
        <f t="shared" si="56"/>
        <v>130.67999999999998</v>
      </c>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row>
    <row r="135" spans="2:43" x14ac:dyDescent="0.25">
      <c r="B135" s="3" t="str">
        <f t="shared" si="54"/>
        <v>SAPN</v>
      </c>
      <c r="C135" s="3" t="str">
        <f t="shared" si="54"/>
        <v>Residential</v>
      </c>
      <c r="D135" s="3" t="str">
        <f t="shared" si="54"/>
        <v>with CL</v>
      </c>
      <c r="E135" s="3" t="s">
        <v>55</v>
      </c>
      <c r="F135" s="131">
        <f t="array" ref="F135">IFERROR(INDEX(Usage!$B$5:$P$18,MATCH($B135,Usage!$B$5:$B$18,0),MATCH($C135&amp;$D135&amp;$E135,Usage!$B$5:$S$5&amp;Usage!$B$6:$S$6&amp;Usage!$B$7:$S$7,0)),0)</f>
        <v>6000</v>
      </c>
      <c r="G135" s="5" t="s">
        <v>55</v>
      </c>
      <c r="H135" s="130"/>
      <c r="I135" s="130"/>
      <c r="J135" s="130">
        <f>SUM(J128,J131,J134)</f>
        <v>1004.6545</v>
      </c>
      <c r="K135" s="145"/>
      <c r="L135" s="152"/>
      <c r="M135" s="145">
        <f t="shared" si="58"/>
        <v>-2.9371070535673116E-2</v>
      </c>
      <c r="N135" s="150"/>
      <c r="O135" s="130"/>
      <c r="P135" s="130"/>
      <c r="Q135" s="130">
        <f>SUM(Q131,Q134)</f>
        <v>975.14672181651861</v>
      </c>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row>
    <row r="136" spans="2:43" ht="13.5" customHeight="1" x14ac:dyDescent="0.25">
      <c r="B136" s="3" t="str">
        <f t="shared" si="54"/>
        <v>SAPN</v>
      </c>
      <c r="C136" s="3" t="str">
        <f t="shared" si="54"/>
        <v>Residential</v>
      </c>
      <c r="D136" s="3" t="str">
        <f t="shared" si="54"/>
        <v>with CL</v>
      </c>
      <c r="F136" s="131"/>
      <c r="G136" s="3" t="s">
        <v>38</v>
      </c>
      <c r="H136" s="128"/>
      <c r="I136" s="128"/>
      <c r="J136" s="128">
        <f>J135*GST</f>
        <v>100.46545</v>
      </c>
      <c r="K136" s="144"/>
      <c r="L136" s="151"/>
      <c r="M136" s="143">
        <f t="shared" si="58"/>
        <v>-2.9371070535673116E-2</v>
      </c>
      <c r="N136" s="149"/>
      <c r="O136" s="128"/>
      <c r="P136" s="128"/>
      <c r="Q136" s="128">
        <f>Q135*GST</f>
        <v>97.514672181651861</v>
      </c>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row>
    <row r="137" spans="2:43" x14ac:dyDescent="0.25">
      <c r="B137" s="3" t="str">
        <f t="shared" si="54"/>
        <v>SAPN</v>
      </c>
      <c r="C137" s="3" t="str">
        <f t="shared" si="54"/>
        <v>Residential</v>
      </c>
      <c r="D137" s="3" t="str">
        <f t="shared" si="54"/>
        <v>with CL</v>
      </c>
      <c r="F137" s="131"/>
      <c r="G137" s="5" t="s">
        <v>80</v>
      </c>
      <c r="H137" s="128"/>
      <c r="I137" s="128"/>
      <c r="J137" s="130">
        <f>SUM(J135:J136)</f>
        <v>1105.11995</v>
      </c>
      <c r="K137" s="145"/>
      <c r="L137" s="152"/>
      <c r="M137" s="145">
        <f t="shared" si="58"/>
        <v>-2.9371070535673116E-2</v>
      </c>
      <c r="N137" s="150"/>
      <c r="O137" s="130"/>
      <c r="P137" s="130"/>
      <c r="Q137" s="130">
        <f>SUM(Q135:Q136)</f>
        <v>1072.6613939981705</v>
      </c>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row>
    <row r="138" spans="2:43" x14ac:dyDescent="0.25">
      <c r="F138" s="149"/>
      <c r="H138" s="128"/>
      <c r="I138" s="128"/>
      <c r="J138" s="128"/>
      <c r="K138" s="143"/>
      <c r="L138" s="143"/>
      <c r="M138" s="143"/>
      <c r="N138" s="140"/>
      <c r="O138" s="128"/>
      <c r="P138" s="128"/>
      <c r="Q138" s="128"/>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row>
    <row r="139" spans="2:43" x14ac:dyDescent="0.25">
      <c r="B139" s="5" t="s">
        <v>5</v>
      </c>
      <c r="C139" s="5" t="s">
        <v>13</v>
      </c>
      <c r="D139" s="5" t="s">
        <v>127</v>
      </c>
      <c r="F139" s="131"/>
      <c r="H139" s="128"/>
      <c r="I139" s="128"/>
      <c r="J139" s="128"/>
      <c r="K139" s="143"/>
      <c r="L139" s="143"/>
      <c r="M139" s="143"/>
      <c r="N139" s="140"/>
      <c r="O139" s="128"/>
      <c r="P139" s="128"/>
      <c r="Q139" s="128"/>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row>
    <row r="140" spans="2:43" x14ac:dyDescent="0.25">
      <c r="B140" s="3" t="str">
        <f t="shared" ref="B140:D144" si="59">+B139</f>
        <v>SAPN</v>
      </c>
      <c r="C140" s="64" t="str">
        <f t="shared" si="59"/>
        <v>Small business</v>
      </c>
      <c r="D140" s="64" t="str">
        <f t="shared" si="59"/>
        <v>without CL</v>
      </c>
      <c r="E140" s="3" t="s">
        <v>19</v>
      </c>
      <c r="F140" s="131">
        <f t="array" ref="F140">IFERROR(INDEX(Usage!$B$5:$P$18,MATCH($B140,Usage!$B$5:$B$18,0),MATCH($C140&amp;$D140&amp;$E140,Usage!$B$5:$S$5&amp;Usage!$B$6:$S$6&amp;Usage!$B$7:$S$7,0)),0)</f>
        <v>10000</v>
      </c>
      <c r="G140" s="3" t="s">
        <v>57</v>
      </c>
      <c r="H140" s="128">
        <f t="array" ref="H140">INDEX('Key inputs'!$C$17:$K$40,MATCH($B140&amp;$C140&amp;$E140,'Key inputs'!$C$17:$C$40&amp;'Key inputs'!$D$17:$D$40&amp;'Key inputs'!$E$17:$E$40,0),MATCH($G140&amp;H$4&amp;H$5,'Key inputs'!$C$18:$K$18&amp;'Key inputs'!$C$19:$K$19&amp;'Key inputs'!$C$20:$K$20,0))</f>
        <v>264.95350000000002</v>
      </c>
      <c r="I140" s="128">
        <f t="array" ref="I140">INDEX('Key inputs'!$C$17:$K$40,MATCH($B140&amp;$C140&amp;$E140,'Key inputs'!$C$17:$C$40&amp;'Key inputs'!$D$17:$D$40&amp;'Key inputs'!$E$17:$E$40,0),MATCH($G140&amp;I$4&amp;I$5,'Key inputs'!$C$18:$K$18&amp;'Key inputs'!$C$19:$K$19&amp;'Key inputs'!$C$20:$K$20,0))</f>
        <v>171.4</v>
      </c>
      <c r="J140" s="128">
        <f>H140+I140*+Usage!M40/1000</f>
        <v>1978.9535000000001</v>
      </c>
      <c r="K140" s="143">
        <f>IFERROR(J140/J142,"")</f>
        <v>0.98658433138645785</v>
      </c>
      <c r="L140" s="143"/>
      <c r="M140" s="143">
        <f t="shared" ref="M140:M144" si="60">IF(OR(J140=0,J140="",Q140=""),"",Q140/J140-1)</f>
        <v>4.359614789948818E-2</v>
      </c>
      <c r="N140" s="140"/>
      <c r="O140" s="128">
        <f t="array" ref="O140">INDEX('Key inputs'!$C$17:$K$40,MATCH($B140&amp;$C140&amp;$E140,'Key inputs'!$C$17:$C$40&amp;'Key inputs'!$D$17:$D$40&amp;'Key inputs'!$E$17:$E$40,0),MATCH($G140&amp;O$4&amp;O$5,'Key inputs'!$C$18:$K$18&amp;'Key inputs'!$C$19:$K$19&amp;'Key inputs'!$C$20:$K$20,0))</f>
        <v>232.22824947221005</v>
      </c>
      <c r="P140" s="128">
        <f t="array" ref="P140">INDEX('Key inputs'!$C$17:$K$40,MATCH($B140&amp;$C140&amp;$E140,'Key inputs'!$C$17:$C$40&amp;'Key inputs'!$D$17:$D$40&amp;'Key inputs'!$E$17:$E$40,0),MATCH($G140&amp;P$4&amp;P$5,'Key inputs'!$C$18:$K$18&amp;'Key inputs'!$C$19:$K$19&amp;'Key inputs'!$C$20:$K$20,0))</f>
        <v>183.29999999999998</v>
      </c>
      <c r="Q140" s="128">
        <f>O140+P140*$F140/1000</f>
        <v>2065.2282494722099</v>
      </c>
      <c r="R140" s="143">
        <f>IFERROR(Q140/Q142,"")</f>
        <v>0.99551909081537071</v>
      </c>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row>
    <row r="141" spans="2:43" x14ac:dyDescent="0.25">
      <c r="B141" s="3" t="str">
        <f t="shared" si="59"/>
        <v>SAPN</v>
      </c>
      <c r="C141" s="3" t="str">
        <f t="shared" si="59"/>
        <v>Small business</v>
      </c>
      <c r="D141" s="3" t="str">
        <f t="shared" si="59"/>
        <v>without CL</v>
      </c>
      <c r="E141" s="3" t="s">
        <v>19</v>
      </c>
      <c r="F141" s="131">
        <f t="array" ref="F141">IFERROR(INDEX(Usage!$B$5:$P$18,MATCH($B141,Usage!$B$5:$B$18,0),MATCH($C141&amp;$D141&amp;$E141,Usage!$B$5:$S$5&amp;Usage!$B$6:$S$6&amp;Usage!$B$7:$S$7,0)),0)</f>
        <v>10000</v>
      </c>
      <c r="G141" s="3" t="s">
        <v>61</v>
      </c>
      <c r="H141" s="128">
        <f t="array" ref="H141">INDEX('Key inputs'!$C$17:$K$40,MATCH($B141&amp;$C141&amp;$E141,'Key inputs'!$C$17:$C$40&amp;'Key inputs'!$D$17:$D$40&amp;'Key inputs'!$E$17:$E$40,0),MATCH($G141&amp;H$4&amp;H$5,'Key inputs'!$C$18:$K$18&amp;'Key inputs'!$C$19:$K$19&amp;'Key inputs'!$C$20:$K$20,0))</f>
        <v>26.91</v>
      </c>
      <c r="I141" s="128">
        <f>IFERROR(INDEX('Detail inputs'!$B$3:$K$195,MATCH($B141&amp;$C141&amp;$E141&amp;$G141&amp;I$5,'Detail inputs'!$B$3:$B$195&amp;'Detail inputs'!$D$3:$D$195&amp;'Detail inputs'!$F$3:$F$195&amp;'Detail inputs'!$G$3:$G$195&amp;'Detail inputs'!$H$3:$H$195,0),MATCH(I$4,'Detail inputs'!$B$3:$K$3,0)),0)</f>
        <v>0</v>
      </c>
      <c r="J141" s="128">
        <f>H141+I141*+Usage!M$40/1000</f>
        <v>26.91</v>
      </c>
      <c r="K141" s="143">
        <f>IFERROR(J141/J142,"")</f>
        <v>1.3415668613542249E-2</v>
      </c>
      <c r="L141" s="143"/>
      <c r="M141" s="143">
        <f t="shared" si="60"/>
        <v>-0.65456136531526665</v>
      </c>
      <c r="N141" s="140"/>
      <c r="O141" s="128">
        <f t="array" ref="O141">INDEX('Key inputs'!$C$17:$K$40,MATCH($B141&amp;$C141&amp;$E141,'Key inputs'!$C$17:$C$40&amp;'Key inputs'!$D$17:$D$40&amp;'Key inputs'!$E$17:$E$40,0),MATCH($G141&amp;O$4&amp;O$5,'Key inputs'!$C$18:$K$18&amp;'Key inputs'!$C$19:$K$19&amp;'Key inputs'!$C$20:$K$20,0))</f>
        <v>9.2957536593661754</v>
      </c>
      <c r="P141" s="128">
        <f>IFERROR(INDEX('Detail inputs'!$B$3:$K$195,MATCH($B141&amp;$C141&amp;$E141&amp;$G141&amp;P$5,'Detail inputs'!$B$3:$B$195&amp;'Detail inputs'!$D$3:$D$195&amp;'Detail inputs'!$F$3:$F$195&amp;'Detail inputs'!$G$3:$G$195&amp;'Detail inputs'!$H$3:$H$195,0),MATCH(P$4,'Detail inputs'!$B$3:$K$3,0)),0)</f>
        <v>0</v>
      </c>
      <c r="Q141" s="128">
        <f>O141+P141*$F141/1000</f>
        <v>9.2957536593661754</v>
      </c>
      <c r="R141" s="143">
        <f>IFERROR(Q141/Q142,"")</f>
        <v>4.4809091846292771E-3</v>
      </c>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row>
    <row r="142" spans="2:43" x14ac:dyDescent="0.25">
      <c r="B142" s="3" t="str">
        <f t="shared" si="59"/>
        <v>SAPN</v>
      </c>
      <c r="C142" s="3" t="str">
        <f t="shared" si="59"/>
        <v>Small business</v>
      </c>
      <c r="D142" s="3" t="str">
        <f t="shared" si="59"/>
        <v>without CL</v>
      </c>
      <c r="E142" s="3" t="s">
        <v>19</v>
      </c>
      <c r="F142" s="131">
        <f t="array" ref="F142">IFERROR(INDEX(Usage!$B$5:$P$18,MATCH($B142,Usage!$B$5:$B$18,0),MATCH($C142&amp;$D142&amp;$E142,Usage!$B$5:$S$5&amp;Usage!$B$6:$S$6&amp;Usage!$B$7:$S$7,0)),0)</f>
        <v>10000</v>
      </c>
      <c r="G142" s="5" t="s">
        <v>55</v>
      </c>
      <c r="H142" s="130">
        <f>+H141+H140</f>
        <v>291.86350000000004</v>
      </c>
      <c r="I142" s="130">
        <f>+I141+I140</f>
        <v>171.4</v>
      </c>
      <c r="J142" s="130">
        <f>H142+I142*+Usage!M$40/1000</f>
        <v>2005.8634999999999</v>
      </c>
      <c r="K142" s="145"/>
      <c r="L142" s="152"/>
      <c r="M142" s="145">
        <f t="shared" si="60"/>
        <v>3.4229898062144493E-2</v>
      </c>
      <c r="N142" s="150"/>
      <c r="O142" s="130">
        <f t="shared" ref="O142:P142" si="61">SUM(O140:O141)</f>
        <v>241.52400313157622</v>
      </c>
      <c r="P142" s="130">
        <f t="shared" si="61"/>
        <v>183.29999999999998</v>
      </c>
      <c r="Q142" s="130">
        <f>O142+P142*$F142/1000</f>
        <v>2074.5240031315761</v>
      </c>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row>
    <row r="143" spans="2:43" x14ac:dyDescent="0.25">
      <c r="B143" s="3" t="str">
        <f t="shared" si="59"/>
        <v>SAPN</v>
      </c>
      <c r="C143" s="3" t="str">
        <f t="shared" si="59"/>
        <v>Small business</v>
      </c>
      <c r="D143" s="3" t="str">
        <f t="shared" si="59"/>
        <v>without CL</v>
      </c>
      <c r="F143" s="149"/>
      <c r="G143" s="3" t="s">
        <v>38</v>
      </c>
      <c r="H143" s="128"/>
      <c r="I143" s="128"/>
      <c r="J143" s="128">
        <f>J142*GST</f>
        <v>200.58635000000001</v>
      </c>
      <c r="K143" s="144"/>
      <c r="L143" s="151"/>
      <c r="M143" s="143">
        <f t="shared" si="60"/>
        <v>3.4229898062144271E-2</v>
      </c>
      <c r="N143" s="149"/>
      <c r="O143" s="128"/>
      <c r="P143" s="128"/>
      <c r="Q143" s="128">
        <f>Q142*GST</f>
        <v>207.45240031315763</v>
      </c>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row>
    <row r="144" spans="2:43" x14ac:dyDescent="0.25">
      <c r="B144" s="3" t="str">
        <f t="shared" si="59"/>
        <v>SAPN</v>
      </c>
      <c r="C144" s="3" t="str">
        <f t="shared" si="59"/>
        <v>Small business</v>
      </c>
      <c r="D144" s="3" t="str">
        <f t="shared" si="59"/>
        <v>without CL</v>
      </c>
      <c r="F144" s="149"/>
      <c r="G144" s="5" t="s">
        <v>80</v>
      </c>
      <c r="H144" s="130"/>
      <c r="I144" s="130"/>
      <c r="J144" s="130">
        <f>SUM(J142:J143)</f>
        <v>2206.44985</v>
      </c>
      <c r="K144" s="145"/>
      <c r="L144" s="152"/>
      <c r="M144" s="145">
        <f t="shared" si="60"/>
        <v>3.4229898062144493E-2</v>
      </c>
      <c r="N144" s="150"/>
      <c r="O144" s="130"/>
      <c r="P144" s="130"/>
      <c r="Q144" s="130">
        <f>SUM(Q142:Q143)</f>
        <v>2281.9764034447339</v>
      </c>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row>
    <row r="145" spans="6:43" x14ac:dyDescent="0.25">
      <c r="F145" s="3"/>
      <c r="H145" s="3"/>
      <c r="I145" s="3"/>
      <c r="J145" s="3"/>
      <c r="K145" s="3"/>
      <c r="L145" s="3"/>
      <c r="M145" s="3"/>
      <c r="N145" s="3"/>
      <c r="O145" s="3"/>
      <c r="P145" s="3"/>
      <c r="Q145" s="279"/>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row>
    <row r="146" spans="6:43" x14ac:dyDescent="0.25">
      <c r="F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row>
    <row r="147" spans="6:43" x14ac:dyDescent="0.25">
      <c r="F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row>
    <row r="148" spans="6:43" x14ac:dyDescent="0.25">
      <c r="F148" s="3"/>
      <c r="H148" s="3"/>
      <c r="I148" s="3"/>
      <c r="J148" s="3"/>
      <c r="K148" s="3"/>
      <c r="L148" s="3"/>
      <c r="M148" s="3"/>
      <c r="N148" s="3"/>
      <c r="O148" s="3"/>
      <c r="P148" s="3"/>
      <c r="Q148" s="3"/>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row>
    <row r="149" spans="6:43" x14ac:dyDescent="0.25">
      <c r="F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row>
    <row r="150" spans="6:43" x14ac:dyDescent="0.25">
      <c r="F150" s="3"/>
      <c r="H150" s="3"/>
      <c r="I150" s="3"/>
      <c r="J150" s="3"/>
      <c r="K150" s="3"/>
      <c r="L150" s="3"/>
      <c r="M150" s="3"/>
      <c r="N150" s="3"/>
      <c r="O150" s="3"/>
      <c r="P150" s="3"/>
      <c r="Q150" s="3"/>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row>
    <row r="151" spans="6:43" x14ac:dyDescent="0.25">
      <c r="F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row>
    <row r="152" spans="6:43" x14ac:dyDescent="0.25">
      <c r="F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row>
    <row r="153" spans="6:43" x14ac:dyDescent="0.25">
      <c r="F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row>
    <row r="154" spans="6:43" x14ac:dyDescent="0.25">
      <c r="F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row>
    <row r="155" spans="6:43" x14ac:dyDescent="0.25">
      <c r="F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row>
    <row r="156" spans="6:43" x14ac:dyDescent="0.25">
      <c r="F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row>
    <row r="157" spans="6:43" x14ac:dyDescent="0.25">
      <c r="F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row>
    <row r="158" spans="6:43" x14ac:dyDescent="0.25">
      <c r="F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row>
    <row r="159" spans="6:43" x14ac:dyDescent="0.25">
      <c r="F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row>
    <row r="160" spans="6:43" x14ac:dyDescent="0.25">
      <c r="F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sheetData>
  <sheetProtection algorithmName="SHA-256" hashValue="WP2aa6hhg4Hc55a/XQm/DkVhvN5/WlAjt38wzlGrp6g=" saltValue="Xo73RdmIegV3LE9z/99Ngg==" spinCount="100000" sheet="1" formatCells="0" formatColumns="0" formatRows="0" insertColumns="0" insertRows="0" insertHyperlinks="0" deleteColumns="0" deleteRows="0" sort="0" autoFilter="0" pivotTables="0"/>
  <mergeCells count="3">
    <mergeCell ref="O3:R3"/>
    <mergeCell ref="H3:K3"/>
    <mergeCell ref="A1:B1"/>
  </mergeCells>
  <conditionalFormatting sqref="B133">
    <cfRule type="expression" dxfId="255" priority="3389">
      <formula>AND(B133=B134,MOD(ROW(),2)=0)</formula>
    </cfRule>
    <cfRule type="expression" dxfId="254" priority="3388">
      <formula>AND(B133=B134,MOD(ROW(),2)=1)</formula>
    </cfRule>
  </conditionalFormatting>
  <conditionalFormatting sqref="B134">
    <cfRule type="expression" dxfId="253" priority="3382">
      <formula>AND(B134=B132,MOD(ROW(),2)=1)</formula>
    </cfRule>
    <cfRule type="expression" dxfId="252" priority="3383">
      <formula>AND(B134=B132,MOD(ROW(),2)=0)</formula>
    </cfRule>
  </conditionalFormatting>
  <conditionalFormatting sqref="B140">
    <cfRule type="expression" dxfId="251" priority="1148">
      <formula>AND(B140=B139,MOD(ROW(),2)=1)</formula>
    </cfRule>
    <cfRule type="expression" dxfId="250" priority="1149">
      <formula>AND(B140=B139,MOD(ROW(),2)=0)</formula>
    </cfRule>
  </conditionalFormatting>
  <conditionalFormatting sqref="B7:D60">
    <cfRule type="expression" dxfId="249" priority="367">
      <formula>AND(B7=B6,MOD(ROW(),2)=0)</formula>
    </cfRule>
    <cfRule type="expression" dxfId="248" priority="366">
      <formula>AND(B7=B6,MOD(ROW(),2)=1)</formula>
    </cfRule>
  </conditionalFormatting>
  <conditionalFormatting sqref="B16:D28">
    <cfRule type="expression" dxfId="247" priority="1587">
      <formula>MOD(ROW(),2)=0</formula>
    </cfRule>
  </conditionalFormatting>
  <conditionalFormatting sqref="B60:D60">
    <cfRule type="expression" dxfId="246" priority="4378">
      <formula>AND(B60=#REF!,MOD(ROW(),2)=0)</formula>
    </cfRule>
    <cfRule type="expression" dxfId="245" priority="4377">
      <formula>AND(B60=#REF!,MOD(ROW(),2)=1)</formula>
    </cfRule>
  </conditionalFormatting>
  <conditionalFormatting sqref="B61:D133 B135:D139 B141:D144">
    <cfRule type="expression" dxfId="244" priority="2752">
      <formula>AND(B61=B60,MOD(ROW(),2)=0)</formula>
    </cfRule>
    <cfRule type="expression" dxfId="243" priority="2751">
      <formula>AND(B61=B60,MOD(ROW(),2)=1)</formula>
    </cfRule>
  </conditionalFormatting>
  <conditionalFormatting sqref="B89:D89">
    <cfRule type="expression" dxfId="242" priority="3373">
      <formula>AND(B89=B87,MOD(ROW(),2)=0)</formula>
    </cfRule>
    <cfRule type="expression" dxfId="241" priority="3372">
      <formula>AND(B89=B87,MOD(ROW(),2)=1)</formula>
    </cfRule>
  </conditionalFormatting>
  <conditionalFormatting sqref="B97:D97">
    <cfRule type="expression" dxfId="240" priority="1455">
      <formula>AND(B97=#REF!,MOD(ROW(),2)=1)</formula>
    </cfRule>
    <cfRule type="expression" dxfId="239" priority="1456">
      <formula>AND(B97=#REF!,MOD(ROW(),2)=0)</formula>
    </cfRule>
  </conditionalFormatting>
  <conditionalFormatting sqref="B133:D134 B140:D140">
    <cfRule type="expression" dxfId="238" priority="3380">
      <formula>AND(B133=#REF!,MOD(ROW(),2)=1)</formula>
    </cfRule>
    <cfRule type="expression" dxfId="237" priority="3381">
      <formula>AND(B133=#REF!,MOD(ROW(),2)=0)</formula>
    </cfRule>
  </conditionalFormatting>
  <conditionalFormatting sqref="B122:G133 B134:I134">
    <cfRule type="expression" dxfId="236" priority="40">
      <formula>MOD(ROW(),2)=0</formula>
    </cfRule>
  </conditionalFormatting>
  <conditionalFormatting sqref="B9:I10">
    <cfRule type="expression" dxfId="235" priority="2724">
      <formula>MOD(ROW(),2)=0</formula>
    </cfRule>
  </conditionalFormatting>
  <conditionalFormatting sqref="B65:I66">
    <cfRule type="expression" dxfId="234" priority="2092">
      <formula>MOD(ROW(),2)=0</formula>
    </cfRule>
  </conditionalFormatting>
  <conditionalFormatting sqref="B135:Q144">
    <cfRule type="expression" dxfId="233" priority="1322">
      <formula>MOD(ROW(),2)=0</formula>
    </cfRule>
  </conditionalFormatting>
  <conditionalFormatting sqref="B7:AQ8 E11:I11 B11:D14 E12:L13 E14:AQ14 B15:M15 O15:AQ15 E16:F24 G22:G24 E25:G25 E26:AQ28 E67:I67 B67:D69 E68:L69 B70:AQ71 B72:D82 E82:L82 B83:L83 B84:AQ85 B86:G87 B88:D90 E89:I89 E90:L90 B91:L91 R122:AQ144">
    <cfRule type="expression" dxfId="232" priority="2753">
      <formula>MOD(ROW(),2)=0</formula>
    </cfRule>
  </conditionalFormatting>
  <conditionalFormatting sqref="B29:AQ64">
    <cfRule type="expression" dxfId="231" priority="4">
      <formula>MOD(ROW(),2)=0</formula>
    </cfRule>
  </conditionalFormatting>
  <conditionalFormatting sqref="B92:AQ121">
    <cfRule type="expression" dxfId="230" priority="2">
      <formula>MOD(ROW(),2)=0</formula>
    </cfRule>
  </conditionalFormatting>
  <conditionalFormatting sqref="E88:G88">
    <cfRule type="expression" dxfId="229" priority="837">
      <formula>MOD(ROW(),2)=0</formula>
    </cfRule>
  </conditionalFormatting>
  <conditionalFormatting sqref="E72:AQ81">
    <cfRule type="expression" dxfId="228" priority="3">
      <formula>MOD(ROW(),2)=0</formula>
    </cfRule>
  </conditionalFormatting>
  <conditionalFormatting sqref="G16:I21">
    <cfRule type="expression" dxfId="227" priority="2720">
      <formula>MOD(ROW(),2)=0</formula>
    </cfRule>
  </conditionalFormatting>
  <conditionalFormatting sqref="H22:I25">
    <cfRule type="expression" dxfId="226" priority="1335">
      <formula>MOD(ROW(),2)=0</formula>
    </cfRule>
  </conditionalFormatting>
  <conditionalFormatting sqref="H86:I88">
    <cfRule type="expression" dxfId="225" priority="72">
      <formula>MOD(ROW(),2)=0</formula>
    </cfRule>
  </conditionalFormatting>
  <conditionalFormatting sqref="H132:I133">
    <cfRule type="expression" dxfId="224" priority="33">
      <formula>MOD(ROW(),2)=0</formula>
    </cfRule>
  </conditionalFormatting>
  <conditionalFormatting sqref="H122:Q131">
    <cfRule type="expression" dxfId="223" priority="959">
      <formula>MOD(ROW(),2)=0</formula>
    </cfRule>
  </conditionalFormatting>
  <conditionalFormatting sqref="J9:L11">
    <cfRule type="expression" dxfId="222" priority="2676">
      <formula>MOD(ROW(),2)=0</formula>
    </cfRule>
  </conditionalFormatting>
  <conditionalFormatting sqref="J65:L67">
    <cfRule type="expression" dxfId="221" priority="1352">
      <formula>MOD(ROW(),2)=0</formula>
    </cfRule>
  </conditionalFormatting>
  <conditionalFormatting sqref="J86:L89">
    <cfRule type="expression" dxfId="220" priority="869">
      <formula>MOD(ROW(),2)=0</formula>
    </cfRule>
  </conditionalFormatting>
  <conditionalFormatting sqref="J132:Q134">
    <cfRule type="expression" dxfId="219" priority="1">
      <formula>MOD(ROW(),2)=0</formula>
    </cfRule>
  </conditionalFormatting>
  <conditionalFormatting sqref="J16:AQ25">
    <cfRule type="expression" dxfId="218" priority="47">
      <formula>MOD(ROW(),2)=0</formula>
    </cfRule>
  </conditionalFormatting>
  <conditionalFormatting sqref="M9:AQ13">
    <cfRule type="expression" dxfId="217" priority="2566">
      <formula>MOD(ROW(),2)=0</formula>
    </cfRule>
  </conditionalFormatting>
  <conditionalFormatting sqref="M65:AQ69">
    <cfRule type="expression" dxfId="216" priority="42">
      <formula>MOD(ROW(),2)=0</formula>
    </cfRule>
  </conditionalFormatting>
  <conditionalFormatting sqref="M82:AQ83">
    <cfRule type="expression" dxfId="215" priority="1329">
      <formula>MOD(ROW(),2)=0</formula>
    </cfRule>
  </conditionalFormatting>
  <conditionalFormatting sqref="M86:AQ91">
    <cfRule type="expression" dxfId="214" priority="864">
      <formula>MOD(ROW(),2)=0</formula>
    </cfRule>
  </conditionalFormatting>
  <hyperlinks>
    <hyperlink ref="A1" location="Index!A1" display="&lt;&lt;Back to Index" xr:uid="{00000000-0004-0000-1100-000000000000}"/>
  </hyperlinks>
  <pageMargins left="0.7" right="0.7" top="0.75" bottom="0.75" header="0.3" footer="0.3"/>
  <pageSetup paperSize="9" orientation="portrait" r:id="rId1"/>
  <headerFooter>
    <oddHeader>&amp;C&amp;"Calibri"&amp;10&amp;KFF0000 OFFICIAL SENSITIVE&amp;1#_x000D_</oddHeader>
  </headerFooter>
  <ignoredErrors>
    <ignoredError sqref="R35:R36 R63:R64 R25:R26 R81:R85 R11:R18 R142:R144 R10 L92:R92 L120:R122 L115:R115 G78:G79 G75:G76 G22:G23 G19:G20 F82:H85 F68:H71 G67 F97:G100 F125:G128 F142:G143 G10 G39 F40:G43 G65:G66 G81 F90:I92 F60:G62 L132:N132 R20:R21 L139:R139 N16:N17 G24 G11 F12:J13 F35:I36 F63:I64 I68:I71 F120:I121 G21 G25 F26:J27 G77 I82:I85 N24 N11 N25 K25:L27 F28:M29 K11:L13 F14:M14 K16:L21 N9:N10 L9:L10 N18 N19:N20 K24:L24 N21 G16:G17 G18 F32:G34 F30:G31 G37:G38 G53 G72:G73 G74 F86:G87 G96 G110 F117:G119 G124 G135 L107:N107 R96:R104 G9 N14:Q14 N28:Q29 L128:R128 L70:R72 L84:Q86 L63:Q64 J35:Q36 L78:N78 L75:N75 L37:P37 L44:N44 L65:N65 J42:Q42 L38:O38 L47:N47 L45:O45 L50:N50 L48:N48 L56:Q56 L51:N51 L59:O59 L66:O66 R66 L73:O73 R73 L76 R76 L79:N79 R79 L87:O87 Q87 L99:Q99 L95:O95 Q95:R95 L104:N104 L102:O102 Q102 L105:N105 R105 L108:N108 R108 L116:O116 Q116:R116 L123:O123 Q123:R123 L130:O130 R130 J143:N143 L141:O141 Q141:R141 K38 L52:N52 K46 G44:G52 J54:K57 F54:G59 J61:K63 J68:K70 G80 L80:N80 J82:K85 J90:K92 G94:G95 J97:K100 G101:G109 L109:N109 J111:K114 F111:G116 J136:K139 F136:G139 J125:K128 G129:G132 L134:N134 J118:K120 G122:G123 R67 R89 R117 R124 R110 R135 I9 N12 L140:P140 R140 J40:N40 L46:N46 L49:M49 L74:N74 R74 L77:N77 R77 R80 L103:N103 L106:N106 R106 R109 L131:N131 R131 R134 K134 G134 K141 F140:G141 F89:G89 N13 Q13 N26:N27 Q27 J33:N34 Q33:Q34 J41:N41 Q41 L54:N55 Q54:Q55 L61:N62 Q61:Q62 L68:N69 Q68:R69 L82:N83 Q82:Q83 L90:N91 Q90:R91 L97:N98 Q97:Q98 L111:N112 Q111:R112 L118:N119 Q118:R119 L125:N126 Q125:R126 L136:N137 Q136:R137 Q143 K37 K44 K45 K49 K47 K48 K52 K50 K51 K59 K58 K66 K65 K74 K72 K73 K77 K75 K76 K80 K78 K79 K87 K86 K95 K94 K103 K101 K102 K106 K104 K105 K109 K107 K108 K116 K115 K123 K122 K131 K129 K130 K132 K140 R65 P65 R24 F15:I15 K15:L15 K64 K71 K121 J43:O43 L58:Q58 L57:O57 L94:N94 R94 L113:P113 R113 L127:P127 L138:P138 R138 F93:H93 R93 L114:P114 R114 L129:P129 R129 N76 R132 L101:Q101 L100:O100 Q100 R28:R29 P47 P50 P75 P78 P104 P107 P132 R75 R78 R10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sheetPr>
  <dimension ref="A1:AJ271"/>
  <sheetViews>
    <sheetView zoomScaleNormal="100" workbookViewId="0">
      <pane xSplit="7" ySplit="6" topLeftCell="H7" activePane="bottomRight" state="frozen"/>
      <selection pane="topRight" activeCell="H1" sqref="H1"/>
      <selection pane="bottomLeft" activeCell="A7" sqref="A7"/>
      <selection pane="bottomRight" sqref="A1:B1"/>
    </sheetView>
  </sheetViews>
  <sheetFormatPr defaultColWidth="8.85546875" defaultRowHeight="15" x14ac:dyDescent="0.25"/>
  <cols>
    <col min="1" max="1" width="1.85546875" style="3" customWidth="1"/>
    <col min="2" max="2" width="11.28515625" style="3" customWidth="1"/>
    <col min="3" max="3" width="15.5703125" style="3" customWidth="1"/>
    <col min="4" max="4" width="10.42578125" style="3" bestFit="1" customWidth="1"/>
    <col min="5" max="5" width="10.85546875" style="3" customWidth="1"/>
    <col min="6" max="6" width="10.85546875" style="19" customWidth="1"/>
    <col min="7" max="7" width="10.85546875" style="3" customWidth="1"/>
    <col min="8" max="10" width="10.85546875" style="60" customWidth="1"/>
    <col min="11" max="11" width="11.85546875" style="19" customWidth="1"/>
    <col min="12" max="12" width="0.85546875" style="19" customWidth="1"/>
    <col min="13" max="13" width="10.85546875" style="19" customWidth="1"/>
    <col min="14" max="14" width="0.85546875" style="19" customWidth="1"/>
    <col min="15" max="17" width="10.85546875" style="60" customWidth="1"/>
    <col min="18" max="18" width="11.85546875" style="19" bestFit="1" customWidth="1"/>
    <col min="19" max="36" width="11.85546875" style="307" customWidth="1"/>
    <col min="37" max="16384" width="8.85546875" style="3"/>
  </cols>
  <sheetData>
    <row r="1" spans="1:36" ht="10.35" customHeight="1" x14ac:dyDescent="0.25">
      <c r="A1" s="430" t="s">
        <v>18</v>
      </c>
      <c r="B1" s="431"/>
    </row>
    <row r="2" spans="1:36" s="14" customFormat="1" ht="22.5" customHeight="1" x14ac:dyDescent="0.25">
      <c r="A2" s="15" t="s">
        <v>81</v>
      </c>
      <c r="F2" s="20"/>
      <c r="H2" s="61"/>
      <c r="I2" s="61"/>
      <c r="J2" s="61"/>
      <c r="K2" s="20"/>
      <c r="L2" s="20"/>
      <c r="M2" s="20"/>
      <c r="N2" s="20"/>
      <c r="O2" s="61"/>
      <c r="P2" s="61"/>
      <c r="Q2" s="61"/>
      <c r="R2" s="20"/>
      <c r="S2" s="20"/>
      <c r="T2" s="20"/>
      <c r="U2" s="20"/>
      <c r="V2" s="20"/>
      <c r="W2" s="20"/>
      <c r="X2" s="20"/>
      <c r="Y2" s="20"/>
      <c r="Z2" s="20"/>
      <c r="AA2" s="20"/>
      <c r="AB2" s="20"/>
      <c r="AC2" s="20"/>
      <c r="AD2" s="20"/>
      <c r="AE2" s="20"/>
      <c r="AF2" s="20"/>
      <c r="AG2" s="20"/>
      <c r="AH2" s="20"/>
      <c r="AI2" s="20"/>
      <c r="AJ2" s="20"/>
    </row>
    <row r="3" spans="1:36" s="27" customFormat="1" x14ac:dyDescent="0.25">
      <c r="B3" s="28"/>
      <c r="C3" s="28"/>
      <c r="D3" s="28"/>
      <c r="E3" s="28"/>
      <c r="F3" s="41"/>
      <c r="G3" s="28"/>
      <c r="H3" s="470" t="str">
        <f>PY</f>
        <v>2024-25</v>
      </c>
      <c r="I3" s="470"/>
      <c r="J3" s="470"/>
      <c r="K3" s="470"/>
      <c r="L3" s="34"/>
      <c r="M3" s="38" t="str">
        <f>FY</f>
        <v>2025-26</v>
      </c>
      <c r="N3" s="34"/>
      <c r="O3" s="470" t="str">
        <f>FY</f>
        <v>2025-26</v>
      </c>
      <c r="P3" s="470"/>
      <c r="Q3" s="470"/>
      <c r="R3" s="470"/>
      <c r="S3" s="368"/>
      <c r="T3" s="368"/>
      <c r="U3" s="368"/>
      <c r="V3" s="368"/>
      <c r="W3" s="368"/>
      <c r="X3" s="368"/>
      <c r="Y3" s="368"/>
      <c r="Z3" s="368"/>
      <c r="AA3" s="368"/>
      <c r="AB3" s="368"/>
      <c r="AC3" s="368"/>
      <c r="AD3" s="368"/>
      <c r="AE3" s="368"/>
      <c r="AF3" s="368"/>
      <c r="AG3" s="368"/>
      <c r="AH3" s="368"/>
      <c r="AI3" s="368"/>
      <c r="AJ3" s="368"/>
    </row>
    <row r="4" spans="1:36" s="27" customFormat="1" ht="14.1" customHeight="1" x14ac:dyDescent="0.25">
      <c r="B4" s="28"/>
      <c r="C4" s="28"/>
      <c r="D4" s="28"/>
      <c r="E4" s="28"/>
      <c r="F4" s="37" t="str">
        <f t="shared" ref="F4:K4" si="0">$H$3</f>
        <v>2024-25</v>
      </c>
      <c r="G4" s="28"/>
      <c r="H4" s="62" t="str">
        <f>$H$3</f>
        <v>2024-25</v>
      </c>
      <c r="I4" s="62" t="str">
        <f t="shared" si="0"/>
        <v>2024-25</v>
      </c>
      <c r="J4" s="62" t="str">
        <f t="shared" si="0"/>
        <v>2024-25</v>
      </c>
      <c r="K4" s="37" t="str">
        <f t="shared" si="0"/>
        <v>2024-25</v>
      </c>
      <c r="L4" s="37"/>
      <c r="M4" s="37" t="str">
        <f>FY</f>
        <v>2025-26</v>
      </c>
      <c r="N4" s="37"/>
      <c r="O4" s="62" t="str">
        <f>$O$3</f>
        <v>2025-26</v>
      </c>
      <c r="P4" s="62" t="str">
        <f>$O$3</f>
        <v>2025-26</v>
      </c>
      <c r="Q4" s="62" t="str">
        <f>$O$3</f>
        <v>2025-26</v>
      </c>
      <c r="R4" s="37" t="str">
        <f>$O$3</f>
        <v>2025-26</v>
      </c>
      <c r="S4" s="37"/>
      <c r="T4" s="37"/>
      <c r="U4" s="37"/>
      <c r="V4" s="37"/>
      <c r="W4" s="37"/>
      <c r="X4" s="37"/>
      <c r="Y4" s="37"/>
      <c r="Z4" s="37"/>
      <c r="AA4" s="37"/>
      <c r="AB4" s="37"/>
      <c r="AC4" s="37"/>
      <c r="AD4" s="37"/>
      <c r="AE4" s="37"/>
      <c r="AF4" s="37"/>
      <c r="AG4" s="37"/>
      <c r="AH4" s="37"/>
      <c r="AI4" s="37"/>
      <c r="AJ4" s="37"/>
    </row>
    <row r="5" spans="1:36" s="5" customFormat="1" x14ac:dyDescent="0.25">
      <c r="B5" s="23" t="s">
        <v>1</v>
      </c>
      <c r="C5" s="23" t="s">
        <v>10</v>
      </c>
      <c r="D5" s="23" t="s">
        <v>22</v>
      </c>
      <c r="E5" s="23" t="s">
        <v>11</v>
      </c>
      <c r="F5" s="12" t="s">
        <v>24</v>
      </c>
      <c r="G5" s="23" t="s">
        <v>32</v>
      </c>
      <c r="H5" s="146" t="s">
        <v>46</v>
      </c>
      <c r="I5" s="146" t="s">
        <v>47</v>
      </c>
      <c r="J5" s="146" t="s">
        <v>21</v>
      </c>
      <c r="K5" s="133" t="s">
        <v>23</v>
      </c>
      <c r="L5" s="133"/>
      <c r="M5" s="133" t="s">
        <v>20</v>
      </c>
      <c r="N5" s="133"/>
      <c r="O5" s="146" t="s">
        <v>46</v>
      </c>
      <c r="P5" s="146" t="s">
        <v>47</v>
      </c>
      <c r="Q5" s="146" t="s">
        <v>21</v>
      </c>
      <c r="R5" s="133" t="s">
        <v>23</v>
      </c>
      <c r="S5" s="133"/>
      <c r="T5" s="133"/>
      <c r="U5" s="133"/>
      <c r="V5" s="133"/>
      <c r="W5" s="133"/>
      <c r="X5" s="133"/>
      <c r="Y5" s="133"/>
      <c r="Z5" s="133"/>
      <c r="AA5" s="133"/>
      <c r="AB5" s="133"/>
      <c r="AC5" s="133"/>
      <c r="AD5" s="133"/>
      <c r="AE5" s="133"/>
      <c r="AF5" s="133"/>
      <c r="AG5" s="133"/>
      <c r="AH5" s="133"/>
      <c r="AI5" s="133"/>
      <c r="AJ5" s="133"/>
    </row>
    <row r="6" spans="1:36" s="29" customFormat="1" x14ac:dyDescent="0.25">
      <c r="B6" s="30"/>
      <c r="C6" s="30"/>
      <c r="D6" s="30"/>
      <c r="E6" s="30"/>
      <c r="F6" s="31" t="s">
        <v>53</v>
      </c>
      <c r="G6" s="30"/>
      <c r="H6" s="147" t="s">
        <v>68</v>
      </c>
      <c r="I6" s="147" t="s">
        <v>44</v>
      </c>
      <c r="J6" s="147" t="s">
        <v>45</v>
      </c>
      <c r="K6" s="148" t="s">
        <v>27</v>
      </c>
      <c r="L6" s="148"/>
      <c r="M6" s="148" t="s">
        <v>27</v>
      </c>
      <c r="N6" s="148"/>
      <c r="O6" s="147" t="s">
        <v>68</v>
      </c>
      <c r="P6" s="147" t="s">
        <v>44</v>
      </c>
      <c r="Q6" s="147" t="s">
        <v>45</v>
      </c>
      <c r="R6" s="148" t="s">
        <v>27</v>
      </c>
      <c r="S6" s="148"/>
      <c r="T6" s="148"/>
      <c r="U6" s="148"/>
      <c r="V6" s="148"/>
      <c r="W6" s="148"/>
      <c r="X6" s="148"/>
      <c r="Y6" s="148"/>
      <c r="Z6" s="148"/>
      <c r="AA6" s="148"/>
      <c r="AB6" s="148"/>
      <c r="AC6" s="148"/>
      <c r="AD6" s="148"/>
      <c r="AE6" s="148"/>
      <c r="AF6" s="148"/>
      <c r="AG6" s="148"/>
      <c r="AH6" s="148"/>
      <c r="AI6" s="148"/>
      <c r="AJ6" s="148"/>
    </row>
    <row r="7" spans="1:36" x14ac:dyDescent="0.25">
      <c r="F7" s="131"/>
      <c r="H7" s="128"/>
      <c r="I7" s="128"/>
      <c r="J7" s="128"/>
      <c r="K7" s="143"/>
      <c r="L7" s="143"/>
      <c r="M7" s="143"/>
      <c r="N7" s="140"/>
      <c r="O7" s="128"/>
      <c r="P7" s="128"/>
      <c r="Q7" s="128"/>
      <c r="R7" s="143"/>
      <c r="S7" s="143"/>
      <c r="T7" s="143"/>
      <c r="U7" s="143"/>
      <c r="V7" s="143"/>
      <c r="W7" s="143"/>
      <c r="X7" s="143"/>
      <c r="Y7" s="143"/>
      <c r="Z7" s="143"/>
      <c r="AA7" s="143"/>
      <c r="AB7" s="143"/>
      <c r="AC7" s="143"/>
      <c r="AD7" s="143"/>
      <c r="AE7" s="143"/>
      <c r="AF7" s="143"/>
      <c r="AG7" s="143"/>
      <c r="AH7" s="143"/>
      <c r="AI7" s="143"/>
      <c r="AJ7" s="143"/>
    </row>
    <row r="8" spans="1:36" x14ac:dyDescent="0.25">
      <c r="B8" s="5" t="s">
        <v>2</v>
      </c>
      <c r="C8" s="5" t="s">
        <v>6</v>
      </c>
      <c r="D8" s="5" t="s">
        <v>127</v>
      </c>
      <c r="F8" s="131"/>
      <c r="H8" s="128"/>
      <c r="I8" s="128"/>
      <c r="J8" s="128"/>
      <c r="K8" s="143"/>
      <c r="L8" s="143"/>
      <c r="M8" s="143"/>
      <c r="N8" s="140"/>
      <c r="O8" s="128"/>
      <c r="P8" s="128"/>
      <c r="Q8" s="128"/>
      <c r="R8" s="143"/>
      <c r="S8" s="143"/>
      <c r="T8" s="143"/>
      <c r="U8" s="143"/>
      <c r="V8" s="143"/>
      <c r="W8" s="143"/>
      <c r="X8" s="143"/>
      <c r="Y8" s="143"/>
      <c r="Z8" s="143"/>
      <c r="AA8" s="143"/>
      <c r="AB8" s="143"/>
      <c r="AC8" s="143"/>
      <c r="AD8" s="143"/>
      <c r="AE8" s="143"/>
      <c r="AF8" s="143"/>
      <c r="AG8" s="143"/>
      <c r="AH8" s="143"/>
      <c r="AI8" s="143"/>
      <c r="AJ8" s="143"/>
    </row>
    <row r="9" spans="1:36" x14ac:dyDescent="0.25">
      <c r="B9" s="55" t="str">
        <f>B8</f>
        <v>Ausgrid</v>
      </c>
      <c r="C9" s="55" t="str">
        <f t="shared" ref="C9:C13" si="1">C8</f>
        <v>Residential</v>
      </c>
      <c r="D9" s="55" t="str">
        <f t="shared" ref="D9:D13" si="2">D8</f>
        <v>without CL</v>
      </c>
      <c r="E9" s="3" t="s">
        <v>19</v>
      </c>
      <c r="F9" s="131">
        <f t="array" ref="F9">IFERROR(INDEX(Usage!$B$5:$P$18,MATCH($B9,Usage!$B$5:$B$18,0),MATCH($C9&amp;$D9&amp;$E9&amp;"Total",Usage!$B$5:$S$5&amp;Usage!$B$6:$S$6&amp;Usage!$B$7:$S$7&amp;Usage!$B$13:$S$13,0)),0)</f>
        <v>3900</v>
      </c>
      <c r="G9" s="3" t="s">
        <v>70</v>
      </c>
      <c r="H9" s="128"/>
      <c r="I9" s="128">
        <f t="array" ref="I9">IFERROR(INDEX('Detail inputs'!$B$3:$K$195,MATCH($B9&amp;$C9&amp;$E9&amp;$G9&amp;I$5,'Detail inputs'!$B$3:$B$195&amp;'Detail inputs'!$D$3:$D$195&amp;'Detail inputs'!$F$3:$F$195&amp;'Detail inputs'!$G$3:$G$195&amp;'Detail inputs'!$H$3:$H$195,0),MATCH(I$4,'Detail inputs'!$B$3:$K$3,0)),0)</f>
        <v>152.72999999999999</v>
      </c>
      <c r="J9" s="128">
        <f>H9+I9*Usage!C$36/1000</f>
        <v>595.64700000000005</v>
      </c>
      <c r="K9" s="143">
        <f>IFERROR(J9/J16,"")</f>
        <v>0.91980062592805778</v>
      </c>
      <c r="L9" s="143"/>
      <c r="M9" s="143">
        <f t="shared" ref="M9:M15" si="3">IF(OR(J9=0,Q9=""),"",Q9/J9-1)</f>
        <v>5.458979899168459E-2</v>
      </c>
      <c r="N9" s="140"/>
      <c r="O9" s="128"/>
      <c r="P9" s="128" cm="1">
        <f t="array" ref="P9">IFERROR(INDEX('Detail inputs'!$B$3:$K$195,MATCH($B9&amp;$C9&amp;$E9&amp;$G9&amp;P$5,'Detail inputs'!$B$3:$B$195&amp;'Detail inputs'!$D$3:$D$195&amp;'Detail inputs'!$F$3:$F$195&amp;'Detail inputs'!$G$3:$G$195&amp;'Detail inputs'!$H$3:$H$195,0),MATCH(P$4,'Detail inputs'!$B$3:$K$3,0)),0)</f>
        <v>161.0675</v>
      </c>
      <c r="Q9" s="128">
        <f>O9+P9*$F9/1000</f>
        <v>628.16324999999995</v>
      </c>
      <c r="R9" s="143">
        <f>IFERROR(Q9/Q16,"")</f>
        <v>0.91645197012508217</v>
      </c>
      <c r="S9" s="143"/>
      <c r="T9" s="378"/>
      <c r="U9" s="143"/>
      <c r="V9" s="143"/>
      <c r="W9" s="143"/>
      <c r="X9" s="143"/>
      <c r="Y9" s="143"/>
      <c r="Z9" s="143"/>
      <c r="AA9" s="143"/>
      <c r="AB9" s="143"/>
      <c r="AC9" s="143"/>
      <c r="AD9" s="143"/>
      <c r="AE9" s="143"/>
      <c r="AF9" s="143"/>
      <c r="AG9" s="143"/>
      <c r="AH9" s="143"/>
      <c r="AI9" s="143"/>
      <c r="AJ9" s="143"/>
    </row>
    <row r="10" spans="1:36" x14ac:dyDescent="0.25">
      <c r="B10" s="55" t="str">
        <f t="shared" ref="B10:B13" si="4">B9</f>
        <v>Ausgrid</v>
      </c>
      <c r="C10" s="55" t="str">
        <f t="shared" si="1"/>
        <v>Residential</v>
      </c>
      <c r="D10" s="55" t="str">
        <f t="shared" si="2"/>
        <v>without CL</v>
      </c>
      <c r="E10" s="3" t="s">
        <v>19</v>
      </c>
      <c r="F10" s="131">
        <f t="array" ref="F10">IFERROR(INDEX(Usage!$B$5:$P$18,MATCH($B10,Usage!$B$5:$B$18,0),MATCH($C10&amp;$D10&amp;$E10&amp;"Total",Usage!$B$5:$S$5&amp;Usage!$B$6:$S$6&amp;Usage!$B$7:$S$7&amp;Usage!$B$13:$S$13,0)),0)</f>
        <v>3900</v>
      </c>
      <c r="G10" s="3" t="s">
        <v>71</v>
      </c>
      <c r="H10" s="128"/>
      <c r="I10" s="128">
        <f t="array" ref="I10">IFERROR(INDEX('Detail inputs'!$B$3:$K$195,MATCH($B10&amp;$G10&amp;I$5,'Detail inputs'!$B$3:$B$195&amp;'Detail inputs'!$G$3:$G$195&amp;'Detail inputs'!$H$3:$H$195,0),MATCH(I$4,'Detail inputs'!$B$3:$K$3,0)),0)</f>
        <v>0.25</v>
      </c>
      <c r="J10" s="128">
        <f>H10+I10*Usage!C$36/1000</f>
        <v>0.97499999999999998</v>
      </c>
      <c r="K10" s="143">
        <f>IFERROR(J10/J16,"")</f>
        <v>1.5055991388857096E-3</v>
      </c>
      <c r="L10" s="143"/>
      <c r="M10" s="143">
        <f t="shared" si="3"/>
        <v>-0.38484789629124383</v>
      </c>
      <c r="N10" s="140"/>
      <c r="O10" s="128"/>
      <c r="P10" s="128">
        <f t="array" ref="P10">IFERROR(INDEX('Detail inputs'!$B$3:$K$195,MATCH($B10&amp;$G10&amp;P$5,'Detail inputs'!$B$3:$B$195&amp;'Detail inputs'!$G$3:$G$195&amp;'Detail inputs'!$H$3:$H$195,0),MATCH(P$4,'Detail inputs'!$B$3:$K$3,0)),0)</f>
        <v>0.15378802592718904</v>
      </c>
      <c r="Q10" s="128">
        <f t="shared" ref="Q10:Q15" si="5">O10+P10*$F10/1000</f>
        <v>0.59977330111603722</v>
      </c>
      <c r="R10" s="143">
        <f>IFERROR(Q10/Q16,"")</f>
        <v>8.7503276168450874E-4</v>
      </c>
      <c r="S10" s="143"/>
      <c r="T10" s="143"/>
      <c r="U10" s="143"/>
      <c r="V10" s="143"/>
      <c r="W10" s="143"/>
      <c r="X10" s="143"/>
      <c r="Y10" s="143"/>
      <c r="Z10" s="143"/>
      <c r="AA10" s="143"/>
      <c r="AB10" s="143"/>
      <c r="AC10" s="143"/>
      <c r="AD10" s="143"/>
      <c r="AE10" s="143"/>
      <c r="AF10" s="143"/>
      <c r="AG10" s="143"/>
      <c r="AH10" s="143"/>
      <c r="AI10" s="143"/>
      <c r="AJ10" s="143"/>
    </row>
    <row r="11" spans="1:36" x14ac:dyDescent="0.25">
      <c r="B11" s="55" t="str">
        <f t="shared" si="4"/>
        <v>Ausgrid</v>
      </c>
      <c r="C11" s="55" t="str">
        <f t="shared" si="1"/>
        <v>Residential</v>
      </c>
      <c r="D11" s="55" t="str">
        <f t="shared" si="2"/>
        <v>without CL</v>
      </c>
      <c r="E11" s="3" t="s">
        <v>19</v>
      </c>
      <c r="F11" s="131">
        <f t="array" ref="F11">IFERROR(INDEX(Usage!$B$5:$P$18,MATCH($B11,Usage!$B$5:$B$18,0),MATCH($C11&amp;$D11&amp;$E11&amp;"Total",Usage!$B$5:$S$5&amp;Usage!$B$6:$S$6&amp;Usage!$B$7:$S$7&amp;Usage!$B$13:$S$13,0)),0)</f>
        <v>3900</v>
      </c>
      <c r="G11" s="3" t="s">
        <v>78</v>
      </c>
      <c r="H11" s="128" cm="1">
        <f t="array" ref="H11">IFERROR(INDEX('Detail inputs'!$B$3:$K$195,MATCH($B11&amp;$G11&amp;H$5,'Detail inputs'!$B$3:$B$195&amp;'Detail inputs'!$G$3:$G$195&amp;'Detail inputs'!$H$3:$H$195,0),MATCH(H$4,'Detail inputs'!$B$3:$K$3,0)),0)*Days/7</f>
        <v>11.905778571428572</v>
      </c>
      <c r="I11" s="128">
        <f t="array" ref="I11">IFERROR(INDEX('Detail inputs'!$B$3:$K$195,MATCH($B11&amp;$G11&amp;I$5,'Detail inputs'!$B$3:$B$195&amp;'Detail inputs'!$G$3:$G$195&amp;'Detail inputs'!$H$3:$H$195,0),MATCH(I$4,'Detail inputs'!$B$3:$K$3,0)),0)</f>
        <v>0.50409000000000004</v>
      </c>
      <c r="J11" s="128">
        <f>H11+I11*Usage!C$36/1000</f>
        <v>13.871729571428572</v>
      </c>
      <c r="K11" s="143">
        <f>IFERROR(J11/J16,"")</f>
        <v>2.1420783689844403E-2</v>
      </c>
      <c r="L11" s="143"/>
      <c r="M11" s="143">
        <f t="shared" si="3"/>
        <v>0.15886927089527325</v>
      </c>
      <c r="N11" s="140"/>
      <c r="O11" s="128" cm="1">
        <f t="array" ref="O11">IFERROR(INDEX('Detail inputs'!$B$3:$K$195,MATCH($B11&amp;$G11&amp;O$5,'Detail inputs'!$B$3:$B$195&amp;'Detail inputs'!$G$3:$G$195&amp;'Detail inputs'!$H$3:$H$195,0),MATCH(O$4,'Detail inputs'!$B$3:$K$3,0)),0)*Days/7</f>
        <v>13.835244134497829</v>
      </c>
      <c r="P11" s="128">
        <f t="array" ref="P11">IFERROR(INDEX('Detail inputs'!$B$3:$K$195,MATCH($B11&amp;$G11&amp;P$5,'Detail inputs'!$B$3:$B$195&amp;'Detail inputs'!$G$3:$G$195&amp;'Detail inputs'!$H$3:$H$195,0),MATCH(P$4,'Detail inputs'!$B$3:$K$3,0)),0)</f>
        <v>0.57443</v>
      </c>
      <c r="Q11" s="128">
        <f>O11+P11*$F11/1000</f>
        <v>16.07552113449783</v>
      </c>
      <c r="R11" s="143">
        <f>IFERROR(Q11/Q16,"")</f>
        <v>2.345320744965251E-2</v>
      </c>
      <c r="S11" s="143"/>
      <c r="T11" s="143"/>
      <c r="U11" s="143"/>
      <c r="V11" s="143"/>
      <c r="W11" s="143"/>
      <c r="X11" s="143"/>
      <c r="Y11" s="143"/>
      <c r="Z11" s="143"/>
      <c r="AA11" s="143"/>
      <c r="AB11" s="143"/>
      <c r="AC11" s="143"/>
      <c r="AD11" s="143"/>
      <c r="AE11" s="143"/>
      <c r="AF11" s="143"/>
      <c r="AG11" s="143"/>
      <c r="AH11" s="143"/>
      <c r="AI11" s="143"/>
      <c r="AJ11" s="143"/>
    </row>
    <row r="12" spans="1:36" x14ac:dyDescent="0.25">
      <c r="B12" s="55" t="str">
        <f t="shared" si="4"/>
        <v>Ausgrid</v>
      </c>
      <c r="C12" s="55" t="str">
        <f t="shared" si="1"/>
        <v>Residential</v>
      </c>
      <c r="D12" s="55" t="str">
        <f t="shared" si="2"/>
        <v>without CL</v>
      </c>
      <c r="E12" s="3" t="s">
        <v>19</v>
      </c>
      <c r="F12" s="131">
        <f t="array" ref="F12">IFERROR(INDEX(Usage!$B$5:$P$18,MATCH($B12,Usage!$B$5:$B$18,0),MATCH($C12&amp;$D12&amp;$E12&amp;"Total",Usage!$B$5:$S$5&amp;Usage!$B$6:$S$6&amp;Usage!$B$7:$S$7&amp;Usage!$B$13:$S$13,0)),0)</f>
        <v>3900</v>
      </c>
      <c r="G12" s="3" t="s">
        <v>72</v>
      </c>
      <c r="H12" s="128"/>
      <c r="I12" s="128" cm="1">
        <f t="array" ref="I12">IFERROR(INDEX('Detail inputs'!$B$3:$K$195,MATCH($B12&amp;$G12&amp;I$5,'Detail inputs'!$B$3:$B$195&amp;'Detail inputs'!$G$3:$G$195&amp;'Detail inputs'!$H$3:$H$195,0),MATCH(I$4,'Detail inputs'!$B$3:$K$3,0)),0)</f>
        <v>0</v>
      </c>
      <c r="J12" s="128">
        <f>H12+I12*Usage!C$36/1000</f>
        <v>0</v>
      </c>
      <c r="K12" s="143">
        <f>IFERROR(J12/J16,"")</f>
        <v>0</v>
      </c>
      <c r="L12" s="143"/>
      <c r="M12" s="143" t="str">
        <f t="shared" si="3"/>
        <v/>
      </c>
      <c r="N12" s="140"/>
      <c r="O12" s="128"/>
      <c r="P12" s="128">
        <f t="array" ref="P12">IFERROR(INDEX('Detail inputs'!$B$3:$K$195,MATCH($B12&amp;$G12&amp;P$5,'Detail inputs'!$B$3:$B$195&amp;'Detail inputs'!$G$3:$G$195&amp;'Detail inputs'!$H$3:$H$195,0),MATCH(P$4,'Detail inputs'!$B$3:$K$3,0)),0)</f>
        <v>5.2786233739509421E-2</v>
      </c>
      <c r="Q12" s="128">
        <f t="shared" si="5"/>
        <v>0.20586631158408672</v>
      </c>
      <c r="R12" s="143">
        <f>IFERROR(Q12/Q16,"")</f>
        <v>3.0034642560452287E-4</v>
      </c>
      <c r="S12" s="143"/>
      <c r="T12" s="143"/>
      <c r="U12" s="143"/>
      <c r="V12" s="143"/>
      <c r="W12" s="143"/>
      <c r="X12" s="143"/>
      <c r="Y12" s="143"/>
      <c r="Z12" s="143"/>
      <c r="AA12" s="143"/>
      <c r="AB12" s="143"/>
      <c r="AC12" s="143"/>
      <c r="AD12" s="143"/>
      <c r="AE12" s="143"/>
      <c r="AF12" s="143"/>
      <c r="AG12" s="143"/>
      <c r="AH12" s="143"/>
      <c r="AI12" s="143"/>
      <c r="AJ12" s="143"/>
    </row>
    <row r="13" spans="1:36" x14ac:dyDescent="0.25">
      <c r="B13" s="55" t="str">
        <f t="shared" si="4"/>
        <v>Ausgrid</v>
      </c>
      <c r="C13" s="55" t="str">
        <f t="shared" si="1"/>
        <v>Residential</v>
      </c>
      <c r="D13" s="55" t="str">
        <f t="shared" si="2"/>
        <v>without CL</v>
      </c>
      <c r="E13" s="3" t="s">
        <v>19</v>
      </c>
      <c r="F13" s="131" cm="1">
        <f t="array" ref="F13">IFERROR(INDEX(Usage!$B$5:$P$18,MATCH($B13,Usage!$B$5:$B$18,0),MATCH($C13&amp;$D13&amp;$E13&amp;"Total",Usage!$B$5:$S$5&amp;Usage!$B$6:$S$6&amp;Usage!$B$7:$S$7&amp;Usage!$B$13:$S$13,0)),0)</f>
        <v>3900</v>
      </c>
      <c r="G13" s="120" t="s">
        <v>189</v>
      </c>
      <c r="H13" s="128"/>
      <c r="I13" s="128" cm="1">
        <f t="array" ref="I13">IFERROR(INDEX('Detail inputs'!$B$3:$K$195,MATCH($B13&amp;$G13&amp;I$5,'Detail inputs'!$B$3:$B$195&amp;'Detail inputs'!$G$3:$G$195&amp;'Detail inputs'!$H$3:$H$195,0),MATCH(I$4,'Detail inputs'!$B$3:$K$3,0)),0)</f>
        <v>0</v>
      </c>
      <c r="J13" s="128">
        <f>H13+I13*Usage!C$36/1000</f>
        <v>0</v>
      </c>
      <c r="K13" s="143">
        <f>IFERROR(J13/J17,"")</f>
        <v>0</v>
      </c>
      <c r="L13" s="143"/>
      <c r="M13" s="143" t="str">
        <f t="shared" ref="M13" si="6">IF(OR(J13=0,Q13=""),"",Q13/J13-1)</f>
        <v/>
      </c>
      <c r="N13" s="140"/>
      <c r="O13" s="128"/>
      <c r="P13" s="128" cm="1">
        <f t="array" ref="P13">IFERROR(INDEX('Detail inputs'!$B$3:$K$195,MATCH($B13&amp;$G13&amp;P$5,'Detail inputs'!$B$3:$B$195&amp;'Detail inputs'!$G$3:$G$195&amp;'Detail inputs'!$H$3:$H$195,0),MATCH(P$4,'Detail inputs'!$B$3:$K$3,0)),0)</f>
        <v>0.11507709849820914</v>
      </c>
      <c r="Q13" s="128">
        <f t="shared" ref="Q13" si="7">O13+P13*$F13/1000</f>
        <v>0.44880068414301566</v>
      </c>
      <c r="R13" s="143">
        <f>IFERROR(Q13/Q16,"")</f>
        <v>6.5477289729437603E-4</v>
      </c>
      <c r="S13" s="143"/>
      <c r="T13" s="143"/>
      <c r="U13" s="143"/>
      <c r="V13" s="143"/>
      <c r="W13" s="143"/>
      <c r="X13" s="143"/>
      <c r="Y13" s="143"/>
      <c r="Z13" s="143"/>
      <c r="AA13" s="143"/>
      <c r="AB13" s="143"/>
      <c r="AC13" s="143"/>
      <c r="AD13" s="143"/>
      <c r="AE13" s="143"/>
      <c r="AF13" s="143"/>
      <c r="AG13" s="143"/>
      <c r="AH13" s="143"/>
      <c r="AI13" s="143"/>
      <c r="AJ13" s="143"/>
    </row>
    <row r="14" spans="1:36" x14ac:dyDescent="0.25">
      <c r="B14" s="55" t="str">
        <f>B12</f>
        <v>Ausgrid</v>
      </c>
      <c r="C14" s="55" t="str">
        <f>C12</f>
        <v>Residential</v>
      </c>
      <c r="D14" s="55" t="str">
        <f>D12</f>
        <v>without CL</v>
      </c>
      <c r="E14" s="3" t="s">
        <v>19</v>
      </c>
      <c r="F14" s="131">
        <f t="array" ref="F14">IFERROR(INDEX(Usage!$B$5:$P$18,MATCH($B14,Usage!$B$5:$B$18,0),MATCH($C14&amp;$D14&amp;$E14&amp;"Total",Usage!$B$5:$S$5&amp;Usage!$B$6:$S$6&amp;Usage!$B$7:$S$7&amp;Usage!$B$13:$S$13,0)),0)</f>
        <v>3900</v>
      </c>
      <c r="G14" s="3" t="s">
        <v>135</v>
      </c>
      <c r="H14" s="128"/>
      <c r="I14" s="128">
        <f t="array" ref="I14">IFERROR(INDEX('Detail inputs'!$B$3:$K$195,MATCH($B14&amp;$G14&amp;I$5,'Detail inputs'!$B$3:$B$195&amp;'Detail inputs'!$G$3:$G$195&amp;'Detail inputs'!$H$3:$H$195,0),MATCH(I$4,'Detail inputs'!$B$3:$K$3,0)),0)</f>
        <v>2.64</v>
      </c>
      <c r="J14" s="128">
        <f>H14+I14*Usage!C$36/1000</f>
        <v>10.295999999999999</v>
      </c>
      <c r="K14" s="143">
        <f>IFERROR(J14/J16,"")</f>
        <v>1.5899126906633091E-2</v>
      </c>
      <c r="L14" s="143"/>
      <c r="M14" s="143">
        <f t="shared" si="3"/>
        <v>8.4316600688877807E-2</v>
      </c>
      <c r="N14" s="140"/>
      <c r="O14" s="128"/>
      <c r="P14" s="128">
        <f t="array" ref="P14">IFERROR(INDEX('Detail inputs'!$B$3:$K$195,MATCH($B14&amp;$G14&amp;P$5,'Detail inputs'!$B$3:$B$195&amp;'Detail inputs'!$G$3:$G$195&amp;'Detail inputs'!$H$3:$H$195,0),MATCH(P$4,'Detail inputs'!$B$3:$K$3,0)),0)</f>
        <v>2.8625958258186368</v>
      </c>
      <c r="Q14" s="128">
        <f t="shared" si="5"/>
        <v>11.164123720692684</v>
      </c>
      <c r="R14" s="143">
        <f>IFERROR(Q14/Q16,"")</f>
        <v>1.6287777386768443E-2</v>
      </c>
      <c r="S14" s="143"/>
      <c r="T14" s="143"/>
      <c r="U14" s="143"/>
      <c r="V14" s="143"/>
      <c r="W14" s="143"/>
      <c r="X14" s="143"/>
      <c r="Y14" s="143"/>
      <c r="Z14" s="143"/>
      <c r="AA14" s="143"/>
      <c r="AB14" s="143"/>
      <c r="AC14" s="143"/>
      <c r="AD14" s="143"/>
      <c r="AE14" s="143"/>
      <c r="AF14" s="143"/>
      <c r="AG14" s="143"/>
      <c r="AH14" s="143"/>
      <c r="AI14" s="143"/>
      <c r="AJ14" s="143"/>
    </row>
    <row r="15" spans="1:36" x14ac:dyDescent="0.25">
      <c r="B15" s="55" t="str">
        <f t="shared" ref="B15:D15" si="8">B13</f>
        <v>Ausgrid</v>
      </c>
      <c r="C15" s="55" t="str">
        <f t="shared" si="8"/>
        <v>Residential</v>
      </c>
      <c r="D15" s="55" t="str">
        <f t="shared" si="8"/>
        <v>without CL</v>
      </c>
      <c r="E15" s="3" t="s">
        <v>19</v>
      </c>
      <c r="F15" s="131">
        <f t="array" ref="F15">IFERROR(INDEX(Usage!$B$5:$P$18,MATCH($B15,Usage!$B$5:$B$18,0),MATCH($C15&amp;$D15&amp;$E15&amp;"Total",Usage!$B$5:$S$5&amp;Usage!$B$6:$S$6&amp;Usage!$B$7:$S$7&amp;Usage!$B$13:$S$13,0)),0)</f>
        <v>3900</v>
      </c>
      <c r="G15" s="3" t="s">
        <v>73</v>
      </c>
      <c r="H15" s="128"/>
      <c r="I15" s="128" cm="1">
        <f t="array" ref="I15">IFERROR(INDEX('Detail inputs'!$B$3:$K$195,MATCH($B15&amp;$C15&amp;$E15&amp;$G15&amp;I$5,'Detail inputs'!$B$3:$B$195&amp;'Detail inputs'!$D$3:$D$195&amp;'Detail inputs'!$F$3:$F$195&amp;'Detail inputs'!$G$3:$G$195&amp;'Detail inputs'!$H$3:$H$195,0),MATCH(I$4,'Detail inputs'!$B$3:$K$3,0)),0)*SUM(I9:I14)</f>
        <v>6.8694599599999986</v>
      </c>
      <c r="J15" s="128">
        <f>H15+I15*Usage!C$36/1000</f>
        <v>26.790893843999996</v>
      </c>
      <c r="K15" s="143">
        <f>IFERROR(J15/J16,"")</f>
        <v>4.137061200154344E-2</v>
      </c>
      <c r="L15" s="143"/>
      <c r="M15" s="143">
        <f t="shared" si="3"/>
        <v>7.3954549241049605E-2</v>
      </c>
      <c r="N15" s="140"/>
      <c r="O15" s="128"/>
      <c r="P15" s="128" cm="1">
        <f t="array" ref="P15">IFERROR(INDEX('Detail inputs'!$B$3:$K$195,MATCH($B15&amp;$C15&amp;$E15&amp;$G15&amp;P$5,'Detail inputs'!$B$3:$B$195&amp;'Detail inputs'!$D$3:$D$195&amp;'Detail inputs'!$F$3:$F$195&amp;'Detail inputs'!$G$3:$G$195&amp;'Detail inputs'!$H$3:$H$195,0),MATCH(P$4,'Detail inputs'!$B$3:$K$3,0)),0)*SUM(P9:P14)</f>
        <v>7.3774877748712369</v>
      </c>
      <c r="Q15" s="128">
        <f t="shared" si="5"/>
        <v>28.772202321997824</v>
      </c>
      <c r="R15" s="143">
        <f>IFERROR(Q15/Q16,"")</f>
        <v>4.197689295391345E-2</v>
      </c>
      <c r="S15" s="143"/>
      <c r="T15" s="143"/>
      <c r="U15" s="143"/>
      <c r="V15" s="143"/>
      <c r="W15" s="143"/>
      <c r="X15" s="143"/>
      <c r="Y15" s="143"/>
      <c r="Z15" s="143"/>
      <c r="AA15" s="143"/>
      <c r="AB15" s="143"/>
      <c r="AC15" s="143"/>
      <c r="AD15" s="143"/>
      <c r="AE15" s="143"/>
      <c r="AF15" s="143"/>
      <c r="AG15" s="143"/>
      <c r="AH15" s="143"/>
      <c r="AI15" s="143"/>
      <c r="AJ15" s="143"/>
    </row>
    <row r="16" spans="1:36" x14ac:dyDescent="0.25">
      <c r="B16" s="55" t="str">
        <f t="shared" ref="B16:D16" si="9">B14</f>
        <v>Ausgrid</v>
      </c>
      <c r="C16" s="55" t="str">
        <f t="shared" si="9"/>
        <v>Residential</v>
      </c>
      <c r="D16" s="55" t="str">
        <f t="shared" si="9"/>
        <v>without CL</v>
      </c>
      <c r="E16" s="3" t="s">
        <v>19</v>
      </c>
      <c r="F16" s="131">
        <f t="array" ref="F16">IFERROR(INDEX(Usage!$B$5:$P$18,MATCH($B16,Usage!$B$5:$B$18,0),MATCH($C16&amp;$D16&amp;$E16&amp;"Total",Usage!$B$5:$S$5&amp;Usage!$B$6:$S$6&amp;Usage!$B$7:$S$7&amp;Usage!$B$13:$S$13,0)),0)</f>
        <v>3900</v>
      </c>
      <c r="G16" s="5" t="s">
        <v>55</v>
      </c>
      <c r="H16" s="130">
        <f>SUM(H11:H15)</f>
        <v>11.905778571428572</v>
      </c>
      <c r="I16" s="130">
        <v>162.99408999999997</v>
      </c>
      <c r="J16" s="130">
        <f>H16+I16*Usage!C$36/1000</f>
        <v>647.58272957142844</v>
      </c>
      <c r="K16" s="145"/>
      <c r="L16" s="152"/>
      <c r="M16" s="145">
        <f>IF(OR(J16=0,Q16=""),"",Q16/J16-1)</f>
        <v>5.8443201423314939E-2</v>
      </c>
      <c r="N16" s="150"/>
      <c r="O16" s="130">
        <f>SUM(O11:O15)</f>
        <v>13.835244134497829</v>
      </c>
      <c r="P16" s="130">
        <f>SUM(P9:P15)</f>
        <v>172.20366495885477</v>
      </c>
      <c r="Q16" s="130">
        <f t="shared" ref="Q16" si="10">IF(AND(O16="",P16=""),"",O16+P16*$F16/1000)</f>
        <v>685.42953747403146</v>
      </c>
      <c r="R16" s="144"/>
      <c r="S16" s="144"/>
      <c r="T16" s="144"/>
      <c r="U16" s="144"/>
      <c r="V16" s="144"/>
      <c r="W16" s="144"/>
      <c r="X16" s="144"/>
      <c r="Y16" s="144"/>
      <c r="Z16" s="144"/>
      <c r="AA16" s="144"/>
      <c r="AB16" s="144"/>
      <c r="AC16" s="144"/>
      <c r="AD16" s="144"/>
      <c r="AE16" s="144"/>
      <c r="AF16" s="144"/>
      <c r="AG16" s="144"/>
      <c r="AH16" s="144"/>
      <c r="AI16" s="144"/>
      <c r="AJ16" s="144"/>
    </row>
    <row r="17" spans="2:36" x14ac:dyDescent="0.25">
      <c r="B17" s="55" t="str">
        <f t="shared" ref="B17:D17" si="11">B15</f>
        <v>Ausgrid</v>
      </c>
      <c r="C17" s="55" t="str">
        <f t="shared" si="11"/>
        <v>Residential</v>
      </c>
      <c r="D17" s="55" t="str">
        <f t="shared" si="11"/>
        <v>without CL</v>
      </c>
      <c r="F17" s="131"/>
      <c r="G17" s="3" t="s">
        <v>38</v>
      </c>
      <c r="H17" s="128"/>
      <c r="I17" s="128"/>
      <c r="J17" s="128">
        <f>J16*GST</f>
        <v>64.75827295714285</v>
      </c>
      <c r="K17" s="144"/>
      <c r="L17" s="151"/>
      <c r="M17" s="144"/>
      <c r="N17" s="149"/>
      <c r="O17" s="128"/>
      <c r="P17" s="256"/>
      <c r="Q17" s="128">
        <f>Q16*GST</f>
        <v>68.542953747403146</v>
      </c>
      <c r="R17" s="145"/>
      <c r="S17" s="145"/>
      <c r="T17" s="145"/>
      <c r="U17" s="145"/>
      <c r="V17" s="145"/>
      <c r="W17" s="145"/>
      <c r="X17" s="145"/>
      <c r="Y17" s="145"/>
      <c r="Z17" s="145"/>
      <c r="AA17" s="145"/>
      <c r="AB17" s="145"/>
      <c r="AC17" s="145"/>
      <c r="AD17" s="145"/>
      <c r="AE17" s="145"/>
      <c r="AF17" s="145"/>
      <c r="AG17" s="145"/>
      <c r="AH17" s="145"/>
      <c r="AI17" s="145"/>
      <c r="AJ17" s="145"/>
    </row>
    <row r="18" spans="2:36" x14ac:dyDescent="0.25">
      <c r="B18" s="55" t="str">
        <f t="shared" ref="B18:D18" si="12">B16</f>
        <v>Ausgrid</v>
      </c>
      <c r="C18" s="55" t="str">
        <f t="shared" si="12"/>
        <v>Residential</v>
      </c>
      <c r="D18" s="55" t="str">
        <f t="shared" si="12"/>
        <v>without CL</v>
      </c>
      <c r="F18" s="131"/>
      <c r="G18" s="5" t="s">
        <v>80</v>
      </c>
      <c r="H18" s="130"/>
      <c r="I18" s="130"/>
      <c r="J18" s="130">
        <f>SUM(J16:J17)</f>
        <v>712.34100252857127</v>
      </c>
      <c r="K18" s="145"/>
      <c r="L18" s="152"/>
      <c r="M18" s="145">
        <f>IF(OR(J18=0,Q18=""),"",Q18/J18-1)</f>
        <v>5.8443201423314939E-2</v>
      </c>
      <c r="N18" s="150"/>
      <c r="O18" s="130"/>
      <c r="P18" s="130"/>
      <c r="Q18" s="130">
        <f>SUM(Q16:Q17)</f>
        <v>753.97249122143467</v>
      </c>
      <c r="R18" s="145"/>
      <c r="S18" s="145"/>
      <c r="T18" s="145"/>
      <c r="U18" s="145"/>
      <c r="V18" s="145"/>
      <c r="W18" s="145"/>
      <c r="X18" s="145"/>
      <c r="Y18" s="145"/>
      <c r="Z18" s="145"/>
      <c r="AA18" s="145"/>
      <c r="AB18" s="145"/>
      <c r="AC18" s="145"/>
      <c r="AD18" s="145"/>
      <c r="AE18" s="145"/>
      <c r="AF18" s="145"/>
      <c r="AG18" s="145"/>
      <c r="AH18" s="145"/>
      <c r="AI18" s="145"/>
      <c r="AJ18" s="145"/>
    </row>
    <row r="19" spans="2:36" x14ac:dyDescent="0.25">
      <c r="B19" s="55"/>
      <c r="C19" s="55"/>
      <c r="D19" s="55"/>
      <c r="F19" s="131"/>
      <c r="H19" s="128"/>
      <c r="I19" s="128"/>
      <c r="J19" s="128"/>
      <c r="K19" s="143"/>
      <c r="L19" s="151"/>
      <c r="M19" s="143"/>
      <c r="N19" s="149"/>
      <c r="O19" s="128"/>
      <c r="P19" s="130"/>
      <c r="Q19" s="128"/>
      <c r="R19" s="143"/>
      <c r="S19" s="143"/>
      <c r="T19" s="143"/>
      <c r="U19" s="143"/>
      <c r="V19" s="143"/>
      <c r="W19" s="143"/>
      <c r="X19" s="143"/>
      <c r="Y19" s="143"/>
      <c r="Z19" s="143"/>
      <c r="AA19" s="143"/>
      <c r="AB19" s="143"/>
      <c r="AC19" s="143"/>
      <c r="AD19" s="143"/>
      <c r="AE19" s="143"/>
      <c r="AF19" s="143"/>
      <c r="AG19" s="143"/>
      <c r="AH19" s="143"/>
      <c r="AI19" s="143"/>
      <c r="AJ19" s="143"/>
    </row>
    <row r="20" spans="2:36" x14ac:dyDescent="0.25">
      <c r="B20" s="5" t="s">
        <v>2</v>
      </c>
      <c r="C20" s="5" t="s">
        <v>6</v>
      </c>
      <c r="D20" s="5" t="s">
        <v>128</v>
      </c>
      <c r="F20" s="131"/>
      <c r="H20" s="128"/>
      <c r="I20" s="128"/>
      <c r="J20" s="128"/>
      <c r="K20" s="143"/>
      <c r="L20" s="151"/>
      <c r="M20" s="143"/>
      <c r="N20" s="149"/>
      <c r="O20" s="128"/>
      <c r="P20" s="128"/>
      <c r="Q20" s="128"/>
      <c r="R20" s="143"/>
      <c r="S20" s="143"/>
      <c r="T20" s="143"/>
      <c r="U20" s="143"/>
      <c r="V20" s="143"/>
      <c r="W20" s="143"/>
      <c r="X20" s="143"/>
      <c r="Y20" s="143"/>
      <c r="Z20" s="143"/>
      <c r="AA20" s="143"/>
      <c r="AB20" s="143"/>
      <c r="AC20" s="143"/>
      <c r="AD20" s="143"/>
      <c r="AE20" s="143"/>
      <c r="AF20" s="143"/>
      <c r="AG20" s="143"/>
      <c r="AH20" s="143"/>
      <c r="AI20" s="143"/>
      <c r="AJ20" s="143"/>
    </row>
    <row r="21" spans="2:36" x14ac:dyDescent="0.25">
      <c r="B21" s="3" t="str">
        <f>B20</f>
        <v>Ausgrid</v>
      </c>
      <c r="C21" s="3" t="str">
        <f t="shared" ref="C21:C40" si="13">C20</f>
        <v>Residential</v>
      </c>
      <c r="D21" s="3" t="str">
        <f t="shared" ref="D21:D40" si="14">D20</f>
        <v>with CL</v>
      </c>
      <c r="E21" s="3" t="s">
        <v>19</v>
      </c>
      <c r="F21" s="131">
        <f t="array" ref="F21">IFERROR(INDEX(Usage!$B$5:$P$18,MATCH($B21,Usage!$B$5:$B$18,0),MATCH($C21&amp;$D21&amp;$E21&amp;"Total",Usage!$B$5:$S$5&amp;Usage!$B$6:$S$6&amp;Usage!$B$7:$S$7&amp;Usage!$B$13:$S$13,0)),0)</f>
        <v>4800</v>
      </c>
      <c r="G21" s="5" t="s">
        <v>55</v>
      </c>
      <c r="H21" s="130">
        <f>+H16</f>
        <v>11.905778571428572</v>
      </c>
      <c r="I21" s="130">
        <v>162.99408999999997</v>
      </c>
      <c r="J21" s="130">
        <f>IF(AND(H21="",I21=""),"",H21+I21*+Usage!E36/1000)</f>
        <v>794.27741057142839</v>
      </c>
      <c r="K21" s="145"/>
      <c r="L21" s="152"/>
      <c r="M21" s="145">
        <f>IF(OR(J21=0,Q21=""),"",Q21/J21-1)</f>
        <v>5.8084775862353943E-2</v>
      </c>
      <c r="N21" s="150"/>
      <c r="O21" s="130">
        <f>+O16</f>
        <v>13.835244134497829</v>
      </c>
      <c r="P21" s="130">
        <f>P16</f>
        <v>172.20366495885477</v>
      </c>
      <c r="Q21" s="130">
        <f>IF(AND(O21="",P21=""),"",O21+P21*$F21/1000)</f>
        <v>840.41283593700075</v>
      </c>
      <c r="R21" s="143"/>
      <c r="S21" s="143"/>
      <c r="T21" s="143"/>
      <c r="U21" s="143"/>
      <c r="V21" s="143"/>
      <c r="W21" s="143"/>
      <c r="X21" s="143"/>
      <c r="Y21" s="143"/>
      <c r="Z21" s="143"/>
      <c r="AA21" s="143"/>
      <c r="AB21" s="143"/>
      <c r="AC21" s="143"/>
      <c r="AD21" s="143"/>
      <c r="AE21" s="143"/>
      <c r="AF21" s="143"/>
      <c r="AG21" s="143"/>
      <c r="AH21" s="143"/>
      <c r="AI21" s="143"/>
      <c r="AJ21" s="143"/>
    </row>
    <row r="22" spans="2:36" x14ac:dyDescent="0.25">
      <c r="B22" s="3" t="str">
        <f t="shared" ref="B22:B40" si="15">B21</f>
        <v>Ausgrid</v>
      </c>
      <c r="C22" s="3" t="str">
        <f t="shared" si="13"/>
        <v>Residential</v>
      </c>
      <c r="D22" s="3" t="str">
        <f t="shared" si="14"/>
        <v>with CL</v>
      </c>
      <c r="E22" s="3" t="s">
        <v>14</v>
      </c>
      <c r="F22" s="131">
        <f t="array" ref="F22">IFERROR(INDEX(Usage!$B$5:$P$18,MATCH($B22,Usage!$B$5:$B$18,0),MATCH($C22&amp;$D22&amp;$E22,Usage!$B$5:$S$5&amp;Usage!$B$6:$S$6&amp;Usage!$B$7:$S$7,0)),0)</f>
        <v>1340</v>
      </c>
      <c r="G22" s="3" t="s">
        <v>70</v>
      </c>
      <c r="H22" s="128"/>
      <c r="I22" s="128">
        <f t="array" ref="I22">IFERROR(INDEX('Detail inputs'!$B$3:$K$195,MATCH($B22&amp;$C22&amp;$E22&amp;$G22&amp;I$5,'Detail inputs'!$B$3:$B$195&amp;'Detail inputs'!$D$3:$D$195&amp;'Detail inputs'!$F$3:$F$195&amp;'Detail inputs'!$G$3:$G$195&amp;'Detail inputs'!$H$3:$H$195,0),MATCH(I$4,'Detail inputs'!$B$3:$K$3,0)),0)</f>
        <v>98.37</v>
      </c>
      <c r="J22" s="128">
        <f>IF(AND(H22="",I22=""),"",H22+I22*+Usage!H$36/1000)</f>
        <v>131.81580000000002</v>
      </c>
      <c r="K22" s="143">
        <f>IFERROR(J22/J29,"")</f>
        <v>0.92060116744244436</v>
      </c>
      <c r="L22" s="143"/>
      <c r="M22" s="143">
        <f t="shared" ref="M22:M38" si="16">IF(OR(J22=0,Q22=""),"",Q22/J22-1)</f>
        <v>0.17396055708041036</v>
      </c>
      <c r="N22" s="140"/>
      <c r="O22" s="128"/>
      <c r="P22" s="128">
        <f t="array" ref="P22">IFERROR(INDEX('Detail inputs'!$B$3:$K$195,MATCH($B22&amp;$C22&amp;$E22&amp;$G22&amp;P$5,'Detail inputs'!$B$3:$B$195&amp;'Detail inputs'!$D$3:$D$195&amp;'Detail inputs'!$F$3:$F$195&amp;'Detail inputs'!$G$3:$G$195&amp;'Detail inputs'!$H$3:$H$195,0),MATCH(P$4,'Detail inputs'!$B$3:$K$3,0)),0)</f>
        <v>115.48249999999999</v>
      </c>
      <c r="Q22" s="128">
        <f>IF(AND(O22="",P22=""),"",O22+P22*$F22/1000)</f>
        <v>154.74654999999998</v>
      </c>
      <c r="R22" s="143">
        <f>IFERROR(Q22/Q29,"")</f>
        <v>0.92698715898062611</v>
      </c>
      <c r="S22" s="143"/>
      <c r="T22" s="378"/>
      <c r="U22" s="143"/>
      <c r="V22" s="143"/>
      <c r="W22" s="143"/>
      <c r="X22" s="143"/>
      <c r="Y22" s="143"/>
      <c r="Z22" s="143"/>
      <c r="AA22" s="143"/>
      <c r="AB22" s="143"/>
      <c r="AC22" s="143"/>
      <c r="AD22" s="143"/>
      <c r="AE22" s="143"/>
      <c r="AF22" s="143"/>
      <c r="AG22" s="143"/>
      <c r="AH22" s="143"/>
      <c r="AI22" s="143"/>
      <c r="AJ22" s="143"/>
    </row>
    <row r="23" spans="2:36" x14ac:dyDescent="0.25">
      <c r="B23" s="3" t="str">
        <f t="shared" si="15"/>
        <v>Ausgrid</v>
      </c>
      <c r="C23" s="3" t="str">
        <f t="shared" si="13"/>
        <v>Residential</v>
      </c>
      <c r="D23" s="3" t="str">
        <f t="shared" si="14"/>
        <v>with CL</v>
      </c>
      <c r="E23" s="3" t="s">
        <v>14</v>
      </c>
      <c r="F23" s="131">
        <f t="array" ref="F23">IFERROR(INDEX(Usage!$B$5:$P$18,MATCH($B23,Usage!$B$5:$B$18,0),MATCH($C23&amp;$D23&amp;$E23,Usage!$B$5:$S$5&amp;Usage!$B$6:$S$6&amp;Usage!$B$7:$S$7,0)),0)</f>
        <v>1340</v>
      </c>
      <c r="G23" s="3" t="s">
        <v>71</v>
      </c>
      <c r="H23" s="128"/>
      <c r="I23" s="128">
        <f t="array" ref="I23">IFERROR(INDEX('Detail inputs'!$B$3:$K$195,MATCH($B23&amp;$G23&amp;I$5,'Detail inputs'!$B$3:$B$195&amp;'Detail inputs'!$G$3:$G$195&amp;'Detail inputs'!$H$3:$H$195,0),MATCH(I$4,'Detail inputs'!$B$3:$K$3,0)),0)</f>
        <v>0.25</v>
      </c>
      <c r="J23" s="128">
        <f>IF(AND(H23="",I23=""),"",H23+I23*+Usage!H$36/1000)</f>
        <v>0.33500000000000002</v>
      </c>
      <c r="K23" s="143">
        <f>IFERROR(J23/J29,"")</f>
        <v>2.339639034874566E-3</v>
      </c>
      <c r="L23" s="143"/>
      <c r="M23" s="143">
        <f t="shared" si="16"/>
        <v>-0.38484789629124383</v>
      </c>
      <c r="N23" s="140"/>
      <c r="O23" s="128"/>
      <c r="P23" s="128">
        <f t="array" ref="P23">IFERROR(INDEX('Detail inputs'!$B$3:$K$195,MATCH($B23&amp;$G23&amp;P$5,'Detail inputs'!$B$3:$B$195&amp;'Detail inputs'!$G$3:$G$195&amp;'Detail inputs'!$H$3:$H$195,0),MATCH(P$4,'Detail inputs'!$B$3:$K$3,0)),0)</f>
        <v>0.15378802592718904</v>
      </c>
      <c r="Q23" s="128">
        <f t="shared" ref="Q23:Q29" si="17">IF(AND(O23="",P23=""),"",O23+P23*$F23/1000)</f>
        <v>0.20607595474243331</v>
      </c>
      <c r="R23" s="143">
        <f>IFERROR(Q23/Q29,"")</f>
        <v>1.2344686445087685E-3</v>
      </c>
      <c r="S23" s="143"/>
      <c r="T23" s="143"/>
      <c r="U23" s="143"/>
      <c r="V23" s="143"/>
      <c r="W23" s="143"/>
      <c r="X23" s="143"/>
      <c r="Y23" s="143"/>
      <c r="Z23" s="143"/>
      <c r="AA23" s="143"/>
      <c r="AB23" s="143"/>
      <c r="AC23" s="143"/>
      <c r="AD23" s="143"/>
      <c r="AE23" s="143"/>
      <c r="AF23" s="143"/>
      <c r="AG23" s="143"/>
      <c r="AH23" s="143"/>
      <c r="AI23" s="143"/>
      <c r="AJ23" s="143"/>
    </row>
    <row r="24" spans="2:36" x14ac:dyDescent="0.25">
      <c r="B24" s="3" t="str">
        <f t="shared" si="15"/>
        <v>Ausgrid</v>
      </c>
      <c r="C24" s="3" t="str">
        <f t="shared" si="13"/>
        <v>Residential</v>
      </c>
      <c r="D24" s="3" t="str">
        <f t="shared" si="14"/>
        <v>with CL</v>
      </c>
      <c r="E24" s="3" t="s">
        <v>14</v>
      </c>
      <c r="F24" s="131">
        <f t="array" ref="F24">IFERROR(INDEX(Usage!$B$5:$P$18,MATCH($B24,Usage!$B$5:$B$18,0),MATCH($C24&amp;$D24&amp;$E24,Usage!$B$5:$S$5&amp;Usage!$B$6:$S$6&amp;Usage!$B$7:$S$7,0)),0)</f>
        <v>1340</v>
      </c>
      <c r="G24" s="3" t="s">
        <v>78</v>
      </c>
      <c r="H24" s="128"/>
      <c r="I24" s="128">
        <f t="array" ref="I24">IFERROR(INDEX('Detail inputs'!$B$3:$K$195,MATCH($B24&amp;$G24&amp;I$5,'Detail inputs'!$B$3:$B$195&amp;'Detail inputs'!$G$3:$G$195&amp;'Detail inputs'!$H$3:$H$195,0),MATCH(I$4,'Detail inputs'!$B$3:$K$3,0)),0)</f>
        <v>0.50409000000000004</v>
      </c>
      <c r="J24" s="128">
        <f>IF(AND(H24="",I24=""),"",H24+I24*+Usage!H$36/1000)</f>
        <v>0.6754806000000001</v>
      </c>
      <c r="K24" s="143">
        <f>IFERROR(J24/J29,"")</f>
        <v>4.7175545643596802E-3</v>
      </c>
      <c r="L24" s="143"/>
      <c r="M24" s="143">
        <f t="shared" si="16"/>
        <v>0.13953857446090967</v>
      </c>
      <c r="N24" s="140"/>
      <c r="O24" s="128"/>
      <c r="P24" s="128">
        <f t="array" ref="P24">IFERROR(INDEX('Detail inputs'!$B$3:$K$195,MATCH($B24&amp;$G24&amp;P$5,'Detail inputs'!$B$3:$B$195&amp;'Detail inputs'!$G$3:$G$195&amp;'Detail inputs'!$H$3:$H$195,0),MATCH(P$4,'Detail inputs'!$B$3:$K$3,0)),0)</f>
        <v>0.57443</v>
      </c>
      <c r="Q24" s="128">
        <f t="shared" si="17"/>
        <v>0.76973619999999998</v>
      </c>
      <c r="R24" s="143">
        <f>IFERROR(Q24/Q29,"")</f>
        <v>4.6109950315696407E-3</v>
      </c>
      <c r="S24" s="143"/>
      <c r="T24" s="143"/>
      <c r="U24" s="143"/>
      <c r="V24" s="143"/>
      <c r="W24" s="143"/>
      <c r="X24" s="143"/>
      <c r="Y24" s="143"/>
      <c r="Z24" s="143"/>
      <c r="AA24" s="143"/>
      <c r="AB24" s="143"/>
      <c r="AC24" s="143"/>
      <c r="AD24" s="143"/>
      <c r="AE24" s="143"/>
      <c r="AF24" s="143"/>
      <c r="AG24" s="143"/>
      <c r="AH24" s="143"/>
      <c r="AI24" s="143"/>
      <c r="AJ24" s="143"/>
    </row>
    <row r="25" spans="2:36" x14ac:dyDescent="0.25">
      <c r="B25" s="3" t="str">
        <f t="shared" si="15"/>
        <v>Ausgrid</v>
      </c>
      <c r="C25" s="3" t="str">
        <f t="shared" si="13"/>
        <v>Residential</v>
      </c>
      <c r="D25" s="3" t="str">
        <f t="shared" si="14"/>
        <v>with CL</v>
      </c>
      <c r="E25" s="3" t="s">
        <v>14</v>
      </c>
      <c r="F25" s="131">
        <f t="array" ref="F25">IFERROR(INDEX(Usage!$B$5:$P$18,MATCH($B25,Usage!$B$5:$B$18,0),MATCH($C25&amp;$D25&amp;$E25,Usage!$B$5:$S$5&amp;Usage!$B$6:$S$6&amp;Usage!$B$7:$S$7,0)),0)</f>
        <v>1340</v>
      </c>
      <c r="G25" s="3" t="s">
        <v>72</v>
      </c>
      <c r="H25" s="128"/>
      <c r="I25" s="128">
        <f t="array" ref="I25">IFERROR(INDEX('Detail inputs'!$B$3:$K$195,MATCH($B25&amp;$G25&amp;I$5,'Detail inputs'!$B$3:$B$195&amp;'Detail inputs'!$G$3:$G$195&amp;'Detail inputs'!$H$3:$H$195,0),MATCH(I$4,'Detail inputs'!$B$3:$K$3,0)),0)</f>
        <v>0</v>
      </c>
      <c r="J25" s="128">
        <f>IF(AND(H25="",I25=""),"",H25+I25*+Usage!H$36/1000)</f>
        <v>0</v>
      </c>
      <c r="K25" s="143">
        <f>IFERROR(J25/J29,"")</f>
        <v>0</v>
      </c>
      <c r="L25" s="143"/>
      <c r="M25" s="143" t="str">
        <f t="shared" si="16"/>
        <v/>
      </c>
      <c r="N25" s="140"/>
      <c r="O25" s="128"/>
      <c r="P25" s="128">
        <f t="array" ref="P25">IFERROR(INDEX('Detail inputs'!$B$3:$K$195,MATCH($B25&amp;$G25&amp;P$5,'Detail inputs'!$B$3:$B$195&amp;'Detail inputs'!$G$3:$G$195&amp;'Detail inputs'!$H$3:$H$195,0),MATCH(P$4,'Detail inputs'!$B$3:$K$3,0)),0)</f>
        <v>5.2786233739509421E-2</v>
      </c>
      <c r="Q25" s="128">
        <f t="shared" si="17"/>
        <v>7.0733553210942615E-2</v>
      </c>
      <c r="R25" s="143">
        <f>IFERROR(Q25/Q29,"")</f>
        <v>4.2371927216223332E-4</v>
      </c>
      <c r="S25" s="143"/>
      <c r="T25" s="143"/>
      <c r="U25" s="143"/>
      <c r="V25" s="143"/>
      <c r="W25" s="143"/>
      <c r="X25" s="143"/>
      <c r="Y25" s="143"/>
      <c r="Z25" s="143"/>
      <c r="AA25" s="143"/>
      <c r="AB25" s="143"/>
      <c r="AC25" s="143"/>
      <c r="AD25" s="143"/>
      <c r="AE25" s="143"/>
      <c r="AF25" s="143"/>
      <c r="AG25" s="143"/>
      <c r="AH25" s="143"/>
      <c r="AI25" s="143"/>
      <c r="AJ25" s="143"/>
    </row>
    <row r="26" spans="2:36" x14ac:dyDescent="0.25">
      <c r="B26" s="3" t="str">
        <f t="shared" si="15"/>
        <v>Ausgrid</v>
      </c>
      <c r="C26" s="3" t="str">
        <f t="shared" si="13"/>
        <v>Residential</v>
      </c>
      <c r="D26" s="3" t="str">
        <f t="shared" si="14"/>
        <v>with CL</v>
      </c>
      <c r="E26" s="3" t="s">
        <v>14</v>
      </c>
      <c r="F26" s="131" cm="1">
        <f t="array" ref="F26">IFERROR(INDEX(Usage!$B$5:$P$18,MATCH($B26,Usage!$B$5:$B$18,0),MATCH($C26&amp;$D26&amp;$E26,Usage!$B$5:$S$5&amp;Usage!$B$6:$S$6&amp;Usage!$B$7:$S$7,0)),0)</f>
        <v>1340</v>
      </c>
      <c r="G26" s="3" t="str">
        <f>+G13</f>
        <v>June 2022 Event Cost</v>
      </c>
      <c r="H26" s="128"/>
      <c r="I26" s="128">
        <f t="array" ref="I26">IFERROR(INDEX('Detail inputs'!$B$3:$K$195,MATCH($B26&amp;$G26&amp;I$5,'Detail inputs'!$B$3:$B$195&amp;'Detail inputs'!$G$3:$G$195&amp;'Detail inputs'!$H$3:$H$195,0),MATCH(I$4,'Detail inputs'!$B$3:$K$3,0)),0)</f>
        <v>0</v>
      </c>
      <c r="J26" s="128">
        <f>IF(AND(H26="",I26=""),"",H26+I26*+Usage!H$36/1000)</f>
        <v>0</v>
      </c>
      <c r="K26" s="143">
        <f>IFERROR(J26/J30,"")</f>
        <v>0</v>
      </c>
      <c r="L26" s="143"/>
      <c r="M26" s="143" t="str">
        <f t="shared" ref="M26" si="18">IF(OR(J26=0,Q26=""),"",Q26/J26-1)</f>
        <v/>
      </c>
      <c r="N26" s="140"/>
      <c r="O26" s="128"/>
      <c r="P26" s="128">
        <f t="array" ref="P26">IFERROR(INDEX('Detail inputs'!$B$3:$K$195,MATCH($B26&amp;$G26&amp;P$5,'Detail inputs'!$B$3:$B$195&amp;'Detail inputs'!$G$3:$G$195&amp;'Detail inputs'!$H$3:$H$195,0),MATCH(P$4,'Detail inputs'!$B$3:$K$3,0)),0)</f>
        <v>0.11507709849820914</v>
      </c>
      <c r="Q26" s="128">
        <f t="shared" ref="Q26" si="19">IF(AND(O26="",P26=""),"",O26+P26*$F26/1000)</f>
        <v>0.15420331198760023</v>
      </c>
      <c r="R26" s="143">
        <f>IFERROR(Q26/Q30,"")</f>
        <v>2.0549837881999587E-3</v>
      </c>
      <c r="S26" s="143"/>
      <c r="T26" s="143"/>
      <c r="U26" s="143"/>
      <c r="V26" s="143"/>
      <c r="W26" s="143"/>
      <c r="X26" s="143"/>
      <c r="Y26" s="143"/>
      <c r="Z26" s="143"/>
      <c r="AA26" s="143"/>
      <c r="AB26" s="143"/>
      <c r="AC26" s="143"/>
      <c r="AD26" s="143"/>
      <c r="AE26" s="143"/>
      <c r="AF26" s="143"/>
      <c r="AG26" s="143"/>
      <c r="AH26" s="143"/>
      <c r="AI26" s="143"/>
      <c r="AJ26" s="143"/>
    </row>
    <row r="27" spans="2:36" x14ac:dyDescent="0.25">
      <c r="B27" s="3" t="str">
        <f t="shared" si="15"/>
        <v>Ausgrid</v>
      </c>
      <c r="C27" s="3" t="str">
        <f t="shared" si="13"/>
        <v>Residential</v>
      </c>
      <c r="D27" s="3" t="str">
        <f t="shared" si="14"/>
        <v>with CL</v>
      </c>
      <c r="E27" s="3" t="s">
        <v>14</v>
      </c>
      <c r="F27" s="131">
        <f t="array" ref="F27">IFERROR(INDEX(Usage!$B$5:$P$18,MATCH($B27,Usage!$B$5:$B$18,0),MATCH($C27&amp;$D27&amp;$E27,Usage!$B$5:$S$5&amp;Usage!$B$6:$S$6&amp;Usage!$B$7:$S$7,0)),0)</f>
        <v>1340</v>
      </c>
      <c r="G27" s="3" t="s">
        <v>135</v>
      </c>
      <c r="H27" s="128"/>
      <c r="I27" s="128">
        <f t="array" ref="I27">IFERROR(INDEX('Detail inputs'!$B$3:$K$195,MATCH($B27&amp;$G27&amp;I$5,'Detail inputs'!$B$3:$B$195&amp;'Detail inputs'!$G$3:$G$195&amp;'Detail inputs'!$H$3:$H$195,0),MATCH(I$4,'Detail inputs'!$B$3:$K$3,0)),0)</f>
        <v>2.64</v>
      </c>
      <c r="J27" s="128">
        <f>IF(AND(H27="",I27=""),"",H27+I27*+Usage!H$36/1000)</f>
        <v>3.5376000000000003</v>
      </c>
      <c r="K27" s="143">
        <f>IFERROR(J27/J29,"")</f>
        <v>2.4706588208275419E-2</v>
      </c>
      <c r="L27" s="143"/>
      <c r="M27" s="143">
        <f t="shared" si="16"/>
        <v>8.4316600688877585E-2</v>
      </c>
      <c r="N27" s="140"/>
      <c r="O27" s="128"/>
      <c r="P27" s="128">
        <f t="array" ref="P27">IFERROR(INDEX('Detail inputs'!$B$3:$K$195,MATCH($B27&amp;$G27&amp;P$5,'Detail inputs'!$B$3:$B$195&amp;'Detail inputs'!$G$3:$G$195&amp;'Detail inputs'!$H$3:$H$195,0),MATCH(P$4,'Detail inputs'!$B$3:$K$3,0)),0)</f>
        <v>2.8625958258186368</v>
      </c>
      <c r="Q27" s="128">
        <f t="shared" si="17"/>
        <v>3.8358784065969735</v>
      </c>
      <c r="R27" s="143">
        <f>IFERROR(Q27/Q29,"")</f>
        <v>2.297828304622274E-2</v>
      </c>
      <c r="S27" s="143"/>
      <c r="T27" s="143"/>
      <c r="U27" s="143"/>
      <c r="V27" s="143"/>
      <c r="W27" s="143"/>
      <c r="X27" s="143"/>
      <c r="Y27" s="143"/>
      <c r="Z27" s="143"/>
      <c r="AA27" s="143"/>
      <c r="AB27" s="143"/>
      <c r="AC27" s="143"/>
      <c r="AD27" s="143"/>
      <c r="AE27" s="143"/>
      <c r="AF27" s="143"/>
      <c r="AG27" s="143"/>
      <c r="AH27" s="143"/>
      <c r="AI27" s="143"/>
      <c r="AJ27" s="143"/>
    </row>
    <row r="28" spans="2:36" x14ac:dyDescent="0.25">
      <c r="B28" s="3" t="str">
        <f t="shared" si="15"/>
        <v>Ausgrid</v>
      </c>
      <c r="C28" s="3" t="str">
        <f t="shared" si="13"/>
        <v>Residential</v>
      </c>
      <c r="D28" s="3" t="str">
        <f t="shared" si="14"/>
        <v>with CL</v>
      </c>
      <c r="E28" s="3" t="s">
        <v>14</v>
      </c>
      <c r="F28" s="131">
        <f t="array" ref="F28">IFERROR(INDEX(Usage!$B$5:$P$18,MATCH($B28,Usage!$B$5:$B$18,0),MATCH($C28&amp;$D28&amp;$E28,Usage!$B$5:$S$5&amp;Usage!$B$6:$S$6&amp;Usage!$B$7:$S$7,0)),0)</f>
        <v>1340</v>
      </c>
      <c r="G28" s="3" t="s">
        <v>73</v>
      </c>
      <c r="H28" s="128"/>
      <c r="I28" s="128" cm="1">
        <f t="array" ref="I28">IFERROR(INDEX('Detail inputs'!$B$3:$K$195,MATCH($B28&amp;$C28&amp;$E28&amp;$G28&amp;I$5,'Detail inputs'!$B$3:$B$195&amp;'Detail inputs'!$D$3:$D$195&amp;'Detail inputs'!$F$3:$F$195&amp;'Detail inputs'!$G$3:$G$195&amp;'Detail inputs'!$H$3:$H$195,0),MATCH(I$4,'Detail inputs'!$B$3:$K$3,0)),0)*SUM(I22:I27)</f>
        <v>5.0882045000000007</v>
      </c>
      <c r="J28" s="128">
        <f>IF(AND(H28="",I28=""),"",H28+I28*+Usage!H$36/1000)</f>
        <v>6.8181940300000008</v>
      </c>
      <c r="K28" s="143">
        <f>IFERROR(J28/J29,"")</f>
        <v>4.7618247462497695E-2</v>
      </c>
      <c r="L28" s="143"/>
      <c r="M28" s="143">
        <f t="shared" si="16"/>
        <v>4.8923968772531135E-2</v>
      </c>
      <c r="N28" s="140"/>
      <c r="O28" s="128"/>
      <c r="P28" s="128" cm="1">
        <f t="array" ref="P28">IFERROR(INDEX('Detail inputs'!$B$3:$K$195,MATCH($B28&amp;$C28&amp;$E28&amp;$G28&amp;P$5,'Detail inputs'!$B$3:$B$195&amp;'Detail inputs'!$D$3:$D$195&amp;'Detail inputs'!$F$3:$F$195&amp;'Detail inputs'!$G$3:$G$195&amp;'Detail inputs'!$H$3:$H$195,0),MATCH(P$4,'Detail inputs'!$B$3:$K$3,0)),0)*SUM(P22:P27)</f>
        <v>5.3371396580662536</v>
      </c>
      <c r="Q28" s="128">
        <f t="shared" si="17"/>
        <v>7.1517671418087794</v>
      </c>
      <c r="R28" s="143">
        <f>IFERROR(Q28/Q29,"")</f>
        <v>4.2841642055841074E-2</v>
      </c>
      <c r="S28" s="143"/>
      <c r="T28" s="143"/>
      <c r="U28" s="143"/>
      <c r="V28" s="143"/>
      <c r="W28" s="143"/>
      <c r="X28" s="143"/>
      <c r="Y28" s="143"/>
      <c r="Z28" s="143"/>
      <c r="AA28" s="143"/>
      <c r="AB28" s="143"/>
      <c r="AC28" s="143"/>
      <c r="AD28" s="143"/>
      <c r="AE28" s="143"/>
      <c r="AF28" s="143"/>
      <c r="AG28" s="143"/>
      <c r="AH28" s="143"/>
      <c r="AI28" s="143"/>
      <c r="AJ28" s="143"/>
    </row>
    <row r="29" spans="2:36" x14ac:dyDescent="0.25">
      <c r="B29" s="3" t="str">
        <f t="shared" si="15"/>
        <v>Ausgrid</v>
      </c>
      <c r="C29" s="3" t="str">
        <f t="shared" si="13"/>
        <v>Residential</v>
      </c>
      <c r="D29" s="3" t="str">
        <f t="shared" si="14"/>
        <v>with CL</v>
      </c>
      <c r="E29" s="3" t="s">
        <v>14</v>
      </c>
      <c r="F29" s="131">
        <f t="array" ref="F29">IFERROR(INDEX(Usage!$B$5:$P$18,MATCH($B29,Usage!$B$5:$B$18,0),MATCH($C29&amp;$D29&amp;$E29,Usage!$B$5:$S$5&amp;Usage!$B$6:$S$6&amp;Usage!$B$7:$S$7,0)),0)</f>
        <v>1340</v>
      </c>
      <c r="G29" s="5" t="s">
        <v>55</v>
      </c>
      <c r="H29" s="130"/>
      <c r="I29" s="130">
        <v>106.85409000000001</v>
      </c>
      <c r="J29" s="130">
        <f>IF(AND(H29="",I29=""),"",H29+I29*+Usage!H$36/1000)</f>
        <v>143.1844806</v>
      </c>
      <c r="K29" s="145"/>
      <c r="L29" s="152"/>
      <c r="M29" s="145">
        <f t="shared" si="16"/>
        <v>0.16587317193052464</v>
      </c>
      <c r="N29" s="150"/>
      <c r="O29" s="130"/>
      <c r="P29" s="130">
        <f>SUM(P22:P28)</f>
        <v>124.57831684204977</v>
      </c>
      <c r="Q29" s="130">
        <f t="shared" si="17"/>
        <v>166.93494456834668</v>
      </c>
      <c r="R29" s="145"/>
      <c r="S29" s="145"/>
      <c r="T29" s="145"/>
      <c r="U29" s="145"/>
      <c r="V29" s="145"/>
      <c r="W29" s="145"/>
      <c r="X29" s="145"/>
      <c r="Y29" s="145"/>
      <c r="Z29" s="145"/>
      <c r="AA29" s="145"/>
      <c r="AB29" s="145"/>
      <c r="AC29" s="145"/>
      <c r="AD29" s="145"/>
      <c r="AE29" s="145"/>
      <c r="AF29" s="145"/>
      <c r="AG29" s="145"/>
      <c r="AH29" s="145"/>
      <c r="AI29" s="145"/>
      <c r="AJ29" s="145"/>
    </row>
    <row r="30" spans="2:36" x14ac:dyDescent="0.25">
      <c r="B30" s="3" t="str">
        <f t="shared" si="15"/>
        <v>Ausgrid</v>
      </c>
      <c r="C30" s="3" t="str">
        <f t="shared" si="13"/>
        <v>Residential</v>
      </c>
      <c r="D30" s="3" t="str">
        <f t="shared" si="14"/>
        <v>with CL</v>
      </c>
      <c r="E30" s="3" t="s">
        <v>15</v>
      </c>
      <c r="F30" s="131">
        <f t="array" ref="F30">IFERROR(INDEX(Usage!$B$5:$P$18,MATCH($B30,Usage!$B$5:$B$18,0),MATCH($C30&amp;$D30&amp;$E30,Usage!$B$5:$S$5&amp;Usage!$B$6:$S$6&amp;Usage!$B$7:$S$7,0)),0)</f>
        <v>660</v>
      </c>
      <c r="G30" s="3" t="s">
        <v>70</v>
      </c>
      <c r="H30" s="128"/>
      <c r="I30" s="128">
        <f t="array" ref="I30">IFERROR(INDEX('Detail inputs'!$B$3:$K$195,MATCH($B30&amp;$C30&amp;$E30&amp;$G30&amp;I$5,'Detail inputs'!$B$3:$B$195&amp;'Detail inputs'!$D$3:$D$195&amp;'Detail inputs'!$F$3:$F$195&amp;'Detail inputs'!$G$3:$G$195&amp;'Detail inputs'!$H$3:$H$195,0),MATCH(I$4,'Detail inputs'!$B$3:$K$3,0)),0)</f>
        <v>98.23</v>
      </c>
      <c r="J30" s="128">
        <f>IF(AND(H30="",I30=""),"",H30+I30*+Usage!I$36/1000)</f>
        <v>64.831800000000001</v>
      </c>
      <c r="K30" s="144">
        <f>IFERROR(J30/J37,"")</f>
        <v>0.92058326911367683</v>
      </c>
      <c r="L30" s="144"/>
      <c r="M30" s="144">
        <f t="shared" si="16"/>
        <v>0.15743662832128669</v>
      </c>
      <c r="N30" s="141"/>
      <c r="O30" s="128"/>
      <c r="P30" s="128">
        <f t="array" ref="P30">IFERROR(INDEX('Detail inputs'!$B$3:$K$195,MATCH($B30&amp;$C30&amp;$E30&amp;$G30&amp;P$5,'Detail inputs'!$B$3:$B$195&amp;'Detail inputs'!$D$3:$D$195&amp;'Detail inputs'!$F$3:$F$195&amp;'Detail inputs'!$G$3:$G$195&amp;'Detail inputs'!$H$3:$H$195,0),MATCH(P$4,'Detail inputs'!$B$3:$K$3,0)),0)</f>
        <v>113.69499999999999</v>
      </c>
      <c r="Q30" s="128">
        <f>IF(AND(O30="",P30=""),"",O30+P30*$F30/1000)</f>
        <v>75.038699999999992</v>
      </c>
      <c r="R30" s="144">
        <f>IFERROR(Q30/Q37,"")</f>
        <v>0.92652799057108493</v>
      </c>
      <c r="S30" s="144"/>
      <c r="T30" s="378"/>
      <c r="U30" s="144"/>
      <c r="V30" s="144"/>
      <c r="W30" s="144"/>
      <c r="X30" s="144"/>
      <c r="Y30" s="144"/>
      <c r="Z30" s="144"/>
      <c r="AA30" s="144"/>
      <c r="AB30" s="144"/>
      <c r="AC30" s="144"/>
      <c r="AD30" s="144"/>
      <c r="AE30" s="144"/>
      <c r="AF30" s="144"/>
      <c r="AG30" s="144"/>
      <c r="AH30" s="144"/>
      <c r="AI30" s="144"/>
      <c r="AJ30" s="144"/>
    </row>
    <row r="31" spans="2:36" x14ac:dyDescent="0.25">
      <c r="B31" s="3" t="str">
        <f t="shared" si="15"/>
        <v>Ausgrid</v>
      </c>
      <c r="C31" s="3" t="str">
        <f t="shared" si="13"/>
        <v>Residential</v>
      </c>
      <c r="D31" s="3" t="str">
        <f t="shared" si="14"/>
        <v>with CL</v>
      </c>
      <c r="E31" s="3" t="s">
        <v>15</v>
      </c>
      <c r="F31" s="131">
        <f t="array" ref="F31">IFERROR(INDEX(Usage!$B$5:$P$18,MATCH($B31,Usage!$B$5:$B$18,0),MATCH($C31&amp;$D31&amp;$E31,Usage!$B$5:$S$5&amp;Usage!$B$6:$S$6&amp;Usage!$B$7:$S$7,0)),0)</f>
        <v>660</v>
      </c>
      <c r="G31" s="3" t="s">
        <v>71</v>
      </c>
      <c r="H31" s="128"/>
      <c r="I31" s="128">
        <f t="array" ref="I31">IFERROR(INDEX('Detail inputs'!$B$3:$K$195,MATCH($B31&amp;$G31&amp;I$5,'Detail inputs'!$B$3:$B$195&amp;'Detail inputs'!$G$3:$G$195&amp;'Detail inputs'!$H$3:$H$195,0),MATCH(I$4,'Detail inputs'!$B$3:$K$3,0)),0)</f>
        <v>0.25</v>
      </c>
      <c r="J31" s="128">
        <f>IF(AND(H31="",I31=""),"",H31+I31*+Usage!I$36/1000)</f>
        <v>0.16500000000000001</v>
      </c>
      <c r="K31" s="144">
        <f>IFERROR(J31/J37,"")</f>
        <v>2.3429279983550769E-3</v>
      </c>
      <c r="L31" s="144"/>
      <c r="M31" s="144">
        <f t="shared" si="16"/>
        <v>-0.38484789629124383</v>
      </c>
      <c r="N31" s="141"/>
      <c r="O31" s="128"/>
      <c r="P31" s="128">
        <f t="array" ref="P31">IFERROR(INDEX('Detail inputs'!$B$3:$K$195,MATCH($B31&amp;$G31&amp;P$5,'Detail inputs'!$B$3:$B$195&amp;'Detail inputs'!$G$3:$G$195&amp;'Detail inputs'!$H$3:$H$195,0),MATCH(P$4,'Detail inputs'!$B$3:$K$3,0)),0)</f>
        <v>0.15378802592718904</v>
      </c>
      <c r="Q31" s="128">
        <f t="shared" ref="Q31:Q37" si="20">IF(AND(O31="",P31=""),"",O31+P31*$F31/1000)</f>
        <v>0.10150009711194477</v>
      </c>
      <c r="R31" s="144">
        <f>IFERROR(Q31/Q37,"")</f>
        <v>1.2532557336401107E-3</v>
      </c>
      <c r="S31" s="144"/>
      <c r="T31" s="144"/>
      <c r="U31" s="144"/>
      <c r="V31" s="144"/>
      <c r="W31" s="144"/>
      <c r="X31" s="144"/>
      <c r="Y31" s="144"/>
      <c r="Z31" s="144"/>
      <c r="AA31" s="144"/>
      <c r="AB31" s="144"/>
      <c r="AC31" s="144"/>
      <c r="AD31" s="144"/>
      <c r="AE31" s="144"/>
      <c r="AF31" s="144"/>
      <c r="AG31" s="144"/>
      <c r="AH31" s="144"/>
      <c r="AI31" s="144"/>
      <c r="AJ31" s="144"/>
    </row>
    <row r="32" spans="2:36" x14ac:dyDescent="0.25">
      <c r="B32" s="3" t="str">
        <f t="shared" si="15"/>
        <v>Ausgrid</v>
      </c>
      <c r="C32" s="3" t="str">
        <f t="shared" si="13"/>
        <v>Residential</v>
      </c>
      <c r="D32" s="3" t="str">
        <f t="shared" si="14"/>
        <v>with CL</v>
      </c>
      <c r="E32" s="3" t="s">
        <v>15</v>
      </c>
      <c r="F32" s="131">
        <f t="array" ref="F32">IFERROR(INDEX(Usage!$B$5:$P$18,MATCH($B32,Usage!$B$5:$B$18,0),MATCH($C32&amp;$D32&amp;$E32,Usage!$B$5:$S$5&amp;Usage!$B$6:$S$6&amp;Usage!$B$7:$S$7,0)),0)</f>
        <v>660</v>
      </c>
      <c r="G32" s="3" t="s">
        <v>78</v>
      </c>
      <c r="H32" s="128"/>
      <c r="I32" s="128">
        <f t="array" ref="I32">IFERROR(INDEX('Detail inputs'!$B$3:$K$195,MATCH($B32&amp;$G32&amp;I$5,'Detail inputs'!$B$3:$B$195&amp;'Detail inputs'!$G$3:$G$195&amp;'Detail inputs'!$H$3:$H$195,0),MATCH(I$4,'Detail inputs'!$B$3:$K$3,0)),0)</f>
        <v>0.50409000000000004</v>
      </c>
      <c r="J32" s="128">
        <f>IF(AND(H32="",I32=""),"",H32+I32*+Usage!I$36/1000)</f>
        <v>0.33269940000000003</v>
      </c>
      <c r="K32" s="144">
        <f>IFERROR(J32/J37,"")</f>
        <v>4.7241862987632433E-3</v>
      </c>
      <c r="L32" s="144"/>
      <c r="M32" s="144">
        <f t="shared" si="16"/>
        <v>0.13953857446090967</v>
      </c>
      <c r="N32" s="141"/>
      <c r="O32" s="128"/>
      <c r="P32" s="128">
        <f t="array" ref="P32">IFERROR(INDEX('Detail inputs'!$B$3:$K$195,MATCH($B32&amp;$G32&amp;P$5,'Detail inputs'!$B$3:$B$195&amp;'Detail inputs'!$G$3:$G$195&amp;'Detail inputs'!$H$3:$H$195,0),MATCH(P$4,'Detail inputs'!$B$3:$K$3,0)),0)</f>
        <v>0.57443</v>
      </c>
      <c r="Q32" s="128">
        <f t="shared" si="20"/>
        <v>0.37912380000000001</v>
      </c>
      <c r="R32" s="144">
        <f>IFERROR(Q32/Q37,"")</f>
        <v>4.6811686848476043E-3</v>
      </c>
      <c r="S32" s="144"/>
      <c r="T32" s="144"/>
      <c r="U32" s="144"/>
      <c r="V32" s="144"/>
      <c r="W32" s="144"/>
      <c r="X32" s="144"/>
      <c r="Y32" s="144"/>
      <c r="Z32" s="144"/>
      <c r="AA32" s="144"/>
      <c r="AB32" s="144"/>
      <c r="AC32" s="144"/>
      <c r="AD32" s="144"/>
      <c r="AE32" s="144"/>
      <c r="AF32" s="144"/>
      <c r="AG32" s="144"/>
      <c r="AH32" s="144"/>
      <c r="AI32" s="144"/>
      <c r="AJ32" s="144"/>
    </row>
    <row r="33" spans="2:36" x14ac:dyDescent="0.25">
      <c r="B33" s="3" t="str">
        <f t="shared" si="15"/>
        <v>Ausgrid</v>
      </c>
      <c r="C33" s="3" t="str">
        <f t="shared" si="13"/>
        <v>Residential</v>
      </c>
      <c r="D33" s="3" t="str">
        <f t="shared" si="14"/>
        <v>with CL</v>
      </c>
      <c r="E33" s="3" t="s">
        <v>15</v>
      </c>
      <c r="F33" s="131">
        <f t="array" ref="F33">IFERROR(INDEX(Usage!$B$5:$P$18,MATCH($B33,Usage!$B$5:$B$18,0),MATCH($C33&amp;$D33&amp;$E33,Usage!$B$5:$S$5&amp;Usage!$B$6:$S$6&amp;Usage!$B$7:$S$7,0)),0)</f>
        <v>660</v>
      </c>
      <c r="G33" s="3" t="s">
        <v>72</v>
      </c>
      <c r="H33" s="128"/>
      <c r="I33" s="128">
        <f t="array" ref="I33">IFERROR(INDEX('Detail inputs'!$B$3:$K$195,MATCH($B33&amp;$G33&amp;I$5,'Detail inputs'!$B$3:$B$195&amp;'Detail inputs'!$G$3:$G$195&amp;'Detail inputs'!$H$3:$H$195,0),MATCH(I$4,'Detail inputs'!$B$3:$K$3,0)),0)</f>
        <v>0</v>
      </c>
      <c r="J33" s="128">
        <f>IF(AND(H33="",I33=""),"",H33+I33*+Usage!I$36/1000)</f>
        <v>0</v>
      </c>
      <c r="K33" s="144">
        <f>IFERROR(J33/J37,"")</f>
        <v>0</v>
      </c>
      <c r="L33" s="144"/>
      <c r="M33" s="144" t="str">
        <f t="shared" si="16"/>
        <v/>
      </c>
      <c r="N33" s="141"/>
      <c r="O33" s="128"/>
      <c r="P33" s="128">
        <f t="array" ref="P33">IFERROR(INDEX('Detail inputs'!$B$3:$K$195,MATCH($B33&amp;$G33&amp;P$5,'Detail inputs'!$B$3:$B$195&amp;'Detail inputs'!$G$3:$G$195&amp;'Detail inputs'!$H$3:$H$195,0),MATCH(P$4,'Detail inputs'!$B$3:$K$3,0)),0)</f>
        <v>5.2786233739509421E-2</v>
      </c>
      <c r="Q33" s="128">
        <f t="shared" si="20"/>
        <v>3.483891426807622E-2</v>
      </c>
      <c r="R33" s="144">
        <f>IFERROR(Q33/Q37,"")</f>
        <v>4.301677565106933E-4</v>
      </c>
      <c r="S33" s="144"/>
      <c r="T33" s="144"/>
      <c r="U33" s="144"/>
      <c r="V33" s="144"/>
      <c r="W33" s="144"/>
      <c r="X33" s="144"/>
      <c r="Y33" s="144"/>
      <c r="Z33" s="144"/>
      <c r="AA33" s="144"/>
      <c r="AB33" s="144"/>
      <c r="AC33" s="144"/>
      <c r="AD33" s="144"/>
      <c r="AE33" s="144"/>
      <c r="AF33" s="144"/>
      <c r="AG33" s="144"/>
      <c r="AH33" s="144"/>
      <c r="AI33" s="144"/>
      <c r="AJ33" s="144"/>
    </row>
    <row r="34" spans="2:36" x14ac:dyDescent="0.25">
      <c r="B34" s="3" t="str">
        <f t="shared" si="15"/>
        <v>Ausgrid</v>
      </c>
      <c r="C34" s="3" t="str">
        <f t="shared" si="13"/>
        <v>Residential</v>
      </c>
      <c r="D34" s="3" t="str">
        <f t="shared" si="14"/>
        <v>with CL</v>
      </c>
      <c r="E34" s="3" t="s">
        <v>15</v>
      </c>
      <c r="F34" s="131">
        <f t="array" ref="F34">IFERROR(INDEX(Usage!$B$5:$P$18,MATCH($B34,Usage!$B$5:$B$18,0),MATCH($C34&amp;$D34&amp;$E34,Usage!$B$5:$S$5&amp;Usage!$B$6:$S$6&amp;Usage!$B$7:$S$7,0)),0)</f>
        <v>660</v>
      </c>
      <c r="G34" s="3" t="str">
        <f>+G13</f>
        <v>June 2022 Event Cost</v>
      </c>
      <c r="H34" s="128"/>
      <c r="I34" s="128">
        <f t="array" ref="I34">IFERROR(INDEX('Detail inputs'!$B$3:$K$195,MATCH($B34&amp;$G34&amp;I$5,'Detail inputs'!$B$3:$B$195&amp;'Detail inputs'!$G$3:$G$195&amp;'Detail inputs'!$H$3:$H$195,0),MATCH(I$4,'Detail inputs'!$B$3:$K$3,0)),0)</f>
        <v>0</v>
      </c>
      <c r="J34" s="128">
        <f>IF(AND(H34="",I34=""),"",H34+I34*+Usage!I$36/1000)</f>
        <v>0</v>
      </c>
      <c r="K34" s="144">
        <f>IFERROR(J34/J38,"")</f>
        <v>0</v>
      </c>
      <c r="L34" s="144"/>
      <c r="M34" s="144" t="str">
        <f t="shared" ref="M34" si="21">IF(OR(J34=0,Q34=""),"",Q34/J34-1)</f>
        <v/>
      </c>
      <c r="N34" s="141"/>
      <c r="O34" s="128"/>
      <c r="P34" s="128">
        <f t="array" ref="P34">IFERROR(INDEX('Detail inputs'!$B$3:$K$195,MATCH($B34&amp;$G34&amp;P$5,'Detail inputs'!$B$3:$B$195&amp;'Detail inputs'!$G$3:$G$195&amp;'Detail inputs'!$H$3:$H$195,0),MATCH(P$4,'Detail inputs'!$B$3:$K$3,0)),0)</f>
        <v>0.11507709849820914</v>
      </c>
      <c r="Q34" s="128">
        <f t="shared" ref="Q34" si="22">IF(AND(O34="",P34=""),"",O34+P34*$F34/1000)</f>
        <v>7.5950885008818039E-2</v>
      </c>
      <c r="R34" s="144">
        <f>IFERROR(Q34/Q38,"")</f>
        <v>6.9786188417525044E-5</v>
      </c>
      <c r="S34" s="144"/>
      <c r="T34" s="144"/>
      <c r="U34" s="144"/>
      <c r="V34" s="144"/>
      <c r="W34" s="144"/>
      <c r="X34" s="144"/>
      <c r="Y34" s="144"/>
      <c r="Z34" s="144"/>
      <c r="AA34" s="144"/>
      <c r="AB34" s="144"/>
      <c r="AC34" s="144"/>
      <c r="AD34" s="144"/>
      <c r="AE34" s="144"/>
      <c r="AF34" s="144"/>
      <c r="AG34" s="144"/>
      <c r="AH34" s="144"/>
      <c r="AI34" s="144"/>
      <c r="AJ34" s="144"/>
    </row>
    <row r="35" spans="2:36" x14ac:dyDescent="0.25">
      <c r="B35" s="3" t="str">
        <f t="shared" si="15"/>
        <v>Ausgrid</v>
      </c>
      <c r="C35" s="3" t="str">
        <f t="shared" si="13"/>
        <v>Residential</v>
      </c>
      <c r="D35" s="3" t="str">
        <f t="shared" si="14"/>
        <v>with CL</v>
      </c>
      <c r="E35" s="3" t="s">
        <v>15</v>
      </c>
      <c r="F35" s="131">
        <f t="array" ref="F35">IFERROR(INDEX(Usage!$B$5:$P$18,MATCH($B35,Usage!$B$5:$B$18,0),MATCH($C35&amp;$D35&amp;$E35,Usage!$B$5:$S$5&amp;Usage!$B$6:$S$6&amp;Usage!$B$7:$S$7,0)),0)</f>
        <v>660</v>
      </c>
      <c r="G35" s="3" t="s">
        <v>135</v>
      </c>
      <c r="H35" s="128"/>
      <c r="I35" s="128">
        <f t="array" ref="I35">IFERROR(INDEX('Detail inputs'!$B$3:$K$195,MATCH($B35&amp;$G35&amp;I$5,'Detail inputs'!$B$3:$B$195&amp;'Detail inputs'!$G$3:$G$195&amp;'Detail inputs'!$H$3:$H$195,0),MATCH(I$4,'Detail inputs'!$B$3:$K$3,0)),0)</f>
        <v>2.64</v>
      </c>
      <c r="J35" s="128">
        <f>IF(AND(H35="",I35=""),"",H35+I35*+Usage!I$36/1000)</f>
        <v>1.7424000000000002</v>
      </c>
      <c r="K35" s="144">
        <f>IFERROR(J35/J37,"")</f>
        <v>2.4741319662629612E-2</v>
      </c>
      <c r="L35" s="144"/>
      <c r="M35" s="144">
        <f t="shared" si="16"/>
        <v>8.4316600688877363E-2</v>
      </c>
      <c r="N35" s="141"/>
      <c r="O35" s="128"/>
      <c r="P35" s="128">
        <f t="array" ref="P35">IFERROR(INDEX('Detail inputs'!$B$3:$K$195,MATCH($B35&amp;$G35&amp;P$5,'Detail inputs'!$B$3:$B$195&amp;'Detail inputs'!$G$3:$G$195&amp;'Detail inputs'!$H$3:$H$195,0),MATCH(P$4,'Detail inputs'!$B$3:$K$3,0)),0)</f>
        <v>2.8625958258186368</v>
      </c>
      <c r="Q35" s="128">
        <f t="shared" si="20"/>
        <v>1.8893132450403003</v>
      </c>
      <c r="R35" s="144">
        <f>IFERROR(Q35/Q37,"")</f>
        <v>2.3327984153330553E-2</v>
      </c>
      <c r="S35" s="144"/>
      <c r="T35" s="144"/>
      <c r="U35" s="144"/>
      <c r="V35" s="144"/>
      <c r="W35" s="144"/>
      <c r="X35" s="144"/>
      <c r="Y35" s="144"/>
      <c r="Z35" s="144"/>
      <c r="AA35" s="144"/>
      <c r="AB35" s="144"/>
      <c r="AC35" s="144"/>
      <c r="AD35" s="144"/>
      <c r="AE35" s="144"/>
      <c r="AF35" s="144"/>
      <c r="AG35" s="144"/>
      <c r="AH35" s="144"/>
      <c r="AI35" s="144"/>
      <c r="AJ35" s="144"/>
    </row>
    <row r="36" spans="2:36" x14ac:dyDescent="0.25">
      <c r="B36" s="3" t="str">
        <f t="shared" si="15"/>
        <v>Ausgrid</v>
      </c>
      <c r="C36" s="3" t="str">
        <f t="shared" si="13"/>
        <v>Residential</v>
      </c>
      <c r="D36" s="3" t="str">
        <f t="shared" si="14"/>
        <v>with CL</v>
      </c>
      <c r="E36" s="3" t="s">
        <v>15</v>
      </c>
      <c r="F36" s="131">
        <f t="array" ref="F36">IFERROR(INDEX(Usage!$B$5:$P$18,MATCH($B36,Usage!$B$5:$B$18,0),MATCH($C36&amp;$D36&amp;$E36,Usage!$B$5:$S$5&amp;Usage!$B$6:$S$6&amp;Usage!$B$7:$S$7,0)),0)</f>
        <v>660</v>
      </c>
      <c r="G36" s="3" t="s">
        <v>73</v>
      </c>
      <c r="H36" s="128"/>
      <c r="I36" s="128" cm="1">
        <f t="array" ref="I36">IFERROR(INDEX('Detail inputs'!$B$3:$K$195,MATCH($B36&amp;$C36&amp;$E36&amp;$G36&amp;I$5,'Detail inputs'!$B$3:$B$195&amp;'Detail inputs'!$D$3:$D$195&amp;'Detail inputs'!$F$3:$F$195&amp;'Detail inputs'!$G$3:$G$195&amp;'Detail inputs'!$H$3:$H$195,0),MATCH(I$4,'Detail inputs'!$B$3:$K$3,0)),0)*SUM(I30:I35)</f>
        <v>5.081204500000001</v>
      </c>
      <c r="J36" s="128">
        <f>IF(AND(H36="",I36=""),"",H36+I36*+Usage!I$36/1000)</f>
        <v>3.3535949700000005</v>
      </c>
      <c r="K36" s="144">
        <f>IFERROR(J36/J37,"")</f>
        <v>4.7619585153671241E-2</v>
      </c>
      <c r="L36" s="144"/>
      <c r="M36" s="144">
        <f t="shared" si="16"/>
        <v>3.4623304112654019E-2</v>
      </c>
      <c r="N36" s="141"/>
      <c r="O36" s="128"/>
      <c r="P36" s="128" cm="1">
        <f t="array" ref="P36">IFERROR(INDEX('Detail inputs'!$B$3:$K$195,MATCH($B36&amp;$C36&amp;$E36&amp;$G36&amp;P$5,'Detail inputs'!$B$3:$B$195&amp;'Detail inputs'!$D$3:$D$195&amp;'Detail inputs'!$F$3:$F$195&amp;'Detail inputs'!$G$3:$G$195&amp;'Detail inputs'!$H$3:$H$195,0),MATCH(P$4,'Detail inputs'!$B$3:$K$3,0)),0)*SUM(P30:P35)</f>
        <v>5.2571325886620874</v>
      </c>
      <c r="Q36" s="128">
        <f t="shared" si="20"/>
        <v>3.4697075085169775</v>
      </c>
      <c r="R36" s="144">
        <f>IFERROR(Q36/Q37,"")</f>
        <v>4.2841642055841067E-2</v>
      </c>
      <c r="S36" s="144"/>
      <c r="T36" s="144"/>
      <c r="U36" s="144"/>
      <c r="V36" s="144"/>
      <c r="W36" s="144"/>
      <c r="X36" s="144"/>
      <c r="Y36" s="144"/>
      <c r="Z36" s="144"/>
      <c r="AA36" s="144"/>
      <c r="AB36" s="144"/>
      <c r="AC36" s="144"/>
      <c r="AD36" s="144"/>
      <c r="AE36" s="144"/>
      <c r="AF36" s="144"/>
      <c r="AG36" s="144"/>
      <c r="AH36" s="144"/>
      <c r="AI36" s="144"/>
      <c r="AJ36" s="144"/>
    </row>
    <row r="37" spans="2:36" x14ac:dyDescent="0.25">
      <c r="B37" s="3" t="str">
        <f t="shared" si="15"/>
        <v>Ausgrid</v>
      </c>
      <c r="C37" s="3" t="str">
        <f t="shared" si="13"/>
        <v>Residential</v>
      </c>
      <c r="D37" s="3" t="str">
        <f t="shared" si="14"/>
        <v>with CL</v>
      </c>
      <c r="E37" s="3" t="s">
        <v>15</v>
      </c>
      <c r="F37" s="131">
        <f t="array" ref="F37">IFERROR(INDEX(Usage!$B$5:$P$18,MATCH($B37,Usage!$B$5:$B$18,0),MATCH($C37&amp;$D37&amp;$E37,Usage!$B$5:$S$5&amp;Usage!$B$6:$S$6&amp;Usage!$B$7:$S$7,0)),0)</f>
        <v>660</v>
      </c>
      <c r="G37" s="5" t="s">
        <v>55</v>
      </c>
      <c r="H37" s="130"/>
      <c r="I37" s="130">
        <v>106.70409000000001</v>
      </c>
      <c r="J37" s="130">
        <f>IF(AND(H37="",I37=""),"",H37+I37*+Usage!I$36/1000)</f>
        <v>70.424699400000009</v>
      </c>
      <c r="K37" s="145"/>
      <c r="L37" s="152"/>
      <c r="M37" s="145">
        <f t="shared" si="16"/>
        <v>0.15001036766862086</v>
      </c>
      <c r="N37" s="150"/>
      <c r="O37" s="130"/>
      <c r="P37" s="130">
        <f>SUM(P30:P36)</f>
        <v>122.71080977264562</v>
      </c>
      <c r="Q37" s="130">
        <f t="shared" si="20"/>
        <v>80.989134449946107</v>
      </c>
      <c r="R37" s="144"/>
      <c r="S37" s="144"/>
      <c r="T37" s="144"/>
      <c r="U37" s="144"/>
      <c r="V37" s="144"/>
      <c r="W37" s="144"/>
      <c r="X37" s="144"/>
      <c r="Y37" s="144"/>
      <c r="Z37" s="144"/>
      <c r="AA37" s="144"/>
      <c r="AB37" s="144"/>
      <c r="AC37" s="144"/>
      <c r="AD37" s="144"/>
      <c r="AE37" s="144"/>
      <c r="AF37" s="144"/>
      <c r="AG37" s="144"/>
      <c r="AH37" s="144"/>
      <c r="AI37" s="144"/>
      <c r="AJ37" s="144"/>
    </row>
    <row r="38" spans="2:36" x14ac:dyDescent="0.25">
      <c r="B38" s="3" t="str">
        <f t="shared" si="15"/>
        <v>Ausgrid</v>
      </c>
      <c r="C38" s="3" t="str">
        <f t="shared" si="13"/>
        <v>Residential</v>
      </c>
      <c r="D38" s="3" t="str">
        <f t="shared" si="14"/>
        <v>with CL</v>
      </c>
      <c r="E38" s="3" t="s">
        <v>55</v>
      </c>
      <c r="F38" s="131">
        <f t="array" ref="F38">IFERROR(INDEX(Usage!$B$5:$P$18,MATCH($B38,Usage!$B$5:$B$18,0),MATCH($C38&amp;$D38&amp;$E38,Usage!$B$5:$S$5&amp;Usage!$B$6:$S$6&amp;Usage!$B$7:$S$7,0)),0)</f>
        <v>6800</v>
      </c>
      <c r="G38" s="5" t="s">
        <v>55</v>
      </c>
      <c r="H38" s="130"/>
      <c r="I38" s="130"/>
      <c r="J38" s="130">
        <f>J21+J29+J37</f>
        <v>1007.8865905714284</v>
      </c>
      <c r="K38" s="145"/>
      <c r="L38" s="152"/>
      <c r="M38" s="145">
        <f t="shared" si="16"/>
        <v>7.982081033368349E-2</v>
      </c>
      <c r="N38" s="150"/>
      <c r="O38" s="130"/>
      <c r="P38" s="130"/>
      <c r="Q38" s="130">
        <f>Q21+Q29+Q37</f>
        <v>1088.3369149552934</v>
      </c>
      <c r="R38" s="144"/>
      <c r="S38" s="144"/>
      <c r="T38" s="144"/>
      <c r="U38" s="144"/>
      <c r="V38" s="144"/>
      <c r="W38" s="144"/>
      <c r="X38" s="144"/>
      <c r="Y38" s="144"/>
      <c r="Z38" s="144"/>
      <c r="AA38" s="144"/>
      <c r="AB38" s="144"/>
      <c r="AC38" s="144"/>
      <c r="AD38" s="144"/>
      <c r="AE38" s="144"/>
      <c r="AF38" s="144"/>
      <c r="AG38" s="144"/>
      <c r="AH38" s="144"/>
      <c r="AI38" s="144"/>
      <c r="AJ38" s="144"/>
    </row>
    <row r="39" spans="2:36" x14ac:dyDescent="0.25">
      <c r="B39" s="3" t="str">
        <f t="shared" si="15"/>
        <v>Ausgrid</v>
      </c>
      <c r="C39" s="3" t="str">
        <f t="shared" si="13"/>
        <v>Residential</v>
      </c>
      <c r="D39" s="3" t="str">
        <f t="shared" si="14"/>
        <v>with CL</v>
      </c>
      <c r="F39" s="131"/>
      <c r="G39" s="3" t="s">
        <v>38</v>
      </c>
      <c r="H39" s="128"/>
      <c r="I39" s="128"/>
      <c r="J39" s="128">
        <f>J38*GST</f>
        <v>100.78865905714285</v>
      </c>
      <c r="K39" s="144"/>
      <c r="L39" s="151"/>
      <c r="M39" s="144"/>
      <c r="N39" s="149"/>
      <c r="O39" s="128"/>
      <c r="P39" s="256"/>
      <c r="Q39" s="128">
        <f>Q38*GST</f>
        <v>108.83369149552935</v>
      </c>
      <c r="R39" s="145"/>
      <c r="S39" s="145"/>
      <c r="T39" s="145"/>
      <c r="U39" s="145"/>
      <c r="V39" s="145"/>
      <c r="W39" s="145"/>
      <c r="X39" s="145"/>
      <c r="Y39" s="145"/>
      <c r="Z39" s="145"/>
      <c r="AA39" s="145"/>
      <c r="AB39" s="145"/>
      <c r="AC39" s="145"/>
      <c r="AD39" s="145"/>
      <c r="AE39" s="145"/>
      <c r="AF39" s="145"/>
      <c r="AG39" s="145"/>
      <c r="AH39" s="145"/>
      <c r="AI39" s="145"/>
      <c r="AJ39" s="145"/>
    </row>
    <row r="40" spans="2:36" x14ac:dyDescent="0.25">
      <c r="B40" s="3" t="str">
        <f t="shared" si="15"/>
        <v>Ausgrid</v>
      </c>
      <c r="C40" s="3" t="str">
        <f t="shared" si="13"/>
        <v>Residential</v>
      </c>
      <c r="D40" s="3" t="str">
        <f t="shared" si="14"/>
        <v>with CL</v>
      </c>
      <c r="F40" s="131"/>
      <c r="G40" s="5" t="s">
        <v>80</v>
      </c>
      <c r="H40" s="130"/>
      <c r="I40" s="130"/>
      <c r="J40" s="130">
        <f>SUM(J38:J39)</f>
        <v>1108.6752496285712</v>
      </c>
      <c r="K40" s="145"/>
      <c r="L40" s="152"/>
      <c r="M40" s="145">
        <f>IF(OR(J40=0,Q40=""),"",Q40/J40-1)</f>
        <v>7.9820810333683712E-2</v>
      </c>
      <c r="N40" s="150"/>
      <c r="O40" s="130"/>
      <c r="P40" s="130"/>
      <c r="Q40" s="130">
        <f>SUM(Q38:Q39)</f>
        <v>1197.1706064508228</v>
      </c>
      <c r="R40" s="145"/>
      <c r="S40" s="145"/>
      <c r="T40" s="145"/>
      <c r="U40" s="145"/>
      <c r="V40" s="145"/>
      <c r="W40" s="145"/>
      <c r="X40" s="145"/>
      <c r="Y40" s="145"/>
      <c r="Z40" s="145"/>
      <c r="AA40" s="145"/>
      <c r="AB40" s="145"/>
      <c r="AC40" s="145"/>
      <c r="AD40" s="145"/>
      <c r="AE40" s="145"/>
      <c r="AF40" s="145"/>
      <c r="AG40" s="145"/>
      <c r="AH40" s="145"/>
      <c r="AI40" s="145"/>
      <c r="AJ40" s="145"/>
    </row>
    <row r="41" spans="2:36" x14ac:dyDescent="0.25">
      <c r="F41" s="131"/>
      <c r="H41" s="128"/>
      <c r="I41" s="128"/>
      <c r="J41" s="128"/>
      <c r="K41" s="143"/>
      <c r="L41" s="151"/>
      <c r="M41" s="143"/>
      <c r="N41" s="149"/>
      <c r="O41" s="128"/>
      <c r="P41" s="128"/>
      <c r="Q41" s="128"/>
      <c r="R41" s="143"/>
      <c r="S41" s="143"/>
      <c r="T41" s="143"/>
      <c r="U41" s="143"/>
      <c r="V41" s="143"/>
      <c r="W41" s="143"/>
      <c r="X41" s="143"/>
      <c r="Y41" s="143"/>
      <c r="Z41" s="143"/>
      <c r="AA41" s="143"/>
      <c r="AB41" s="143"/>
      <c r="AC41" s="143"/>
      <c r="AD41" s="143"/>
      <c r="AE41" s="143"/>
      <c r="AF41" s="143"/>
      <c r="AG41" s="143"/>
      <c r="AH41" s="143"/>
      <c r="AI41" s="143"/>
      <c r="AJ41" s="143"/>
    </row>
    <row r="42" spans="2:36" x14ac:dyDescent="0.25">
      <c r="B42" s="5" t="s">
        <v>2</v>
      </c>
      <c r="C42" s="5" t="s">
        <v>13</v>
      </c>
      <c r="D42" s="5" t="s">
        <v>127</v>
      </c>
      <c r="F42" s="131"/>
      <c r="H42" s="128"/>
      <c r="I42" s="128"/>
      <c r="J42" s="128"/>
      <c r="K42" s="143"/>
      <c r="L42" s="151"/>
      <c r="M42" s="143"/>
      <c r="N42" s="149"/>
      <c r="O42" s="128"/>
      <c r="P42" s="128"/>
      <c r="Q42" s="128"/>
      <c r="R42" s="143"/>
      <c r="S42" s="143"/>
      <c r="T42" s="143"/>
      <c r="U42" s="143"/>
      <c r="V42" s="143"/>
      <c r="W42" s="143"/>
      <c r="X42" s="143"/>
      <c r="Y42" s="143"/>
      <c r="Z42" s="143"/>
      <c r="AA42" s="143"/>
      <c r="AB42" s="143"/>
      <c r="AC42" s="143"/>
      <c r="AD42" s="143"/>
      <c r="AE42" s="143"/>
      <c r="AF42" s="143"/>
      <c r="AG42" s="143"/>
      <c r="AH42" s="143"/>
      <c r="AI42" s="143"/>
      <c r="AJ42" s="143"/>
    </row>
    <row r="43" spans="2:36" x14ac:dyDescent="0.25">
      <c r="B43" s="3" t="str">
        <f>B42</f>
        <v>Ausgrid</v>
      </c>
      <c r="C43" s="3" t="str">
        <f t="shared" ref="C43:C52" si="23">C42</f>
        <v>Small business</v>
      </c>
      <c r="D43" s="3" t="str">
        <f t="shared" ref="D43:D52" si="24">D42</f>
        <v>without CL</v>
      </c>
      <c r="E43" s="3" t="s">
        <v>19</v>
      </c>
      <c r="F43" s="131">
        <f t="array" ref="F43">IFERROR(INDEX(Usage!$B$5:$P$18,MATCH($B43,Usage!$B$5:$B$18,0),MATCH($C43&amp;$D43&amp;$E43,Usage!$B$5:$S$5&amp;Usage!$B$6:$S$6&amp;Usage!$B$7:$S$7,0)),0)</f>
        <v>10000</v>
      </c>
      <c r="G43" s="3" t="s">
        <v>70</v>
      </c>
      <c r="H43" s="128"/>
      <c r="I43" s="128">
        <f t="array" ref="I43">IFERROR(INDEX('Detail inputs'!$B$3:$K$195,MATCH($B43&amp;$C43&amp;$E43&amp;$G43&amp;I$5,'Detail inputs'!$B$3:$B$195&amp;'Detail inputs'!$D$3:$D$195&amp;'Detail inputs'!$F$3:$F$195&amp;'Detail inputs'!$G$3:$G$195&amp;'Detail inputs'!$H$3:$H$195,0),MATCH(I$4,'Detail inputs'!$B$3:$K$3,0)),0)</f>
        <v>152.72999999999999</v>
      </c>
      <c r="J43" s="128">
        <f>IF(AND(H43="",I43=""),"",H43+I43*+Usage!M$36/1000)</f>
        <v>1527.3</v>
      </c>
      <c r="K43" s="143">
        <f>IFERROR(J43/J50,"")</f>
        <v>0.93023302354206705</v>
      </c>
      <c r="L43" s="143"/>
      <c r="M43" s="143">
        <f t="shared" ref="M43:M50" si="25">IF(OR(J43=0,Q43=""),"",Q43/J43-1)</f>
        <v>5.458979899168459E-2</v>
      </c>
      <c r="N43" s="140"/>
      <c r="O43" s="128"/>
      <c r="P43" s="128">
        <f t="array" ref="P43">IFERROR(INDEX('Detail inputs'!$B$3:$K$195,MATCH($B43&amp;$C43&amp;$E43&amp;$G43&amp;P$5,'Detail inputs'!$B$3:$B$195&amp;'Detail inputs'!$D$3:$D$195&amp;'Detail inputs'!$F$3:$F$195&amp;'Detail inputs'!$G$3:$G$195&amp;'Detail inputs'!$H$3:$H$195,0),MATCH(P$4,'Detail inputs'!$B$3:$K$3,0)),0)</f>
        <v>161.0675</v>
      </c>
      <c r="Q43" s="128">
        <f>IF(AND(O43="",P43=""),"",O43+P43*$F43/1000)</f>
        <v>1610.675</v>
      </c>
      <c r="R43" s="143">
        <f>IFERROR(Q43/Q50,"")</f>
        <v>0.92787665139590059</v>
      </c>
      <c r="S43" s="143"/>
      <c r="T43" s="378"/>
      <c r="U43" s="143"/>
      <c r="V43" s="143"/>
      <c r="W43" s="143"/>
      <c r="X43" s="143"/>
      <c r="Y43" s="143"/>
      <c r="Z43" s="143"/>
      <c r="AA43" s="143"/>
      <c r="AB43" s="143"/>
      <c r="AC43" s="143"/>
      <c r="AD43" s="143"/>
      <c r="AE43" s="143"/>
      <c r="AF43" s="143"/>
      <c r="AG43" s="143"/>
      <c r="AH43" s="143"/>
      <c r="AI43" s="143"/>
      <c r="AJ43" s="143"/>
    </row>
    <row r="44" spans="2:36" x14ac:dyDescent="0.25">
      <c r="B44" s="3" t="str">
        <f t="shared" ref="B44:B52" si="26">B43</f>
        <v>Ausgrid</v>
      </c>
      <c r="C44" s="3" t="str">
        <f t="shared" si="23"/>
        <v>Small business</v>
      </c>
      <c r="D44" s="3" t="str">
        <f t="shared" si="24"/>
        <v>without CL</v>
      </c>
      <c r="E44" s="3" t="s">
        <v>19</v>
      </c>
      <c r="F44" s="131">
        <f t="array" ref="F44">IFERROR(INDEX(Usage!$B$5:$P$18,MATCH($B44,Usage!$B$5:$B$18,0),MATCH($C44&amp;$D44&amp;$E44,Usage!$B$5:$S$5&amp;Usage!$B$6:$S$6&amp;Usage!$B$7:$S$7,0)),0)</f>
        <v>10000</v>
      </c>
      <c r="G44" s="3" t="s">
        <v>71</v>
      </c>
      <c r="H44" s="128"/>
      <c r="I44" s="128">
        <f t="array" ref="I44">IFERROR(INDEX('Detail inputs'!$B$3:$K$195,MATCH($B44&amp;$G44&amp;I$5,'Detail inputs'!$B$3:$B$195&amp;'Detail inputs'!$G$3:$G$195&amp;'Detail inputs'!$H$3:$H$195,0),MATCH(I$4,'Detail inputs'!$B$3:$K$3,0)),0)</f>
        <v>0.25</v>
      </c>
      <c r="J44" s="128">
        <f>IF(AND(H44="",I44=""),"",H44+I44*+Usage!M$36/1000)</f>
        <v>2.5</v>
      </c>
      <c r="K44" s="143">
        <f>IFERROR(J44/J50,"")</f>
        <v>1.5226756752800155E-3</v>
      </c>
      <c r="L44" s="143"/>
      <c r="M44" s="143">
        <f t="shared" si="25"/>
        <v>-0.38484789629124383</v>
      </c>
      <c r="N44" s="140"/>
      <c r="O44" s="128"/>
      <c r="P44" s="128">
        <f t="array" ref="P44">IFERROR(INDEX('Detail inputs'!$B$3:$K$195,MATCH($B44&amp;$G44&amp;P$5,'Detail inputs'!$B$3:$B$195&amp;'Detail inputs'!$G$3:$G$195&amp;'Detail inputs'!$H$3:$H$195,0),MATCH(P$4,'Detail inputs'!$B$3:$K$3,0)),0)</f>
        <v>0.15378802592718904</v>
      </c>
      <c r="Q44" s="128">
        <f t="shared" ref="Q44:Q50" si="27">IF(AND(O44="",P44=""),"",O44+P44*$F44/1000)</f>
        <v>1.5378802592718905</v>
      </c>
      <c r="R44" s="143">
        <f>IFERROR(Q44/Q50,"")</f>
        <v>8.859411024701204E-4</v>
      </c>
      <c r="S44" s="143"/>
      <c r="T44" s="143"/>
      <c r="U44" s="143"/>
      <c r="V44" s="143"/>
      <c r="W44" s="143"/>
      <c r="X44" s="143"/>
      <c r="Y44" s="143"/>
      <c r="Z44" s="143"/>
      <c r="AA44" s="143"/>
      <c r="AB44" s="143"/>
      <c r="AC44" s="143"/>
      <c r="AD44" s="143"/>
      <c r="AE44" s="143"/>
      <c r="AF44" s="143"/>
      <c r="AG44" s="143"/>
      <c r="AH44" s="143"/>
      <c r="AI44" s="143"/>
      <c r="AJ44" s="143"/>
    </row>
    <row r="45" spans="2:36" x14ac:dyDescent="0.25">
      <c r="B45" s="3" t="str">
        <f t="shared" si="26"/>
        <v>Ausgrid</v>
      </c>
      <c r="C45" s="3" t="str">
        <f t="shared" si="23"/>
        <v>Small business</v>
      </c>
      <c r="D45" s="3" t="str">
        <f t="shared" si="24"/>
        <v>without CL</v>
      </c>
      <c r="E45" s="3" t="s">
        <v>19</v>
      </c>
      <c r="F45" s="131">
        <f t="array" ref="F45">IFERROR(INDEX(Usage!$B$5:$P$18,MATCH($B45,Usage!$B$5:$B$18,0),MATCH($C45&amp;$D45&amp;$E45,Usage!$B$5:$S$5&amp;Usage!$B$6:$S$6&amp;Usage!$B$7:$S$7,0)),0)</f>
        <v>10000</v>
      </c>
      <c r="G45" s="3" t="s">
        <v>78</v>
      </c>
      <c r="H45" s="128" cm="1">
        <f t="array" ref="H45">IFERROR(INDEX('Detail inputs'!$B$3:$K$195,MATCH($B45&amp;$G45&amp;H$5,'Detail inputs'!$B$3:$B$195&amp;'Detail inputs'!$G$3:$G$195&amp;'Detail inputs'!$H$3:$H$195,0),MATCH(H$4,'Detail inputs'!$B$3:$K$3,0)),0)*Days/7</f>
        <v>11.905778571428572</v>
      </c>
      <c r="I45" s="128">
        <f t="array" ref="I45">IFERROR(INDEX('Detail inputs'!$B$3:$K$195,MATCH($B45&amp;$G45&amp;I$5,'Detail inputs'!$B$3:$B$195&amp;'Detail inputs'!$G$3:$G$195&amp;'Detail inputs'!$H$3:$H$195,0),MATCH(I$4,'Detail inputs'!$B$3:$K$3,0)),0)</f>
        <v>0.50409000000000004</v>
      </c>
      <c r="J45" s="128">
        <f>IF(AND(H45="",I45=""),"",H45+I45*+Usage!M$36/1000)</f>
        <v>16.946678571428571</v>
      </c>
      <c r="K45" s="143">
        <f>IFERROR(J45/J50,"")</f>
        <v>1.0321718095001348E-2</v>
      </c>
      <c r="L45" s="143"/>
      <c r="M45" s="143">
        <f t="shared" si="25"/>
        <v>0.15536174548729376</v>
      </c>
      <c r="N45" s="140"/>
      <c r="O45" s="128" cm="1">
        <f t="array" ref="O45">IFERROR(INDEX('Detail inputs'!$B$3:$K$195,MATCH($B45&amp;$G45&amp;O$5,'Detail inputs'!$B$3:$B$195&amp;'Detail inputs'!$G$3:$G$195&amp;'Detail inputs'!$H$3:$H$195,0),MATCH(O$4,'Detail inputs'!$B$3:$K$3,0)),0)*Days/7</f>
        <v>13.835244134497829</v>
      </c>
      <c r="P45" s="128">
        <f t="array" ref="P45">IFERROR(INDEX('Detail inputs'!$B$3:$K$195,MATCH($B45&amp;$G45&amp;P$5,'Detail inputs'!$B$3:$B$195&amp;'Detail inputs'!$G$3:$G$195&amp;'Detail inputs'!$H$3:$H$195,0),MATCH(P$4,'Detail inputs'!$B$3:$K$3,0)),0)</f>
        <v>0.57443</v>
      </c>
      <c r="Q45" s="128">
        <f t="shared" si="27"/>
        <v>19.57954413449783</v>
      </c>
      <c r="R45" s="143">
        <f>IFERROR(Q45/Q50,"")</f>
        <v>1.1279371597234758E-2</v>
      </c>
      <c r="S45" s="143"/>
      <c r="T45" s="143"/>
      <c r="U45" s="143"/>
      <c r="V45" s="143"/>
      <c r="W45" s="143"/>
      <c r="X45" s="143"/>
      <c r="Y45" s="143"/>
      <c r="Z45" s="143"/>
      <c r="AA45" s="143"/>
      <c r="AB45" s="143"/>
      <c r="AC45" s="143"/>
      <c r="AD45" s="143"/>
      <c r="AE45" s="143"/>
      <c r="AF45" s="143"/>
      <c r="AG45" s="143"/>
      <c r="AH45" s="143"/>
      <c r="AI45" s="143"/>
      <c r="AJ45" s="143"/>
    </row>
    <row r="46" spans="2:36" x14ac:dyDescent="0.25">
      <c r="B46" s="3" t="str">
        <f t="shared" si="26"/>
        <v>Ausgrid</v>
      </c>
      <c r="C46" s="3" t="str">
        <f t="shared" si="23"/>
        <v>Small business</v>
      </c>
      <c r="D46" s="3" t="str">
        <f t="shared" si="24"/>
        <v>without CL</v>
      </c>
      <c r="E46" s="3" t="s">
        <v>19</v>
      </c>
      <c r="F46" s="131">
        <f t="array" ref="F46">IFERROR(INDEX(Usage!$B$5:$P$18,MATCH($B46,Usage!$B$5:$B$18,0),MATCH($C46&amp;$D46&amp;$E46,Usage!$B$5:$S$5&amp;Usage!$B$6:$S$6&amp;Usage!$B$7:$S$7,0)),0)</f>
        <v>10000</v>
      </c>
      <c r="G46" s="3" t="s">
        <v>72</v>
      </c>
      <c r="H46" s="128"/>
      <c r="I46" s="128">
        <f t="array" ref="I46">IFERROR(INDEX('Detail inputs'!$B$3:$K$195,MATCH($B46&amp;$G46&amp;I$5,'Detail inputs'!$B$3:$B$195&amp;'Detail inputs'!$G$3:$G$195&amp;'Detail inputs'!$H$3:$H$195,0),MATCH(I$4,'Detail inputs'!$B$3:$K$3,0)),0)</f>
        <v>0</v>
      </c>
      <c r="J46" s="128">
        <f>IF(AND(H46="",I46=""),"",H46+I46*+Usage!M$36/1000)</f>
        <v>0</v>
      </c>
      <c r="K46" s="143">
        <f>IFERROR(J46/J50,"")</f>
        <v>0</v>
      </c>
      <c r="L46" s="143"/>
      <c r="M46" s="143" t="str">
        <f t="shared" si="25"/>
        <v/>
      </c>
      <c r="N46" s="140"/>
      <c r="O46" s="128"/>
      <c r="P46" s="128">
        <f t="array" ref="P46">IFERROR(INDEX('Detail inputs'!$B$3:$K$195,MATCH($B46&amp;$G46&amp;P$5,'Detail inputs'!$B$3:$B$195&amp;'Detail inputs'!$G$3:$G$195&amp;'Detail inputs'!$H$3:$H$195,0),MATCH(P$4,'Detail inputs'!$B$3:$K$3,0)),0)</f>
        <v>5.2786233739509421E-2</v>
      </c>
      <c r="Q46" s="128">
        <f t="shared" si="27"/>
        <v>0.52786233739509414</v>
      </c>
      <c r="R46" s="143">
        <f>IFERROR(Q46/Q50,"")</f>
        <v>3.0409060674572649E-4</v>
      </c>
      <c r="S46" s="143"/>
      <c r="T46" s="143"/>
      <c r="U46" s="143"/>
      <c r="V46" s="143"/>
      <c r="W46" s="143"/>
      <c r="X46" s="143"/>
      <c r="Y46" s="143"/>
      <c r="Z46" s="143"/>
      <c r="AA46" s="143"/>
      <c r="AB46" s="143"/>
      <c r="AC46" s="143"/>
      <c r="AD46" s="143"/>
      <c r="AE46" s="143"/>
      <c r="AF46" s="143"/>
      <c r="AG46" s="143"/>
      <c r="AH46" s="143"/>
      <c r="AI46" s="143"/>
      <c r="AJ46" s="143"/>
    </row>
    <row r="47" spans="2:36" x14ac:dyDescent="0.25">
      <c r="B47" s="3" t="str">
        <f t="shared" si="26"/>
        <v>Ausgrid</v>
      </c>
      <c r="C47" s="3" t="str">
        <f t="shared" si="23"/>
        <v>Small business</v>
      </c>
      <c r="D47" s="3" t="str">
        <f t="shared" si="24"/>
        <v>without CL</v>
      </c>
      <c r="E47" s="3" t="s">
        <v>19</v>
      </c>
      <c r="F47" s="131">
        <f t="array" ref="F47">IFERROR(INDEX(Usage!$B$5:$P$18,MATCH($B47,Usage!$B$5:$B$18,0),MATCH($C47&amp;$D47&amp;$E47,Usage!$B$5:$S$5&amp;Usage!$B$6:$S$6&amp;Usage!$B$7:$S$7,0)),0)</f>
        <v>10000</v>
      </c>
      <c r="G47" s="3" t="str">
        <f>+G34</f>
        <v>June 2022 Event Cost</v>
      </c>
      <c r="H47" s="128"/>
      <c r="I47" s="128">
        <f t="array" ref="I47">IFERROR(INDEX('Detail inputs'!$B$3:$K$195,MATCH($B47&amp;$G47&amp;I$5,'Detail inputs'!$B$3:$B$195&amp;'Detail inputs'!$G$3:$G$195&amp;'Detail inputs'!$H$3:$H$195,0),MATCH(I$4,'Detail inputs'!$B$3:$K$3,0)),0)</f>
        <v>0</v>
      </c>
      <c r="J47" s="128">
        <f>IF(AND(H47="",I47=""),"",H47+I47*+Usage!M$36/1000)</f>
        <v>0</v>
      </c>
      <c r="K47" s="143">
        <f>IFERROR(J47/J51,"")</f>
        <v>0</v>
      </c>
      <c r="L47" s="143"/>
      <c r="M47" s="143" t="str">
        <f t="shared" ref="M47" si="28">IF(OR(J47=0,Q47=""),"",Q47/J47-1)</f>
        <v/>
      </c>
      <c r="N47" s="140"/>
      <c r="O47" s="128"/>
      <c r="P47" s="128">
        <f t="array" ref="P47">IFERROR(INDEX('Detail inputs'!$B$3:$K$195,MATCH($B47&amp;$G47&amp;P$5,'Detail inputs'!$B$3:$B$195&amp;'Detail inputs'!$G$3:$G$195&amp;'Detail inputs'!$H$3:$H$195,0),MATCH(P$4,'Detail inputs'!$B$3:$K$3,0)),0)</f>
        <v>0.11507709849820914</v>
      </c>
      <c r="Q47" s="128">
        <f t="shared" ref="Q47" si="29">IF(AND(O47="",P47=""),"",O47+P47*$F47/1000)</f>
        <v>1.1507709849820915</v>
      </c>
      <c r="R47" s="143">
        <f>IFERROR(Q47/Q51,"")</f>
        <v>6.6293543270290111E-3</v>
      </c>
      <c r="S47" s="143"/>
      <c r="T47" s="143"/>
      <c r="U47" s="143"/>
      <c r="V47" s="143"/>
      <c r="W47" s="143"/>
      <c r="X47" s="143"/>
      <c r="Y47" s="143"/>
      <c r="Z47" s="143"/>
      <c r="AA47" s="143"/>
      <c r="AB47" s="143"/>
      <c r="AC47" s="143"/>
      <c r="AD47" s="143"/>
      <c r="AE47" s="143"/>
      <c r="AF47" s="143"/>
      <c r="AG47" s="143"/>
      <c r="AH47" s="143"/>
      <c r="AI47" s="143"/>
      <c r="AJ47" s="143"/>
    </row>
    <row r="48" spans="2:36" x14ac:dyDescent="0.25">
      <c r="B48" s="3" t="str">
        <f t="shared" si="26"/>
        <v>Ausgrid</v>
      </c>
      <c r="C48" s="3" t="str">
        <f t="shared" si="23"/>
        <v>Small business</v>
      </c>
      <c r="D48" s="3" t="str">
        <f t="shared" si="24"/>
        <v>without CL</v>
      </c>
      <c r="E48" s="3" t="s">
        <v>19</v>
      </c>
      <c r="F48" s="131">
        <f t="array" ref="F48">IFERROR(INDEX(Usage!$B$5:$P$18,MATCH($B48,Usage!$B$5:$B$18,0),MATCH($C48&amp;$D48&amp;$E48,Usage!$B$5:$S$5&amp;Usage!$B$6:$S$6&amp;Usage!$B$7:$S$7,0)),0)</f>
        <v>10000</v>
      </c>
      <c r="G48" s="3" t="s">
        <v>135</v>
      </c>
      <c r="H48" s="128"/>
      <c r="I48" s="128">
        <f t="array" ref="I48">IFERROR(INDEX('Detail inputs'!$B$3:$K$195,MATCH($B48&amp;$G48&amp;I$5,'Detail inputs'!$B$3:$B$195&amp;'Detail inputs'!$G$3:$G$195&amp;'Detail inputs'!$H$3:$H$195,0),MATCH(I$4,'Detail inputs'!$B$3:$K$3,0)),0)</f>
        <v>2.64</v>
      </c>
      <c r="J48" s="128">
        <f>IF(AND(H48="",I48=""),"",H48+I48*+Usage!M$36/1000)</f>
        <v>26.4</v>
      </c>
      <c r="K48" s="143">
        <f>IFERROR(J48/J50,"")</f>
        <v>1.6079455130956963E-2</v>
      </c>
      <c r="L48" s="143"/>
      <c r="M48" s="143">
        <f t="shared" si="25"/>
        <v>8.4316600688877585E-2</v>
      </c>
      <c r="N48" s="140"/>
      <c r="O48" s="128"/>
      <c r="P48" s="128">
        <f t="array" ref="P48">IFERROR(INDEX('Detail inputs'!$B$3:$K$195,MATCH($B48&amp;$G48&amp;P$5,'Detail inputs'!$B$3:$B$195&amp;'Detail inputs'!$G$3:$G$195&amp;'Detail inputs'!$H$3:$H$195,0),MATCH(P$4,'Detail inputs'!$B$3:$K$3,0)),0)</f>
        <v>2.8625958258186368</v>
      </c>
      <c r="Q48" s="128">
        <f t="shared" si="27"/>
        <v>28.625958258186369</v>
      </c>
      <c r="R48" s="143">
        <f>IFERROR(Q48/Q50,"")</f>
        <v>1.6490824214447232E-2</v>
      </c>
      <c r="S48" s="143"/>
      <c r="T48" s="143"/>
      <c r="U48" s="143"/>
      <c r="V48" s="143"/>
      <c r="W48" s="143"/>
      <c r="X48" s="143"/>
      <c r="Y48" s="143"/>
      <c r="Z48" s="143"/>
      <c r="AA48" s="143"/>
      <c r="AB48" s="143"/>
      <c r="AC48" s="143"/>
      <c r="AD48" s="143"/>
      <c r="AE48" s="143"/>
      <c r="AF48" s="143"/>
      <c r="AG48" s="143"/>
      <c r="AH48" s="143"/>
      <c r="AI48" s="143"/>
      <c r="AJ48" s="143"/>
    </row>
    <row r="49" spans="2:36" x14ac:dyDescent="0.25">
      <c r="B49" s="3" t="str">
        <f t="shared" si="26"/>
        <v>Ausgrid</v>
      </c>
      <c r="C49" s="3" t="str">
        <f t="shared" si="23"/>
        <v>Small business</v>
      </c>
      <c r="D49" s="3" t="str">
        <f t="shared" si="24"/>
        <v>without CL</v>
      </c>
      <c r="E49" s="3" t="s">
        <v>19</v>
      </c>
      <c r="F49" s="131">
        <f t="array" ref="F49">IFERROR(INDEX(Usage!$B$5:$P$18,MATCH($B49,Usage!$B$5:$B$18,0),MATCH($C49&amp;$D49&amp;$E49,Usage!$B$5:$S$5&amp;Usage!$B$6:$S$6&amp;Usage!$B$7:$S$7,0)),0)</f>
        <v>10000</v>
      </c>
      <c r="G49" s="3" t="s">
        <v>73</v>
      </c>
      <c r="H49" s="128"/>
      <c r="I49" s="128" cm="1">
        <f t="array" ref="I49">IFERROR(INDEX('Detail inputs'!$B$3:$K$195,MATCH($B49&amp;$C49&amp;$E49&amp;$G49&amp;I$5,'Detail inputs'!$B$3:$B$195&amp;'Detail inputs'!$D$3:$D$195&amp;'Detail inputs'!$F$3:$F$195&amp;'Detail inputs'!$G$3:$G$195&amp;'Detail inputs'!$H$3:$H$195,0),MATCH(I$4,'Detail inputs'!$B$3:$K$3,0)),0)*SUM(I43:I48)</f>
        <v>6.8694599599999986</v>
      </c>
      <c r="J49" s="128">
        <f>IF(AND(H49="",I49=""),"",H49+I49*+Usage!M$36/1000)</f>
        <v>68.694599599999989</v>
      </c>
      <c r="K49" s="143">
        <f>IFERROR(J49/J50,"")</f>
        <v>4.1839838333608111E-2</v>
      </c>
      <c r="L49" s="143"/>
      <c r="M49" s="143">
        <f t="shared" si="25"/>
        <v>7.3954549241049605E-2</v>
      </c>
      <c r="N49" s="140"/>
      <c r="O49" s="128"/>
      <c r="P49" s="128" cm="1">
        <f t="array" ref="P49">IFERROR(INDEX('Detail inputs'!$B$3:$K$195,MATCH($B49&amp;$C49&amp;$E49&amp;$G49&amp;P$5,'Detail inputs'!$B$3:$B$195&amp;'Detail inputs'!$D$3:$D$195&amp;'Detail inputs'!$F$3:$F$195&amp;'Detail inputs'!$G$3:$G$195&amp;'Detail inputs'!$H$3:$H$195,0),MATCH(P$4,'Detail inputs'!$B$3:$K$3,0)),0)*SUM(P43:P48)</f>
        <v>7.3774877748712369</v>
      </c>
      <c r="Q49" s="128">
        <f t="shared" si="27"/>
        <v>73.77487774871237</v>
      </c>
      <c r="R49" s="143">
        <f>IFERROR(Q49/Q50,"")</f>
        <v>4.250018565049881E-2</v>
      </c>
      <c r="S49" s="143"/>
      <c r="T49" s="143"/>
      <c r="U49" s="143"/>
      <c r="V49" s="143"/>
      <c r="W49" s="143"/>
      <c r="X49" s="143"/>
      <c r="Y49" s="143"/>
      <c r="Z49" s="143"/>
      <c r="AA49" s="143"/>
      <c r="AB49" s="143"/>
      <c r="AC49" s="143"/>
      <c r="AD49" s="143"/>
      <c r="AE49" s="143"/>
      <c r="AF49" s="143"/>
      <c r="AG49" s="143"/>
      <c r="AH49" s="143"/>
      <c r="AI49" s="143"/>
      <c r="AJ49" s="143"/>
    </row>
    <row r="50" spans="2:36" x14ac:dyDescent="0.25">
      <c r="B50" s="3" t="str">
        <f t="shared" si="26"/>
        <v>Ausgrid</v>
      </c>
      <c r="C50" s="3" t="str">
        <f t="shared" si="23"/>
        <v>Small business</v>
      </c>
      <c r="D50" s="3" t="str">
        <f t="shared" si="24"/>
        <v>without CL</v>
      </c>
      <c r="E50" s="3" t="s">
        <v>19</v>
      </c>
      <c r="F50" s="131">
        <f t="array" ref="F50">IFERROR(INDEX(Usage!$B$5:$P$18,MATCH($B50,Usage!$B$5:$B$18,0),MATCH($C50&amp;$D50&amp;$E50,Usage!$B$5:$S$5&amp;Usage!$B$6:$S$6&amp;Usage!$B$7:$S$7,0)),0)</f>
        <v>10000</v>
      </c>
      <c r="G50" s="5" t="s">
        <v>55</v>
      </c>
      <c r="H50" s="130">
        <f>SUM(H45:H49)</f>
        <v>11.905778571428572</v>
      </c>
      <c r="I50" s="130">
        <v>162.99408999999997</v>
      </c>
      <c r="J50" s="130">
        <f>IF(AND(H50="",I50=""),"",H50+I50*+Usage!M$36/1000)</f>
        <v>1641.8466785714281</v>
      </c>
      <c r="K50" s="145"/>
      <c r="L50" s="152"/>
      <c r="M50" s="145">
        <f t="shared" si="25"/>
        <v>5.7267963189735038E-2</v>
      </c>
      <c r="N50" s="150"/>
      <c r="O50" s="130">
        <f>SUM(O45:O49)</f>
        <v>13.835244134497829</v>
      </c>
      <c r="P50" s="130">
        <f>SUM(P43:P49)</f>
        <v>172.20366495885477</v>
      </c>
      <c r="Q50" s="130">
        <f t="shared" si="27"/>
        <v>1735.8718937230453</v>
      </c>
      <c r="R50" s="144"/>
      <c r="S50" s="144"/>
      <c r="T50" s="144"/>
      <c r="U50" s="144"/>
      <c r="V50" s="144"/>
      <c r="W50" s="144"/>
      <c r="X50" s="144"/>
      <c r="Y50" s="144"/>
      <c r="Z50" s="144"/>
      <c r="AA50" s="144"/>
      <c r="AB50" s="144"/>
      <c r="AC50" s="144"/>
      <c r="AD50" s="144"/>
      <c r="AE50" s="144"/>
      <c r="AF50" s="144"/>
      <c r="AG50" s="144"/>
      <c r="AH50" s="144"/>
      <c r="AI50" s="144"/>
      <c r="AJ50" s="144"/>
    </row>
    <row r="51" spans="2:36" x14ac:dyDescent="0.25">
      <c r="B51" s="3" t="str">
        <f t="shared" si="26"/>
        <v>Ausgrid</v>
      </c>
      <c r="C51" s="3" t="str">
        <f t="shared" si="23"/>
        <v>Small business</v>
      </c>
      <c r="D51" s="3" t="str">
        <f t="shared" si="24"/>
        <v>without CL</v>
      </c>
      <c r="F51" s="131"/>
      <c r="G51" s="3" t="s">
        <v>38</v>
      </c>
      <c r="H51" s="128"/>
      <c r="I51" s="128"/>
      <c r="J51" s="128">
        <f>J50*GST</f>
        <v>164.18466785714281</v>
      </c>
      <c r="K51" s="144"/>
      <c r="L51" s="151"/>
      <c r="M51" s="144"/>
      <c r="N51" s="149"/>
      <c r="O51" s="128"/>
      <c r="P51" s="128"/>
      <c r="Q51" s="128">
        <f>Q50*GST</f>
        <v>173.58718937230455</v>
      </c>
      <c r="R51" s="143"/>
      <c r="S51" s="143"/>
      <c r="T51" s="143"/>
      <c r="U51" s="143"/>
      <c r="V51" s="143"/>
      <c r="W51" s="143"/>
      <c r="X51" s="143"/>
      <c r="Y51" s="143"/>
      <c r="Z51" s="143"/>
      <c r="AA51" s="143"/>
      <c r="AB51" s="143"/>
      <c r="AC51" s="143"/>
      <c r="AD51" s="143"/>
      <c r="AE51" s="143"/>
      <c r="AF51" s="143"/>
      <c r="AG51" s="143"/>
      <c r="AH51" s="143"/>
      <c r="AI51" s="143"/>
      <c r="AJ51" s="143"/>
    </row>
    <row r="52" spans="2:36" x14ac:dyDescent="0.25">
      <c r="B52" s="3" t="str">
        <f t="shared" si="26"/>
        <v>Ausgrid</v>
      </c>
      <c r="C52" s="3" t="str">
        <f t="shared" si="23"/>
        <v>Small business</v>
      </c>
      <c r="D52" s="3" t="str">
        <f t="shared" si="24"/>
        <v>without CL</v>
      </c>
      <c r="F52" s="131"/>
      <c r="G52" s="5" t="s">
        <v>80</v>
      </c>
      <c r="H52" s="130"/>
      <c r="I52" s="130"/>
      <c r="J52" s="130">
        <f>SUM(J50:J51)</f>
        <v>1806.0313464285709</v>
      </c>
      <c r="K52" s="145"/>
      <c r="L52" s="152"/>
      <c r="M52" s="145">
        <f>IF(OR(J52=0,Q52=""),"",Q52/J52-1)</f>
        <v>5.7267963189735038E-2</v>
      </c>
      <c r="N52" s="150"/>
      <c r="O52" s="130"/>
      <c r="P52" s="130"/>
      <c r="Q52" s="130">
        <f>SUM(Q50:Q51)</f>
        <v>1909.4590830953498</v>
      </c>
      <c r="R52" s="143"/>
      <c r="S52" s="143"/>
      <c r="T52" s="143"/>
      <c r="U52" s="143"/>
      <c r="V52" s="143"/>
      <c r="W52" s="143"/>
      <c r="X52" s="143"/>
      <c r="Y52" s="143"/>
      <c r="Z52" s="143"/>
      <c r="AA52" s="143"/>
      <c r="AB52" s="143"/>
      <c r="AC52" s="143"/>
      <c r="AD52" s="143"/>
      <c r="AE52" s="143"/>
      <c r="AF52" s="143"/>
      <c r="AG52" s="143"/>
      <c r="AH52" s="143"/>
      <c r="AI52" s="143"/>
      <c r="AJ52" s="143"/>
    </row>
    <row r="53" spans="2:36" x14ac:dyDescent="0.25">
      <c r="F53" s="131"/>
      <c r="H53" s="128"/>
      <c r="I53" s="128"/>
      <c r="J53" s="128"/>
      <c r="K53" s="143"/>
      <c r="L53" s="151"/>
      <c r="M53" s="143"/>
      <c r="N53" s="149"/>
      <c r="O53" s="128"/>
      <c r="P53" s="128"/>
      <c r="Q53" s="128"/>
      <c r="R53" s="143"/>
      <c r="S53" s="143"/>
      <c r="T53" s="143"/>
      <c r="U53" s="143"/>
      <c r="V53" s="143"/>
      <c r="W53" s="143"/>
      <c r="X53" s="143"/>
      <c r="Y53" s="143"/>
      <c r="Z53" s="143"/>
      <c r="AA53" s="143"/>
      <c r="AB53" s="143"/>
      <c r="AC53" s="143"/>
      <c r="AD53" s="143"/>
      <c r="AE53" s="143"/>
      <c r="AF53" s="143"/>
      <c r="AG53" s="143"/>
      <c r="AH53" s="143"/>
      <c r="AI53" s="143"/>
      <c r="AJ53" s="143"/>
    </row>
    <row r="54" spans="2:36" x14ac:dyDescent="0.25">
      <c r="B54" s="5" t="s">
        <v>4</v>
      </c>
      <c r="C54" s="5" t="s">
        <v>6</v>
      </c>
      <c r="D54" s="5" t="s">
        <v>127</v>
      </c>
      <c r="F54" s="131"/>
      <c r="H54" s="128"/>
      <c r="I54" s="128"/>
      <c r="J54" s="128"/>
      <c r="K54" s="143"/>
      <c r="L54" s="151"/>
      <c r="M54" s="143"/>
      <c r="N54" s="149"/>
      <c r="O54" s="128"/>
      <c r="P54" s="128"/>
      <c r="Q54" s="128"/>
      <c r="R54" s="143"/>
      <c r="S54" s="143"/>
      <c r="T54" s="143"/>
      <c r="U54" s="143"/>
      <c r="V54" s="143"/>
      <c r="W54" s="143"/>
      <c r="X54" s="143"/>
      <c r="Y54" s="143"/>
      <c r="Z54" s="143"/>
      <c r="AA54" s="143"/>
      <c r="AB54" s="143"/>
      <c r="AC54" s="143"/>
      <c r="AD54" s="143"/>
      <c r="AE54" s="143"/>
      <c r="AF54" s="143"/>
      <c r="AG54" s="143"/>
      <c r="AH54" s="143"/>
      <c r="AI54" s="143"/>
      <c r="AJ54" s="143"/>
    </row>
    <row r="55" spans="2:36" x14ac:dyDescent="0.25">
      <c r="B55" s="3" t="str">
        <f>B54</f>
        <v>Endeavour</v>
      </c>
      <c r="C55" s="3" t="str">
        <f t="shared" ref="C55:C64" si="30">C54</f>
        <v>Residential</v>
      </c>
      <c r="D55" s="3" t="str">
        <f t="shared" ref="D55:D64" si="31">D54</f>
        <v>without CL</v>
      </c>
      <c r="E55" s="3" t="s">
        <v>19</v>
      </c>
      <c r="F55" s="131">
        <f t="array" ref="F55">IFERROR(INDEX(Usage!$B$5:$P$18,MATCH($B55,Usage!$B$5:$B$18,0),MATCH($C55&amp;$D55&amp;$E55&amp;"Total",Usage!$B$5:$S$5&amp;Usage!$B$6:$S$6&amp;Usage!$B$7:$S$7&amp;Usage!$B$13:$S$13,0)),0)</f>
        <v>4900</v>
      </c>
      <c r="G55" s="3" t="s">
        <v>70</v>
      </c>
      <c r="H55" s="128"/>
      <c r="I55" s="128">
        <f t="array" ref="I55">IFERROR(INDEX('Detail inputs'!$B$3:$K$195,MATCH($B55&amp;$C55&amp;$E55&amp;$G55&amp;I$5,'Detail inputs'!$B$3:$B$195&amp;'Detail inputs'!$D$3:$D$195&amp;'Detail inputs'!$F$3:$F$195&amp;'Detail inputs'!$G$3:$G$195&amp;'Detail inputs'!$H$3:$H$195,0),MATCH(I$4,'Detail inputs'!$B$3:$K$3,0)),0)</f>
        <v>161.28</v>
      </c>
      <c r="J55" s="128">
        <f>IF(AND(H55="",I55=""),"",H55+I55*+Usage!C$37/1000)</f>
        <v>790.27200000000005</v>
      </c>
      <c r="K55" s="143">
        <f>IFERROR(J55/J62,"")</f>
        <v>0.91566730920420514</v>
      </c>
      <c r="L55" s="143"/>
      <c r="M55" s="143">
        <f t="shared" ref="M55:M62" si="32">IF(OR(J55=0,Q55=""),"",Q55/J55-1)</f>
        <v>3.8364955357142794E-2</v>
      </c>
      <c r="N55" s="140"/>
      <c r="O55" s="128"/>
      <c r="P55" s="128">
        <f t="array" ref="P55">IFERROR(INDEX('Detail inputs'!$B$3:$K$195,MATCH($B55&amp;$C55&amp;$E55&amp;$G55&amp;P$5,'Detail inputs'!$B$3:$B$195&amp;'Detail inputs'!$D$3:$D$195&amp;'Detail inputs'!$F$3:$F$195&amp;'Detail inputs'!$G$3:$G$195&amp;'Detail inputs'!$H$3:$H$195,0),MATCH(P$4,'Detail inputs'!$B$3:$K$3,0)),0)</f>
        <v>167.4675</v>
      </c>
      <c r="Q55" s="128">
        <f>IF(AND(O55="",P55=""),"",O55+P55*$F55/1000)</f>
        <v>820.59074999999996</v>
      </c>
      <c r="R55" s="143">
        <f>IFERROR(Q55/Q62,"")</f>
        <v>0.9040412226399368</v>
      </c>
      <c r="S55" s="143"/>
      <c r="T55" s="378"/>
      <c r="U55" s="143"/>
      <c r="V55" s="143"/>
      <c r="W55" s="143"/>
      <c r="X55" s="143"/>
      <c r="Y55" s="143"/>
      <c r="Z55" s="143"/>
      <c r="AA55" s="143"/>
      <c r="AB55" s="143"/>
      <c r="AC55" s="143"/>
      <c r="AD55" s="143"/>
      <c r="AE55" s="143"/>
      <c r="AF55" s="143"/>
      <c r="AG55" s="143"/>
      <c r="AH55" s="143"/>
      <c r="AI55" s="143"/>
      <c r="AJ55" s="143"/>
    </row>
    <row r="56" spans="2:36" x14ac:dyDescent="0.25">
      <c r="B56" s="3" t="str">
        <f t="shared" ref="B56:B64" si="33">B55</f>
        <v>Endeavour</v>
      </c>
      <c r="C56" s="3" t="str">
        <f t="shared" si="30"/>
        <v>Residential</v>
      </c>
      <c r="D56" s="3" t="str">
        <f t="shared" si="31"/>
        <v>without CL</v>
      </c>
      <c r="E56" s="3" t="s">
        <v>19</v>
      </c>
      <c r="F56" s="131">
        <f t="array" ref="F56">IFERROR(INDEX(Usage!$B$5:$P$18,MATCH($B56,Usage!$B$5:$B$18,0),MATCH($C56&amp;$D56&amp;$E56&amp;"Total",Usage!$B$5:$S$5&amp;Usage!$B$6:$S$6&amp;Usage!$B$7:$S$7&amp;Usage!$B$13:$S$13,0)),0)</f>
        <v>4900</v>
      </c>
      <c r="G56" s="3" t="s">
        <v>71</v>
      </c>
      <c r="H56" s="128"/>
      <c r="I56" s="128">
        <f t="array" ref="I56">IFERROR(INDEX('Detail inputs'!$B$3:$K$195,MATCH($B56&amp;$G56&amp;I$5,'Detail inputs'!$B$3:$B$195&amp;'Detail inputs'!$G$3:$G$195&amp;'Detail inputs'!$H$3:$H$195,0),MATCH(I$4,'Detail inputs'!$B$3:$K$3,0)),0)</f>
        <v>0.25</v>
      </c>
      <c r="J56" s="128">
        <f>IF(AND(H56="",I56=""),"",H56+I56*+Usage!C$37/1000)</f>
        <v>1.2250000000000001</v>
      </c>
      <c r="K56" s="143">
        <f>IFERROR(J56/J62,"")</f>
        <v>1.4193751692773517E-3</v>
      </c>
      <c r="L56" s="143"/>
      <c r="M56" s="143">
        <f t="shared" si="32"/>
        <v>-0.38484789629124383</v>
      </c>
      <c r="N56" s="140"/>
      <c r="O56" s="128"/>
      <c r="P56" s="128">
        <f t="array" ref="P56">IFERROR(INDEX('Detail inputs'!$B$3:$K$195,MATCH($B56&amp;$G56&amp;P$5,'Detail inputs'!$B$3:$B$195&amp;'Detail inputs'!$G$3:$G$195&amp;'Detail inputs'!$H$3:$H$195,0),MATCH(P$4,'Detail inputs'!$B$3:$K$3,0)),0)</f>
        <v>0.15378802592718904</v>
      </c>
      <c r="Q56" s="128">
        <f t="shared" ref="Q56:Q62" si="34">IF(AND(O56="",P56=""),"",O56+P56*$F56/1000)</f>
        <v>0.75356132704322631</v>
      </c>
      <c r="R56" s="143">
        <f>IFERROR(Q56/Q62,"")</f>
        <v>8.3019520197410415E-4</v>
      </c>
      <c r="S56" s="143"/>
      <c r="T56" s="143"/>
      <c r="U56" s="143"/>
      <c r="V56" s="143"/>
      <c r="W56" s="143"/>
      <c r="X56" s="143"/>
      <c r="Y56" s="143"/>
      <c r="Z56" s="143"/>
      <c r="AA56" s="143"/>
      <c r="AB56" s="143"/>
      <c r="AC56" s="143"/>
      <c r="AD56" s="143"/>
      <c r="AE56" s="143"/>
      <c r="AF56" s="143"/>
      <c r="AG56" s="143"/>
      <c r="AH56" s="143"/>
      <c r="AI56" s="143"/>
      <c r="AJ56" s="143"/>
    </row>
    <row r="57" spans="2:36" x14ac:dyDescent="0.25">
      <c r="B57" s="3" t="str">
        <f t="shared" si="33"/>
        <v>Endeavour</v>
      </c>
      <c r="C57" s="3" t="str">
        <f t="shared" si="30"/>
        <v>Residential</v>
      </c>
      <c r="D57" s="3" t="str">
        <f t="shared" si="31"/>
        <v>without CL</v>
      </c>
      <c r="E57" s="3" t="s">
        <v>19</v>
      </c>
      <c r="F57" s="131">
        <f t="array" ref="F57">IFERROR(INDEX(Usage!$B$5:$P$18,MATCH($B57,Usage!$B$5:$B$18,0),MATCH($C57&amp;$D57&amp;$E57&amp;"Total",Usage!$B$5:$S$5&amp;Usage!$B$6:$S$6&amp;Usage!$B$7:$S$7&amp;Usage!$B$13:$S$13,0)),0)</f>
        <v>4900</v>
      </c>
      <c r="G57" s="3" t="s">
        <v>78</v>
      </c>
      <c r="H57" s="128" cm="1">
        <f t="array" ref="H57">IFERROR(INDEX('Detail inputs'!$B$3:$K$195,MATCH($B57&amp;$G57&amp;H$5,'Detail inputs'!$B$3:$B$195&amp;'Detail inputs'!$G$3:$G$195&amp;'Detail inputs'!$H$3:$H$195,0),MATCH(H$4,'Detail inputs'!$B$3:$K$3,0)),0)*Days/7</f>
        <v>11.905778571428572</v>
      </c>
      <c r="I57" s="128">
        <f t="array" ref="I57">IFERROR(INDEX('Detail inputs'!$B$3:$K$195,MATCH($B57&amp;$G57&amp;I$5,'Detail inputs'!$B$3:$B$195&amp;'Detail inputs'!$G$3:$G$195&amp;'Detail inputs'!$H$3:$H$195,0),MATCH(I$4,'Detail inputs'!$B$3:$K$3,0)),0)</f>
        <v>0.50409000000000004</v>
      </c>
      <c r="J57" s="128">
        <f>IF(AND(H57="",I57=""),"",H57+I57*+Usage!C$37/1000)</f>
        <v>14.375819571428572</v>
      </c>
      <c r="K57" s="143">
        <f>IFERROR(J57/J62,"")</f>
        <v>1.6656882724650688E-2</v>
      </c>
      <c r="L57" s="143"/>
      <c r="M57" s="143">
        <f t="shared" si="32"/>
        <v>0.15819143748778064</v>
      </c>
      <c r="N57" s="140"/>
      <c r="O57" s="128" cm="1">
        <f t="array" ref="O57">IFERROR(INDEX('Detail inputs'!$B$3:$K$195,MATCH($B57&amp;$G57&amp;O$5,'Detail inputs'!$B$3:$B$195&amp;'Detail inputs'!$G$3:$G$195&amp;'Detail inputs'!$H$3:$H$195,0),MATCH(O$4,'Detail inputs'!$B$3:$K$3,0)),0)*Days/7</f>
        <v>13.835244134497829</v>
      </c>
      <c r="P57" s="128">
        <f t="array" ref="P57">IFERROR(INDEX('Detail inputs'!$B$3:$K$195,MATCH($B57&amp;$G57&amp;P$5,'Detail inputs'!$B$3:$B$195&amp;'Detail inputs'!$G$3:$G$195&amp;'Detail inputs'!$H$3:$H$195,0),MATCH(P$4,'Detail inputs'!$B$3:$K$3,0)),0)</f>
        <v>0.57443</v>
      </c>
      <c r="Q57" s="128">
        <f t="shared" si="34"/>
        <v>16.649951134497829</v>
      </c>
      <c r="R57" s="143">
        <f>IFERROR(Q57/Q62,"")</f>
        <v>1.834317798552643E-2</v>
      </c>
      <c r="S57" s="143"/>
      <c r="T57" s="143"/>
      <c r="U57" s="143"/>
      <c r="V57" s="143"/>
      <c r="W57" s="143"/>
      <c r="X57" s="143"/>
      <c r="Y57" s="143"/>
      <c r="Z57" s="143"/>
      <c r="AA57" s="143"/>
      <c r="AB57" s="143"/>
      <c r="AC57" s="143"/>
      <c r="AD57" s="143"/>
      <c r="AE57" s="143"/>
      <c r="AF57" s="143"/>
      <c r="AG57" s="143"/>
      <c r="AH57" s="143"/>
      <c r="AI57" s="143"/>
      <c r="AJ57" s="143"/>
    </row>
    <row r="58" spans="2:36" x14ac:dyDescent="0.25">
      <c r="B58" s="3" t="str">
        <f t="shared" si="33"/>
        <v>Endeavour</v>
      </c>
      <c r="C58" s="3" t="str">
        <f t="shared" si="30"/>
        <v>Residential</v>
      </c>
      <c r="D58" s="3" t="str">
        <f t="shared" si="31"/>
        <v>without CL</v>
      </c>
      <c r="E58" s="3" t="s">
        <v>19</v>
      </c>
      <c r="F58" s="131">
        <f t="array" ref="F58">IFERROR(INDEX(Usage!$B$5:$P$18,MATCH($B58,Usage!$B$5:$B$18,0),MATCH($C58&amp;$D58&amp;$E58&amp;"Total",Usage!$B$5:$S$5&amp;Usage!$B$6:$S$6&amp;Usage!$B$7:$S$7&amp;Usage!$B$13:$S$13,0)),0)</f>
        <v>4900</v>
      </c>
      <c r="G58" s="3" t="s">
        <v>72</v>
      </c>
      <c r="H58" s="128"/>
      <c r="I58" s="128">
        <f t="array" ref="I58">IFERROR(INDEX('Detail inputs'!$B$3:$K$195,MATCH($B58&amp;$G58&amp;I$5,'Detail inputs'!$B$3:$B$195&amp;'Detail inputs'!$G$3:$G$195&amp;'Detail inputs'!$H$3:$H$195,0),MATCH(I$4,'Detail inputs'!$B$3:$K$3,0)),0)</f>
        <v>0</v>
      </c>
      <c r="J58" s="128">
        <f>IF(AND(H58="",I58=""),"",H58+I58*+Usage!C$37/1000)</f>
        <v>0</v>
      </c>
      <c r="K58" s="143">
        <f>IFERROR(J58/J62,"")</f>
        <v>0</v>
      </c>
      <c r="L58" s="143"/>
      <c r="M58" s="143" t="str">
        <f t="shared" si="32"/>
        <v/>
      </c>
      <c r="N58" s="140"/>
      <c r="O58" s="128"/>
      <c r="P58" s="128">
        <f t="array" ref="P58">IFERROR(INDEX('Detail inputs'!$B$3:$K$195,MATCH($B58&amp;$G58&amp;P$5,'Detail inputs'!$B$3:$B$195&amp;'Detail inputs'!$G$3:$G$195&amp;'Detail inputs'!$H$3:$H$195,0),MATCH(P$4,'Detail inputs'!$B$3:$K$3,0)),0)</f>
        <v>5.2786233739509421E-2</v>
      </c>
      <c r="Q58" s="128">
        <f t="shared" si="34"/>
        <v>0.25865254532359616</v>
      </c>
      <c r="R58" s="143">
        <f>IFERROR(Q58/Q62,"")</f>
        <v>2.8495637236134526E-4</v>
      </c>
      <c r="S58" s="143"/>
      <c r="T58" s="143"/>
      <c r="U58" s="143"/>
      <c r="V58" s="143"/>
      <c r="W58" s="143"/>
      <c r="X58" s="143"/>
      <c r="Y58" s="143"/>
      <c r="Z58" s="143"/>
      <c r="AA58" s="143"/>
      <c r="AB58" s="143"/>
      <c r="AC58" s="143"/>
      <c r="AD58" s="143"/>
      <c r="AE58" s="143"/>
      <c r="AF58" s="143"/>
      <c r="AG58" s="143"/>
      <c r="AH58" s="143"/>
      <c r="AI58" s="143"/>
      <c r="AJ58" s="143"/>
    </row>
    <row r="59" spans="2:36" x14ac:dyDescent="0.25">
      <c r="B59" s="3" t="str">
        <f t="shared" si="33"/>
        <v>Endeavour</v>
      </c>
      <c r="C59" s="3" t="str">
        <f t="shared" si="30"/>
        <v>Residential</v>
      </c>
      <c r="D59" s="3" t="str">
        <f t="shared" si="31"/>
        <v>without CL</v>
      </c>
      <c r="E59" s="3" t="s">
        <v>19</v>
      </c>
      <c r="F59" s="131">
        <f t="array" ref="F59">IFERROR(INDEX(Usage!$B$5:$P$18,MATCH($B59,Usage!$B$5:$B$18,0),MATCH($C59&amp;$D59&amp;$E59&amp;"Total",Usage!$B$5:$S$5&amp;Usage!$B$6:$S$6&amp;Usage!$B$7:$S$7&amp;Usage!$B$13:$S$13,0)),0)</f>
        <v>4900</v>
      </c>
      <c r="G59" s="3" t="str">
        <f>+G47</f>
        <v>June 2022 Event Cost</v>
      </c>
      <c r="H59" s="128"/>
      <c r="I59" s="128">
        <f t="array" ref="I59">IFERROR(INDEX('Detail inputs'!$B$3:$K$195,MATCH($B59&amp;$G59&amp;I$5,'Detail inputs'!$B$3:$B$195&amp;'Detail inputs'!$G$3:$G$195&amp;'Detail inputs'!$H$3:$H$195,0),MATCH(I$4,'Detail inputs'!$B$3:$K$3,0)),0)</f>
        <v>0</v>
      </c>
      <c r="J59" s="128">
        <f>IF(AND(H59="",I59=""),"",H59+I59*+Usage!C$37/1000)</f>
        <v>0</v>
      </c>
      <c r="K59" s="143">
        <f>IFERROR(J59/J63,"")</f>
        <v>0</v>
      </c>
      <c r="L59" s="143"/>
      <c r="M59" s="143" t="str">
        <f t="shared" ref="M59" si="35">IF(OR(J59=0,Q59=""),"",Q59/J59-1)</f>
        <v/>
      </c>
      <c r="N59" s="140"/>
      <c r="O59" s="128"/>
      <c r="P59" s="128">
        <f t="array" ref="P59">IFERROR(INDEX('Detail inputs'!$B$3:$K$195,MATCH($B59&amp;$G59&amp;P$5,'Detail inputs'!$B$3:$B$195&amp;'Detail inputs'!$G$3:$G$195&amp;'Detail inputs'!$H$3:$H$195,0),MATCH(P$4,'Detail inputs'!$B$3:$K$3,0)),0)</f>
        <v>0.11507709849820914</v>
      </c>
      <c r="Q59" s="128">
        <f t="shared" ref="Q59" si="36">IF(AND(O59="",P59=""),"",O59+P59*$F59/1000)</f>
        <v>0.56387778264122479</v>
      </c>
      <c r="R59" s="143">
        <f>IFERROR(Q59/Q63,"")</f>
        <v>6.2122167479766177E-3</v>
      </c>
      <c r="S59" s="143"/>
      <c r="T59" s="143"/>
      <c r="U59" s="143"/>
      <c r="V59" s="143"/>
      <c r="W59" s="143"/>
      <c r="X59" s="143"/>
      <c r="Y59" s="143"/>
      <c r="Z59" s="143"/>
      <c r="AA59" s="143"/>
      <c r="AB59" s="143"/>
      <c r="AC59" s="143"/>
      <c r="AD59" s="143"/>
      <c r="AE59" s="143"/>
      <c r="AF59" s="143"/>
      <c r="AG59" s="143"/>
      <c r="AH59" s="143"/>
      <c r="AI59" s="143"/>
      <c r="AJ59" s="143"/>
    </row>
    <row r="60" spans="2:36" x14ac:dyDescent="0.25">
      <c r="B60" s="3" t="str">
        <f t="shared" si="33"/>
        <v>Endeavour</v>
      </c>
      <c r="C60" s="3" t="str">
        <f t="shared" si="30"/>
        <v>Residential</v>
      </c>
      <c r="D60" s="3" t="str">
        <f t="shared" si="31"/>
        <v>without CL</v>
      </c>
      <c r="E60" s="3" t="s">
        <v>19</v>
      </c>
      <c r="F60" s="131">
        <f t="array" ref="F60">IFERROR(INDEX(Usage!$B$5:$P$18,MATCH($B60,Usage!$B$5:$B$18,0),MATCH($C60&amp;$D60&amp;$E60&amp;"Total",Usage!$B$5:$S$5&amp;Usage!$B$6:$S$6&amp;Usage!$B$7:$S$7&amp;Usage!$B$13:$S$13,0)),0)</f>
        <v>4900</v>
      </c>
      <c r="G60" s="3" t="s">
        <v>135</v>
      </c>
      <c r="H60" s="128"/>
      <c r="I60" s="128">
        <f t="array" ref="I60">IFERROR(INDEX('Detail inputs'!$B$3:$K$195,MATCH($B60&amp;$G60&amp;I$5,'Detail inputs'!$B$3:$B$195&amp;'Detail inputs'!$G$3:$G$195&amp;'Detail inputs'!$H$3:$H$195,0),MATCH(I$4,'Detail inputs'!$B$3:$K$3,0)),0)</f>
        <v>2.93</v>
      </c>
      <c r="J60" s="128">
        <f>IF(AND(H60="",I60=""),"",H60+I60*+Usage!C$37/1000)</f>
        <v>14.356999999999999</v>
      </c>
      <c r="K60" s="143">
        <f>IFERROR(J60/J62,"")</f>
        <v>1.6635076983930561E-2</v>
      </c>
      <c r="L60" s="143"/>
      <c r="M60" s="143">
        <f t="shared" si="32"/>
        <v>6.9926122942165048E-2</v>
      </c>
      <c r="N60" s="140"/>
      <c r="O60" s="128"/>
      <c r="P60" s="128">
        <f t="array" ref="P60">IFERROR(INDEX('Detail inputs'!$B$3:$K$195,MATCH($B60&amp;$G60&amp;P$5,'Detail inputs'!$B$3:$B$195&amp;'Detail inputs'!$G$3:$G$195&amp;'Detail inputs'!$H$3:$H$195,0),MATCH(P$4,'Detail inputs'!$B$3:$K$3,0)),0)</f>
        <v>3.1348835402205433</v>
      </c>
      <c r="Q60" s="128">
        <f t="shared" si="34"/>
        <v>15.360929347080662</v>
      </c>
      <c r="R60" s="143">
        <f>IFERROR(Q60/Q62,"")</f>
        <v>1.6923068347797592E-2</v>
      </c>
      <c r="S60" s="143"/>
      <c r="T60" s="143"/>
      <c r="U60" s="143"/>
      <c r="V60" s="143"/>
      <c r="W60" s="143"/>
      <c r="X60" s="143"/>
      <c r="Y60" s="143"/>
      <c r="Z60" s="143"/>
      <c r="AA60" s="143"/>
      <c r="AB60" s="143"/>
      <c r="AC60" s="143"/>
      <c r="AD60" s="143"/>
      <c r="AE60" s="143"/>
      <c r="AF60" s="143"/>
      <c r="AG60" s="143"/>
      <c r="AH60" s="143"/>
      <c r="AI60" s="143"/>
      <c r="AJ60" s="143"/>
    </row>
    <row r="61" spans="2:36" x14ac:dyDescent="0.25">
      <c r="B61" s="3" t="str">
        <f t="shared" si="33"/>
        <v>Endeavour</v>
      </c>
      <c r="C61" s="3" t="str">
        <f t="shared" si="30"/>
        <v>Residential</v>
      </c>
      <c r="D61" s="3" t="str">
        <f t="shared" si="31"/>
        <v>without CL</v>
      </c>
      <c r="E61" s="3" t="s">
        <v>19</v>
      </c>
      <c r="F61" s="131">
        <f t="array" ref="F61">IFERROR(INDEX(Usage!$B$5:$P$18,MATCH($B61,Usage!$B$5:$B$18,0),MATCH($C61&amp;$D61&amp;$E61&amp;"Total",Usage!$B$5:$S$5&amp;Usage!$B$6:$S$6&amp;Usage!$B$7:$S$7&amp;Usage!$B$13:$S$13,0)),0)</f>
        <v>4900</v>
      </c>
      <c r="G61" s="3" t="s">
        <v>73</v>
      </c>
      <c r="H61" s="128"/>
      <c r="I61" s="128" cm="1">
        <f t="array" ref="I61">IFERROR(INDEX('Detail inputs'!$B$3:$K$195,MATCH($B61&amp;$C61&amp;$E61&amp;$G61&amp;I$5,'Detail inputs'!$B$3:$B$195&amp;'Detail inputs'!$D$3:$D$195&amp;'Detail inputs'!$F$3:$F$195&amp;'Detail inputs'!$G$3:$G$195&amp;'Detail inputs'!$H$3:$H$195,0),MATCH(I$4,'Detail inputs'!$B$3:$K$3,0)),0)*SUM(I55:I60)</f>
        <v>8.7430967699999993</v>
      </c>
      <c r="J61" s="128">
        <f>IF(AND(H61="",I61=""),"",H61+I61*+Usage!C$37/1000)</f>
        <v>42.841174172999999</v>
      </c>
      <c r="K61" s="143">
        <f>IFERROR(J61/J62,"")</f>
        <v>4.9638937831708065E-2</v>
      </c>
      <c r="L61" s="143"/>
      <c r="M61" s="143">
        <f t="shared" si="32"/>
        <v>0.24912583380763609</v>
      </c>
      <c r="N61" s="140"/>
      <c r="O61" s="128"/>
      <c r="P61" s="128" cm="1">
        <f t="array" ref="P61">IFERROR(INDEX('Detail inputs'!$B$3:$K$195,MATCH($B61&amp;$C61&amp;$E61&amp;$G61&amp;P$5,'Detail inputs'!$B$3:$B$195&amp;'Detail inputs'!$D$3:$D$195&amp;'Detail inputs'!$F$3:$F$195&amp;'Detail inputs'!$G$3:$G$195&amp;'Detail inputs'!$H$3:$H$195,0),MATCH(P$4,'Detail inputs'!$B$3:$K$3,0)),0)*SUM(P55:P60)</f>
        <v>10.921228042887101</v>
      </c>
      <c r="Q61" s="128">
        <f t="shared" si="34"/>
        <v>53.514017410146792</v>
      </c>
      <c r="R61" s="143">
        <f>IFERROR(Q61/Q62,"")</f>
        <v>5.8956157777605919E-2</v>
      </c>
      <c r="S61" s="143"/>
      <c r="T61" s="143"/>
      <c r="U61" s="143"/>
      <c r="V61" s="143"/>
      <c r="W61" s="143"/>
      <c r="X61" s="143"/>
      <c r="Y61" s="143"/>
      <c r="Z61" s="143"/>
      <c r="AA61" s="143"/>
      <c r="AB61" s="143"/>
      <c r="AC61" s="143"/>
      <c r="AD61" s="143"/>
      <c r="AE61" s="143"/>
      <c r="AF61" s="143"/>
      <c r="AG61" s="143"/>
      <c r="AH61" s="143"/>
      <c r="AI61" s="143"/>
      <c r="AJ61" s="143"/>
    </row>
    <row r="62" spans="2:36" x14ac:dyDescent="0.25">
      <c r="B62" s="3" t="str">
        <f t="shared" si="33"/>
        <v>Endeavour</v>
      </c>
      <c r="C62" s="3" t="str">
        <f t="shared" si="30"/>
        <v>Residential</v>
      </c>
      <c r="D62" s="3" t="str">
        <f t="shared" si="31"/>
        <v>without CL</v>
      </c>
      <c r="E62" s="3" t="s">
        <v>19</v>
      </c>
      <c r="F62" s="131">
        <f t="array" ref="F62">IFERROR(INDEX(Usage!$B$5:$P$18,MATCH($B62,Usage!$B$5:$B$18,0),MATCH($C62&amp;$D62&amp;$E62&amp;"Total",Usage!$B$5:$S$5&amp;Usage!$B$6:$S$6&amp;Usage!$B$7:$S$7&amp;Usage!$B$13:$S$13,0)),0)</f>
        <v>4900</v>
      </c>
      <c r="G62" s="5" t="s">
        <v>55</v>
      </c>
      <c r="H62" s="130">
        <f>SUM(H57:H61)</f>
        <v>11.905778571428572</v>
      </c>
      <c r="I62" s="130">
        <v>173.70409000000001</v>
      </c>
      <c r="J62" s="130">
        <f>IF(AND(H62="",I62=""),"",H62+I62*+Usage!C$37/1000)</f>
        <v>863.05581957142863</v>
      </c>
      <c r="K62" s="145"/>
      <c r="L62" s="152"/>
      <c r="M62" s="145">
        <f t="shared" si="32"/>
        <v>5.1718462425141665E-2</v>
      </c>
      <c r="N62" s="150"/>
      <c r="O62" s="130">
        <f>SUM(O57:O61)</f>
        <v>13.835244134497829</v>
      </c>
      <c r="P62" s="130">
        <f>SUM(P55:P61)</f>
        <v>182.41969294127256</v>
      </c>
      <c r="Q62" s="130">
        <f t="shared" si="34"/>
        <v>907.6917395467334</v>
      </c>
      <c r="R62" s="145"/>
      <c r="S62" s="145"/>
      <c r="T62" s="145"/>
      <c r="U62" s="145"/>
      <c r="V62" s="145"/>
      <c r="W62" s="145"/>
      <c r="X62" s="145"/>
      <c r="Y62" s="145"/>
      <c r="Z62" s="145"/>
      <c r="AA62" s="145"/>
      <c r="AB62" s="145"/>
      <c r="AC62" s="145"/>
      <c r="AD62" s="145"/>
      <c r="AE62" s="145"/>
      <c r="AF62" s="145"/>
      <c r="AG62" s="145"/>
      <c r="AH62" s="145"/>
      <c r="AI62" s="145"/>
      <c r="AJ62" s="145"/>
    </row>
    <row r="63" spans="2:36" x14ac:dyDescent="0.25">
      <c r="B63" s="3" t="str">
        <f t="shared" si="33"/>
        <v>Endeavour</v>
      </c>
      <c r="C63" s="3" t="str">
        <f t="shared" si="30"/>
        <v>Residential</v>
      </c>
      <c r="D63" s="3" t="str">
        <f t="shared" si="31"/>
        <v>without CL</v>
      </c>
      <c r="F63" s="131"/>
      <c r="G63" s="3" t="s">
        <v>38</v>
      </c>
      <c r="H63" s="128"/>
      <c r="I63" s="128"/>
      <c r="J63" s="128">
        <f>J62*GST</f>
        <v>86.305581957142863</v>
      </c>
      <c r="K63" s="144"/>
      <c r="L63" s="151"/>
      <c r="M63" s="144"/>
      <c r="N63" s="149"/>
      <c r="O63" s="128"/>
      <c r="P63" s="128"/>
      <c r="Q63" s="128">
        <f>Q62*GST</f>
        <v>90.769173954673349</v>
      </c>
      <c r="R63" s="145"/>
      <c r="S63" s="145"/>
      <c r="T63" s="145"/>
      <c r="U63" s="145"/>
      <c r="V63" s="145"/>
      <c r="W63" s="145"/>
      <c r="X63" s="145"/>
      <c r="Y63" s="145"/>
      <c r="Z63" s="145"/>
      <c r="AA63" s="145"/>
      <c r="AB63" s="145"/>
      <c r="AC63" s="145"/>
      <c r="AD63" s="145"/>
      <c r="AE63" s="145"/>
      <c r="AF63" s="145"/>
      <c r="AG63" s="145"/>
      <c r="AH63" s="145"/>
      <c r="AI63" s="145"/>
      <c r="AJ63" s="145"/>
    </row>
    <row r="64" spans="2:36" x14ac:dyDescent="0.25">
      <c r="B64" s="3" t="str">
        <f t="shared" si="33"/>
        <v>Endeavour</v>
      </c>
      <c r="C64" s="3" t="str">
        <f t="shared" si="30"/>
        <v>Residential</v>
      </c>
      <c r="D64" s="3" t="str">
        <f t="shared" si="31"/>
        <v>without CL</v>
      </c>
      <c r="F64" s="131"/>
      <c r="G64" s="5" t="s">
        <v>80</v>
      </c>
      <c r="H64" s="130"/>
      <c r="I64" s="130"/>
      <c r="J64" s="130">
        <f>SUM(J62:J63)</f>
        <v>949.36140152857149</v>
      </c>
      <c r="K64" s="145"/>
      <c r="L64" s="152"/>
      <c r="M64" s="145">
        <f>IF(OR(J64=0,Q64=""),"",Q64/J64-1)</f>
        <v>5.1718462425141665E-2</v>
      </c>
      <c r="N64" s="150"/>
      <c r="O64" s="130"/>
      <c r="P64" s="130"/>
      <c r="Q64" s="130">
        <f>SUM(Q62:Q63)</f>
        <v>998.46091350140671</v>
      </c>
      <c r="R64" s="145"/>
      <c r="S64" s="145"/>
      <c r="T64" s="145"/>
      <c r="U64" s="145"/>
      <c r="V64" s="145"/>
      <c r="W64" s="145"/>
      <c r="X64" s="145"/>
      <c r="Y64" s="145"/>
      <c r="Z64" s="145"/>
      <c r="AA64" s="145"/>
      <c r="AB64" s="145"/>
      <c r="AC64" s="145"/>
      <c r="AD64" s="145"/>
      <c r="AE64" s="145"/>
      <c r="AF64" s="145"/>
      <c r="AG64" s="145"/>
      <c r="AH64" s="145"/>
      <c r="AI64" s="145"/>
      <c r="AJ64" s="145"/>
    </row>
    <row r="65" spans="2:36" x14ac:dyDescent="0.25">
      <c r="F65" s="131"/>
      <c r="H65" s="128"/>
      <c r="I65" s="128"/>
      <c r="J65" s="128"/>
      <c r="K65" s="143"/>
      <c r="L65" s="151"/>
      <c r="M65" s="143"/>
      <c r="N65" s="149"/>
      <c r="O65" s="128"/>
      <c r="P65" s="128"/>
      <c r="Q65" s="128"/>
      <c r="R65" s="143"/>
      <c r="S65" s="143"/>
      <c r="T65" s="143"/>
      <c r="U65" s="143"/>
      <c r="V65" s="143"/>
      <c r="W65" s="143"/>
      <c r="X65" s="143"/>
      <c r="Y65" s="143"/>
      <c r="Z65" s="143"/>
      <c r="AA65" s="143"/>
      <c r="AB65" s="143"/>
      <c r="AC65" s="143"/>
      <c r="AD65" s="143"/>
      <c r="AE65" s="143"/>
      <c r="AF65" s="143"/>
      <c r="AG65" s="143"/>
      <c r="AH65" s="143"/>
      <c r="AI65" s="143"/>
      <c r="AJ65" s="143"/>
    </row>
    <row r="66" spans="2:36" x14ac:dyDescent="0.25">
      <c r="B66" s="5" t="s">
        <v>4</v>
      </c>
      <c r="C66" s="5" t="s">
        <v>6</v>
      </c>
      <c r="D66" s="5" t="s">
        <v>128</v>
      </c>
      <c r="F66" s="131"/>
      <c r="H66" s="128"/>
      <c r="I66" s="128"/>
      <c r="J66" s="128"/>
      <c r="K66" s="143"/>
      <c r="L66" s="151"/>
      <c r="M66" s="143"/>
      <c r="N66" s="149"/>
      <c r="O66" s="128"/>
      <c r="P66" s="128"/>
      <c r="Q66" s="128"/>
      <c r="R66" s="143"/>
      <c r="S66" s="143"/>
      <c r="T66" s="143"/>
      <c r="U66" s="143"/>
      <c r="V66" s="143"/>
      <c r="W66" s="143"/>
      <c r="X66" s="143"/>
      <c r="Y66" s="143"/>
      <c r="Z66" s="143"/>
      <c r="AA66" s="143"/>
      <c r="AB66" s="143"/>
      <c r="AC66" s="143"/>
      <c r="AD66" s="143"/>
      <c r="AE66" s="143"/>
      <c r="AF66" s="143"/>
      <c r="AG66" s="143"/>
      <c r="AH66" s="143"/>
      <c r="AI66" s="143"/>
      <c r="AJ66" s="143"/>
    </row>
    <row r="67" spans="2:36" x14ac:dyDescent="0.25">
      <c r="B67" s="3" t="str">
        <f>B66</f>
        <v>Endeavour</v>
      </c>
      <c r="C67" s="3" t="str">
        <f t="shared" ref="C67:C86" si="37">C66</f>
        <v>Residential</v>
      </c>
      <c r="D67" s="3" t="str">
        <f t="shared" ref="D67:D86" si="38">D66</f>
        <v>with CL</v>
      </c>
      <c r="E67" s="3" t="s">
        <v>19</v>
      </c>
      <c r="F67" s="131">
        <f t="array" ref="F67">IFERROR(INDEX(Usage!$B$5:$P$18,MATCH($B67,Usage!$B$5:$B$18,0),MATCH($C67&amp;$D67&amp;$E67&amp;"Total",Usage!$B$5:$S$5&amp;Usage!$B$6:$S$6&amp;Usage!$B$7:$S$7&amp;Usage!$B$13:$S$13,0)),0)</f>
        <v>5200</v>
      </c>
      <c r="G67" s="5" t="s">
        <v>55</v>
      </c>
      <c r="H67" s="130">
        <f>+H62</f>
        <v>11.905778571428572</v>
      </c>
      <c r="I67" s="130">
        <v>173.70409000000001</v>
      </c>
      <c r="J67" s="130">
        <f>IF(AND(H67="",I67=""),"",H67+I67*+Usage!E37/1000)</f>
        <v>915.16704657142861</v>
      </c>
      <c r="K67" s="145"/>
      <c r="L67" s="152"/>
      <c r="M67" s="145">
        <f>IF(OR(J67=0,Q67=""),"",Q67/J67-1)</f>
        <v>5.1630575024205427E-2</v>
      </c>
      <c r="N67" s="150"/>
      <c r="O67" s="130">
        <f>+O62</f>
        <v>13.835244134497829</v>
      </c>
      <c r="P67" s="130">
        <f>P62</f>
        <v>182.41969294127256</v>
      </c>
      <c r="Q67" s="130">
        <f>IF(AND(O67="",P67=""),"",O67+P67*$F67/1000)</f>
        <v>962.41764742911516</v>
      </c>
      <c r="R67" s="145"/>
      <c r="S67" s="145"/>
      <c r="T67" s="145"/>
      <c r="U67" s="145"/>
      <c r="V67" s="145"/>
      <c r="W67" s="145"/>
      <c r="X67" s="145"/>
      <c r="Y67" s="145"/>
      <c r="Z67" s="145"/>
      <c r="AA67" s="145"/>
      <c r="AB67" s="145"/>
      <c r="AC67" s="145"/>
      <c r="AD67" s="145"/>
      <c r="AE67" s="145"/>
      <c r="AF67" s="145"/>
      <c r="AG67" s="145"/>
      <c r="AH67" s="145"/>
      <c r="AI67" s="145"/>
      <c r="AJ67" s="145"/>
    </row>
    <row r="68" spans="2:36" x14ac:dyDescent="0.25">
      <c r="B68" s="3" t="str">
        <f t="shared" ref="B68:B86" si="39">B67</f>
        <v>Endeavour</v>
      </c>
      <c r="C68" s="3" t="str">
        <f t="shared" si="37"/>
        <v>Residential</v>
      </c>
      <c r="D68" s="3" t="str">
        <f t="shared" si="38"/>
        <v>with CL</v>
      </c>
      <c r="E68" s="3" t="s">
        <v>14</v>
      </c>
      <c r="F68" s="131">
        <f t="array" ref="F68">IFERROR(INDEX(Usage!$B$5:$P$18,MATCH($B68,Usage!$B$5:$B$18,0),MATCH($C68&amp;$D68&amp;$E68,Usage!$B$5:$S$5&amp;Usage!$B$6:$S$6&amp;Usage!$B$7:$S$7,0)),0)</f>
        <v>1474</v>
      </c>
      <c r="G68" s="3" t="s">
        <v>70</v>
      </c>
      <c r="H68" s="128"/>
      <c r="I68" s="128">
        <f t="array" ref="I68">IFERROR(INDEX('Detail inputs'!$B$3:$K$195,MATCH($B68&amp;$C68&amp;$E68&amp;$G68&amp;I$5,'Detail inputs'!$B$3:$B$195&amp;'Detail inputs'!$D$3:$D$195&amp;'Detail inputs'!$F$3:$F$195&amp;'Detail inputs'!$G$3:$G$195&amp;'Detail inputs'!$H$3:$H$195,0),MATCH(I$4,'Detail inputs'!$B$3:$K$3,0)),0)</f>
        <v>99.07</v>
      </c>
      <c r="J68" s="128">
        <f>IF(AND(H68="",I68=""),"",H68+I68*+Usage!H$37/1000)</f>
        <v>146.02918</v>
      </c>
      <c r="K68" s="143">
        <f>IFERROR(J68/J75,"")</f>
        <v>0.91558461422299298</v>
      </c>
      <c r="L68" s="143"/>
      <c r="M68" s="143">
        <f t="shared" ref="M68:M84" si="40">IF(OR(J68=0,Q68=""),"",Q68/J68-1)</f>
        <v>0.19572019783991101</v>
      </c>
      <c r="N68" s="140"/>
      <c r="O68" s="128"/>
      <c r="P68" s="128">
        <f t="array" ref="P68">IFERROR(INDEX('Detail inputs'!$B$3:$K$195,MATCH($B68&amp;$C68&amp;$E68&amp;$G68&amp;P$5,'Detail inputs'!$B$3:$B$195&amp;'Detail inputs'!$D$3:$D$195&amp;'Detail inputs'!$F$3:$F$195&amp;'Detail inputs'!$G$3:$G$195&amp;'Detail inputs'!$H$3:$H$195,0),MATCH(P$4,'Detail inputs'!$B$3:$K$3,0)),0)</f>
        <v>118.46</v>
      </c>
      <c r="Q68" s="128">
        <f>IF(AND(O68="",P68=""),"",O68+P68*$F68/1000)</f>
        <v>174.61003999999997</v>
      </c>
      <c r="R68" s="143">
        <f>IFERROR(Q68/Q75,"")</f>
        <v>0.90919322153593851</v>
      </c>
      <c r="S68" s="143"/>
      <c r="T68" s="378"/>
      <c r="U68" s="143"/>
      <c r="V68" s="143"/>
      <c r="W68" s="143"/>
      <c r="X68" s="143"/>
      <c r="Y68" s="143"/>
      <c r="Z68" s="143"/>
      <c r="AA68" s="143"/>
      <c r="AB68" s="143"/>
      <c r="AC68" s="143"/>
      <c r="AD68" s="143"/>
      <c r="AE68" s="143"/>
      <c r="AF68" s="143"/>
      <c r="AG68" s="143"/>
      <c r="AH68" s="143"/>
      <c r="AI68" s="143"/>
      <c r="AJ68" s="143"/>
    </row>
    <row r="69" spans="2:36" x14ac:dyDescent="0.25">
      <c r="B69" s="3" t="str">
        <f t="shared" si="39"/>
        <v>Endeavour</v>
      </c>
      <c r="C69" s="3" t="str">
        <f t="shared" si="37"/>
        <v>Residential</v>
      </c>
      <c r="D69" s="3" t="str">
        <f t="shared" si="38"/>
        <v>with CL</v>
      </c>
      <c r="E69" s="3" t="s">
        <v>14</v>
      </c>
      <c r="F69" s="131">
        <f t="array" ref="F69">IFERROR(INDEX(Usage!$B$5:$P$18,MATCH($B69,Usage!$B$5:$B$18,0),MATCH($C69&amp;$D69&amp;$E69,Usage!$B$5:$S$5&amp;Usage!$B$6:$S$6&amp;Usage!$B$7:$S$7,0)),0)</f>
        <v>1474</v>
      </c>
      <c r="G69" s="3" t="s">
        <v>71</v>
      </c>
      <c r="H69" s="128"/>
      <c r="I69" s="128">
        <f t="array" ref="I69">IFERROR(INDEX('Detail inputs'!$B$3:$K$195,MATCH($B69&amp;$G69&amp;I$5,'Detail inputs'!$B$3:$B$195&amp;'Detail inputs'!$G$3:$G$195&amp;'Detail inputs'!$H$3:$H$195,0),MATCH(I$4,'Detail inputs'!$B$3:$K$3,0)),0)</f>
        <v>0.25</v>
      </c>
      <c r="J69" s="128">
        <f>IF(AND(H69="",I69=""),"",H69+I69*+Usage!H$37/1000)</f>
        <v>0.36849999999999999</v>
      </c>
      <c r="K69" s="143">
        <f>IFERROR(J69/J75,"")</f>
        <v>2.310448708546969E-3</v>
      </c>
      <c r="L69" s="143"/>
      <c r="M69" s="143">
        <f t="shared" si="40"/>
        <v>-0.38484789629124383</v>
      </c>
      <c r="N69" s="140"/>
      <c r="O69" s="128"/>
      <c r="P69" s="128">
        <f t="array" ref="P69">IFERROR(INDEX('Detail inputs'!$B$3:$K$195,MATCH($B69&amp;$G69&amp;P$5,'Detail inputs'!$B$3:$B$195&amp;'Detail inputs'!$G$3:$G$195&amp;'Detail inputs'!$H$3:$H$195,0),MATCH(P$4,'Detail inputs'!$B$3:$K$3,0)),0)</f>
        <v>0.15378802592718904</v>
      </c>
      <c r="Q69" s="128">
        <f t="shared" ref="Q69:Q75" si="41">IF(AND(O69="",P69=""),"",O69+P69*$F69/1000)</f>
        <v>0.22668355021667666</v>
      </c>
      <c r="R69" s="143">
        <f>IFERROR(Q69/Q75,"")</f>
        <v>1.1803396144385739E-3</v>
      </c>
      <c r="S69" s="143"/>
      <c r="T69" s="143"/>
      <c r="U69" s="143"/>
      <c r="V69" s="143"/>
      <c r="W69" s="143"/>
      <c r="X69" s="143"/>
      <c r="Y69" s="143"/>
      <c r="Z69" s="143"/>
      <c r="AA69" s="143"/>
      <c r="AB69" s="143"/>
      <c r="AC69" s="143"/>
      <c r="AD69" s="143"/>
      <c r="AE69" s="143"/>
      <c r="AF69" s="143"/>
      <c r="AG69" s="143"/>
      <c r="AH69" s="143"/>
      <c r="AI69" s="143"/>
      <c r="AJ69" s="143"/>
    </row>
    <row r="70" spans="2:36" x14ac:dyDescent="0.25">
      <c r="B70" s="3" t="str">
        <f t="shared" si="39"/>
        <v>Endeavour</v>
      </c>
      <c r="C70" s="3" t="str">
        <f t="shared" si="37"/>
        <v>Residential</v>
      </c>
      <c r="D70" s="3" t="str">
        <f t="shared" si="38"/>
        <v>with CL</v>
      </c>
      <c r="E70" s="3" t="s">
        <v>14</v>
      </c>
      <c r="F70" s="131">
        <f t="array" ref="F70">IFERROR(INDEX(Usage!$B$5:$P$18,MATCH($B70,Usage!$B$5:$B$18,0),MATCH($C70&amp;$D70&amp;$E70,Usage!$B$5:$S$5&amp;Usage!$B$6:$S$6&amp;Usage!$B$7:$S$7,0)),0)</f>
        <v>1474</v>
      </c>
      <c r="G70" s="3" t="s">
        <v>78</v>
      </c>
      <c r="H70" s="128"/>
      <c r="I70" s="128">
        <f t="array" ref="I70">IFERROR(INDEX('Detail inputs'!$B$3:$K$195,MATCH($B70&amp;$G70&amp;I$5,'Detail inputs'!$B$3:$B$195&amp;'Detail inputs'!$G$3:$G$195&amp;'Detail inputs'!$H$3:$H$195,0),MATCH(I$4,'Detail inputs'!$B$3:$K$3,0)),0)</f>
        <v>0.50409000000000004</v>
      </c>
      <c r="J70" s="128">
        <f>IF(AND(H70="",I70=""),"",H70+I70*+Usage!H$37/1000)</f>
        <v>0.74302866000000001</v>
      </c>
      <c r="K70" s="143">
        <f>IFERROR(J70/J75,"")</f>
        <v>4.6586963579657668E-3</v>
      </c>
      <c r="L70" s="143"/>
      <c r="M70" s="143">
        <f t="shared" si="40"/>
        <v>0.13953857446090989</v>
      </c>
      <c r="N70" s="140"/>
      <c r="O70" s="128"/>
      <c r="P70" s="128">
        <f t="array" ref="P70">IFERROR(INDEX('Detail inputs'!$B$3:$K$195,MATCH($B70&amp;$G70&amp;P$5,'Detail inputs'!$B$3:$B$195&amp;'Detail inputs'!$G$3:$G$195&amp;'Detail inputs'!$H$3:$H$195,0),MATCH(P$4,'Detail inputs'!$B$3:$K$3,0)),0)</f>
        <v>0.57443</v>
      </c>
      <c r="Q70" s="128">
        <f t="shared" si="41"/>
        <v>0.84670982000000006</v>
      </c>
      <c r="R70" s="143">
        <f>IFERROR(Q70/Q75,"")</f>
        <v>4.408811938602813E-3</v>
      </c>
      <c r="S70" s="143"/>
      <c r="T70" s="143"/>
      <c r="U70" s="143"/>
      <c r="V70" s="143"/>
      <c r="W70" s="143"/>
      <c r="X70" s="143"/>
      <c r="Y70" s="143"/>
      <c r="Z70" s="143"/>
      <c r="AA70" s="143"/>
      <c r="AB70" s="143"/>
      <c r="AC70" s="143"/>
      <c r="AD70" s="143"/>
      <c r="AE70" s="143"/>
      <c r="AF70" s="143"/>
      <c r="AG70" s="143"/>
      <c r="AH70" s="143"/>
      <c r="AI70" s="143"/>
      <c r="AJ70" s="143"/>
    </row>
    <row r="71" spans="2:36" x14ac:dyDescent="0.25">
      <c r="B71" s="3" t="str">
        <f t="shared" si="39"/>
        <v>Endeavour</v>
      </c>
      <c r="C71" s="3" t="str">
        <f t="shared" si="37"/>
        <v>Residential</v>
      </c>
      <c r="D71" s="3" t="str">
        <f t="shared" si="38"/>
        <v>with CL</v>
      </c>
      <c r="E71" s="3" t="s">
        <v>14</v>
      </c>
      <c r="F71" s="131">
        <f t="array" ref="F71">IFERROR(INDEX(Usage!$B$5:$P$18,MATCH($B71,Usage!$B$5:$B$18,0),MATCH($C71&amp;$D71&amp;$E71,Usage!$B$5:$S$5&amp;Usage!$B$6:$S$6&amp;Usage!$B$7:$S$7,0)),0)</f>
        <v>1474</v>
      </c>
      <c r="G71" s="3" t="s">
        <v>72</v>
      </c>
      <c r="H71" s="128"/>
      <c r="I71" s="128">
        <f t="array" ref="I71">IFERROR(INDEX('Detail inputs'!$B$3:$K$195,MATCH($B71&amp;$G71&amp;I$5,'Detail inputs'!$B$3:$B$195&amp;'Detail inputs'!$G$3:$G$195&amp;'Detail inputs'!$H$3:$H$195,0),MATCH(I$4,'Detail inputs'!$B$3:$K$3,0)),0)</f>
        <v>0</v>
      </c>
      <c r="J71" s="128">
        <f>IF(AND(H71="",I71=""),"",H71+I71*+Usage!H$37/1000)</f>
        <v>0</v>
      </c>
      <c r="K71" s="143">
        <f>IFERROR(J71/J75,"")</f>
        <v>0</v>
      </c>
      <c r="L71" s="143"/>
      <c r="M71" s="143" t="str">
        <f t="shared" si="40"/>
        <v/>
      </c>
      <c r="N71" s="140"/>
      <c r="O71" s="128"/>
      <c r="P71" s="128">
        <f t="array" ref="P71">IFERROR(INDEX('Detail inputs'!$B$3:$K$195,MATCH($B71&amp;$G71&amp;P$5,'Detail inputs'!$B$3:$B$195&amp;'Detail inputs'!$G$3:$G$195&amp;'Detail inputs'!$H$3:$H$195,0),MATCH(P$4,'Detail inputs'!$B$3:$K$3,0)),0)</f>
        <v>5.2786233739509421E-2</v>
      </c>
      <c r="Q71" s="128">
        <f t="shared" si="41"/>
        <v>7.7806908532036881E-2</v>
      </c>
      <c r="R71" s="143">
        <f>IFERROR(Q71/Q75,"")</f>
        <v>4.0514001271630616E-4</v>
      </c>
      <c r="S71" s="143"/>
      <c r="T71" s="143"/>
      <c r="U71" s="143"/>
      <c r="V71" s="143"/>
      <c r="W71" s="143"/>
      <c r="X71" s="143"/>
      <c r="Y71" s="143"/>
      <c r="Z71" s="143"/>
      <c r="AA71" s="143"/>
      <c r="AB71" s="143"/>
      <c r="AC71" s="143"/>
      <c r="AD71" s="143"/>
      <c r="AE71" s="143"/>
      <c r="AF71" s="143"/>
      <c r="AG71" s="143"/>
      <c r="AH71" s="143"/>
      <c r="AI71" s="143"/>
      <c r="AJ71" s="143"/>
    </row>
    <row r="72" spans="2:36" x14ac:dyDescent="0.25">
      <c r="B72" s="3" t="str">
        <f t="shared" si="39"/>
        <v>Endeavour</v>
      </c>
      <c r="C72" s="3" t="str">
        <f t="shared" si="37"/>
        <v>Residential</v>
      </c>
      <c r="D72" s="3" t="str">
        <f t="shared" si="38"/>
        <v>with CL</v>
      </c>
      <c r="E72" s="3" t="s">
        <v>14</v>
      </c>
      <c r="F72" s="131">
        <f t="array" ref="F72">IFERROR(INDEX(Usage!$B$5:$P$18,MATCH($B72,Usage!$B$5:$B$18,0),MATCH($C72&amp;$D72&amp;$E72,Usage!$B$5:$S$5&amp;Usage!$B$6:$S$6&amp;Usage!$B$7:$S$7,0)),0)</f>
        <v>1474</v>
      </c>
      <c r="G72" s="3" t="str">
        <f>+G59</f>
        <v>June 2022 Event Cost</v>
      </c>
      <c r="H72" s="128"/>
      <c r="I72" s="128">
        <f t="array" ref="I72">IFERROR(INDEX('Detail inputs'!$B$3:$K$195,MATCH($B72&amp;$G72&amp;I$5,'Detail inputs'!$B$3:$B$195&amp;'Detail inputs'!$G$3:$G$195&amp;'Detail inputs'!$H$3:$H$195,0),MATCH(I$4,'Detail inputs'!$B$3:$K$3,0)),0)</f>
        <v>0</v>
      </c>
      <c r="J72" s="128">
        <f>IF(AND(H72="",I72=""),"",H72+I72*+Usage!H$37/1000)</f>
        <v>0</v>
      </c>
      <c r="K72" s="143">
        <f>IFERROR(J72/J76,"")</f>
        <v>0</v>
      </c>
      <c r="L72" s="143"/>
      <c r="M72" s="143" t="str">
        <f t="shared" ref="M72" si="42">IF(OR(J72=0,Q72=""),"",Q72/J72-1)</f>
        <v/>
      </c>
      <c r="N72" s="140"/>
      <c r="O72" s="128"/>
      <c r="P72" s="128">
        <f t="array" ref="P72">IFERROR(INDEX('Detail inputs'!$B$3:$K$195,MATCH($B72&amp;$G72&amp;P$5,'Detail inputs'!$B$3:$B$195&amp;'Detail inputs'!$G$3:$G$195&amp;'Detail inputs'!$H$3:$H$195,0),MATCH(P$4,'Detail inputs'!$B$3:$K$3,0)),0)</f>
        <v>0.11507709849820914</v>
      </c>
      <c r="Q72" s="128">
        <f t="shared" ref="Q72" si="43">IF(AND(O72="",P72=""),"",O72+P72*$F72/1000)</f>
        <v>0.16962364318636028</v>
      </c>
      <c r="R72" s="143">
        <f>IFERROR(Q72/Q76,"")</f>
        <v>1.9723229934103859E-3</v>
      </c>
      <c r="S72" s="143"/>
      <c r="T72" s="143"/>
      <c r="U72" s="143"/>
      <c r="V72" s="143"/>
      <c r="W72" s="143"/>
      <c r="X72" s="143"/>
      <c r="Y72" s="143"/>
      <c r="Z72" s="143"/>
      <c r="AA72" s="143"/>
      <c r="AB72" s="143"/>
      <c r="AC72" s="143"/>
      <c r="AD72" s="143"/>
      <c r="AE72" s="143"/>
      <c r="AF72" s="143"/>
      <c r="AG72" s="143"/>
      <c r="AH72" s="143"/>
      <c r="AI72" s="143"/>
      <c r="AJ72" s="143"/>
    </row>
    <row r="73" spans="2:36" x14ac:dyDescent="0.25">
      <c r="B73" s="3" t="str">
        <f t="shared" si="39"/>
        <v>Endeavour</v>
      </c>
      <c r="C73" s="3" t="str">
        <f t="shared" si="37"/>
        <v>Residential</v>
      </c>
      <c r="D73" s="3" t="str">
        <f t="shared" si="38"/>
        <v>with CL</v>
      </c>
      <c r="E73" s="3" t="s">
        <v>14</v>
      </c>
      <c r="F73" s="131">
        <f t="array" ref="F73">IFERROR(INDEX(Usage!$B$5:$P$18,MATCH($B73,Usage!$B$5:$B$18,0),MATCH($C73&amp;$D73&amp;$E73,Usage!$B$5:$S$5&amp;Usage!$B$6:$S$6&amp;Usage!$B$7:$S$7,0)),0)</f>
        <v>1474</v>
      </c>
      <c r="G73" s="3" t="s">
        <v>135</v>
      </c>
      <c r="H73" s="128"/>
      <c r="I73" s="128">
        <f t="array" ref="I73">IFERROR(INDEX('Detail inputs'!$B$3:$K$195,MATCH($B73&amp;$G73&amp;I$5,'Detail inputs'!$B$3:$B$195&amp;'Detail inputs'!$G$3:$G$195&amp;'Detail inputs'!$H$3:$H$195,0),MATCH(I$4,'Detail inputs'!$B$3:$K$3,0)),0)</f>
        <v>2.93</v>
      </c>
      <c r="J73" s="128">
        <f>IF(AND(H73="",I73=""),"",H73+I73*+Usage!H$37/1000)</f>
        <v>4.3188200000000005</v>
      </c>
      <c r="K73" s="143">
        <f>IFERROR(J73/J75,"")</f>
        <v>2.7078458864170481E-2</v>
      </c>
      <c r="L73" s="143"/>
      <c r="M73" s="143">
        <f t="shared" si="40"/>
        <v>6.9926122942165048E-2</v>
      </c>
      <c r="N73" s="140"/>
      <c r="O73" s="128"/>
      <c r="P73" s="128">
        <f t="array" ref="P73">IFERROR(INDEX('Detail inputs'!$B$3:$K$195,MATCH($B73&amp;$G73&amp;P$5,'Detail inputs'!$B$3:$B$195&amp;'Detail inputs'!$G$3:$G$195&amp;'Detail inputs'!$H$3:$H$195,0),MATCH(P$4,'Detail inputs'!$B$3:$K$3,0)),0)</f>
        <v>3.1348835402205433</v>
      </c>
      <c r="Q73" s="128">
        <f t="shared" si="41"/>
        <v>4.6208183382850816</v>
      </c>
      <c r="R73" s="143">
        <f>IFERROR(Q73/Q75,"")</f>
        <v>2.4060567829420097E-2</v>
      </c>
      <c r="S73" s="143"/>
      <c r="T73" s="143"/>
      <c r="U73" s="143"/>
      <c r="V73" s="143"/>
      <c r="W73" s="143"/>
      <c r="X73" s="143"/>
      <c r="Y73" s="143"/>
      <c r="Z73" s="143"/>
      <c r="AA73" s="143"/>
      <c r="AB73" s="143"/>
      <c r="AC73" s="143"/>
      <c r="AD73" s="143"/>
      <c r="AE73" s="143"/>
      <c r="AF73" s="143"/>
      <c r="AG73" s="143"/>
      <c r="AH73" s="143"/>
      <c r="AI73" s="143"/>
      <c r="AJ73" s="143"/>
    </row>
    <row r="74" spans="2:36" x14ac:dyDescent="0.25">
      <c r="B74" s="3" t="str">
        <f t="shared" si="39"/>
        <v>Endeavour</v>
      </c>
      <c r="C74" s="3" t="str">
        <f t="shared" si="37"/>
        <v>Residential</v>
      </c>
      <c r="D74" s="3" t="str">
        <f t="shared" si="38"/>
        <v>with CL</v>
      </c>
      <c r="E74" s="3" t="s">
        <v>14</v>
      </c>
      <c r="F74" s="131">
        <f t="array" ref="F74">IFERROR(INDEX(Usage!$B$5:$P$18,MATCH($B74,Usage!$B$5:$B$18,0),MATCH($C74&amp;$D74&amp;$E74,Usage!$B$5:$S$5&amp;Usage!$B$6:$S$6&amp;Usage!$B$7:$S$7,0)),0)</f>
        <v>1474</v>
      </c>
      <c r="G74" s="3" t="s">
        <v>73</v>
      </c>
      <c r="H74" s="128"/>
      <c r="I74" s="128" cm="1">
        <f t="array" ref="I74">IFERROR(INDEX('Detail inputs'!$B$3:$K$195,MATCH($B74&amp;$C74&amp;$E74&amp;$G74&amp;I$5,'Detail inputs'!$B$3:$B$195&amp;'Detail inputs'!$D$3:$D$195&amp;'Detail inputs'!$F$3:$F$195&amp;'Detail inputs'!$G$3:$G$195&amp;'Detail inputs'!$H$3:$H$195,0),MATCH(I$4,'Detail inputs'!$B$3:$K$3,0)),0)*SUM(I68:I73)</f>
        <v>5.4459667700000001</v>
      </c>
      <c r="J74" s="128">
        <f>IF(AND(H74="",I74=""),"",H74+I74*+Usage!H$37/1000)</f>
        <v>8.0273550189799998</v>
      </c>
      <c r="K74" s="143">
        <f>IFERROR(J74/J75,"")</f>
        <v>5.0330507562144834E-2</v>
      </c>
      <c r="L74" s="143"/>
      <c r="M74" s="143">
        <f t="shared" si="40"/>
        <v>0.43232082811388328</v>
      </c>
      <c r="N74" s="140"/>
      <c r="O74" s="128"/>
      <c r="P74" s="128" cm="1">
        <f t="array" ref="P74">IFERROR(INDEX('Detail inputs'!$B$3:$K$195,MATCH($B74&amp;$C74&amp;$E74&amp;$G74&amp;P$5,'Detail inputs'!$B$3:$B$195&amp;'Detail inputs'!$D$3:$D$195&amp;'Detail inputs'!$F$3:$F$195&amp;'Detail inputs'!$G$3:$G$195&amp;'Detail inputs'!$H$3:$H$195,0),MATCH(P$4,'Detail inputs'!$B$3:$K$3,0)),0)*SUM(P68:P73)</f>
        <v>7.8003716338870897</v>
      </c>
      <c r="Q74" s="128">
        <f t="shared" si="41"/>
        <v>11.497747788349571</v>
      </c>
      <c r="R74" s="143">
        <f>IFERROR(Q74/Q75,"")</f>
        <v>5.9868689979667031E-2</v>
      </c>
      <c r="S74" s="143"/>
      <c r="T74" s="143"/>
      <c r="U74" s="143"/>
      <c r="V74" s="143"/>
      <c r="W74" s="143"/>
      <c r="X74" s="143"/>
      <c r="Y74" s="143"/>
      <c r="Z74" s="143"/>
      <c r="AA74" s="143"/>
      <c r="AB74" s="143"/>
      <c r="AC74" s="143"/>
      <c r="AD74" s="143"/>
      <c r="AE74" s="143"/>
      <c r="AF74" s="143"/>
      <c r="AG74" s="143"/>
      <c r="AH74" s="143"/>
      <c r="AI74" s="143"/>
      <c r="AJ74" s="143"/>
    </row>
    <row r="75" spans="2:36" x14ac:dyDescent="0.25">
      <c r="B75" s="3" t="str">
        <f t="shared" si="39"/>
        <v>Endeavour</v>
      </c>
      <c r="C75" s="3" t="str">
        <f t="shared" si="37"/>
        <v>Residential</v>
      </c>
      <c r="D75" s="3" t="str">
        <f t="shared" si="38"/>
        <v>with CL</v>
      </c>
      <c r="E75" s="3" t="s">
        <v>14</v>
      </c>
      <c r="F75" s="131">
        <f t="array" ref="F75">IFERROR(INDEX(Usage!$B$5:$P$18,MATCH($B75,Usage!$B$5:$B$18,0),MATCH($C75&amp;$D75&amp;$E75,Usage!$B$5:$S$5&amp;Usage!$B$6:$S$6&amp;Usage!$B$7:$S$7,0)),0)</f>
        <v>1474</v>
      </c>
      <c r="G75" s="5" t="s">
        <v>55</v>
      </c>
      <c r="H75" s="130"/>
      <c r="I75" s="130">
        <v>108.20409000000001</v>
      </c>
      <c r="J75" s="130">
        <f>IF(AND(H75="",I75=""),"",H75+I75*+Usage!H$37/1000)</f>
        <v>159.49282865999999</v>
      </c>
      <c r="K75" s="145"/>
      <c r="L75" s="152"/>
      <c r="M75" s="145">
        <f t="shared" si="40"/>
        <v>0.20412580090339061</v>
      </c>
      <c r="N75" s="150"/>
      <c r="O75" s="130"/>
      <c r="P75" s="130">
        <f>SUM(P68:P74)</f>
        <v>130.29133653227254</v>
      </c>
      <c r="Q75" s="130">
        <f t="shared" si="41"/>
        <v>192.04943004856972</v>
      </c>
      <c r="R75" s="144"/>
      <c r="S75" s="144"/>
      <c r="T75" s="144"/>
      <c r="U75" s="144"/>
      <c r="V75" s="144"/>
      <c r="W75" s="144"/>
      <c r="X75" s="144"/>
      <c r="Y75" s="144"/>
      <c r="Z75" s="144"/>
      <c r="AA75" s="144"/>
      <c r="AB75" s="144"/>
      <c r="AC75" s="144"/>
      <c r="AD75" s="144"/>
      <c r="AE75" s="144"/>
      <c r="AF75" s="144"/>
      <c r="AG75" s="144"/>
      <c r="AH75" s="144"/>
      <c r="AI75" s="144"/>
      <c r="AJ75" s="144"/>
    </row>
    <row r="76" spans="2:36" x14ac:dyDescent="0.25">
      <c r="B76" s="3" t="str">
        <f t="shared" si="39"/>
        <v>Endeavour</v>
      </c>
      <c r="C76" s="3" t="str">
        <f t="shared" si="37"/>
        <v>Residential</v>
      </c>
      <c r="D76" s="3" t="str">
        <f t="shared" si="38"/>
        <v>with CL</v>
      </c>
      <c r="E76" s="3" t="s">
        <v>15</v>
      </c>
      <c r="F76" s="131">
        <f t="array" ref="F76">IFERROR(INDEX(Usage!$B$5:$P$18,MATCH($B76,Usage!$B$5:$B$18,0),MATCH($C76&amp;$D76&amp;$E76,Usage!$B$5:$S$5&amp;Usage!$B$6:$S$6&amp;Usage!$B$7:$S$7,0)),0)</f>
        <v>726</v>
      </c>
      <c r="G76" s="3" t="s">
        <v>70</v>
      </c>
      <c r="H76" s="128"/>
      <c r="I76" s="128">
        <f t="array" ref="I76">IFERROR(INDEX('Detail inputs'!$B$3:$K$195,MATCH($B76&amp;$C76&amp;$E76&amp;$G76&amp;I$5,'Detail inputs'!$B$3:$B$195&amp;'Detail inputs'!$D$3:$D$195&amp;'Detail inputs'!$F$3:$F$195&amp;'Detail inputs'!$G$3:$G$195&amp;'Detail inputs'!$H$3:$H$195,0),MATCH(I$4,'Detail inputs'!$B$3:$K$3,0)),0)</f>
        <v>99.07</v>
      </c>
      <c r="J76" s="128">
        <f>IF(AND(H76="",I76=""),"",H76+I76*+Usage!I$37/1000)</f>
        <v>71.924819999999997</v>
      </c>
      <c r="K76" s="144">
        <f>IFERROR(J76/J83,"")</f>
        <v>0.91558461422299264</v>
      </c>
      <c r="L76" s="144"/>
      <c r="M76" s="144">
        <f t="shared" si="40"/>
        <v>0.19572019783991124</v>
      </c>
      <c r="N76" s="141"/>
      <c r="O76" s="128"/>
      <c r="P76" s="128">
        <f t="array" ref="P76">IFERROR(INDEX('Detail inputs'!$B$3:$K$195,MATCH($B76&amp;$C76&amp;$E76&amp;$G76&amp;P$5,'Detail inputs'!$B$3:$B$195&amp;'Detail inputs'!$D$3:$D$195&amp;'Detail inputs'!$F$3:$F$195&amp;'Detail inputs'!$G$3:$G$195&amp;'Detail inputs'!$H$3:$H$195,0),MATCH(P$4,'Detail inputs'!$B$3:$K$3,0)),0)</f>
        <v>118.46</v>
      </c>
      <c r="Q76" s="128">
        <f>IF(AND(O76="",P76=""),"",O76+P76*$F76/1000)</f>
        <v>86.001959999999997</v>
      </c>
      <c r="R76" s="144">
        <f>IFERROR(Q76/Q83,"")</f>
        <v>0.90919322153593851</v>
      </c>
      <c r="S76" s="144"/>
      <c r="T76" s="378"/>
      <c r="U76" s="144"/>
      <c r="V76" s="144"/>
      <c r="W76" s="144"/>
      <c r="X76" s="144"/>
      <c r="Y76" s="144"/>
      <c r="Z76" s="144"/>
      <c r="AA76" s="144"/>
      <c r="AB76" s="144"/>
      <c r="AC76" s="144"/>
      <c r="AD76" s="144"/>
      <c r="AE76" s="144"/>
      <c r="AF76" s="144"/>
      <c r="AG76" s="144"/>
      <c r="AH76" s="144"/>
      <c r="AI76" s="144"/>
      <c r="AJ76" s="144"/>
    </row>
    <row r="77" spans="2:36" x14ac:dyDescent="0.25">
      <c r="B77" s="3" t="str">
        <f t="shared" si="39"/>
        <v>Endeavour</v>
      </c>
      <c r="C77" s="3" t="str">
        <f t="shared" si="37"/>
        <v>Residential</v>
      </c>
      <c r="D77" s="3" t="str">
        <f t="shared" si="38"/>
        <v>with CL</v>
      </c>
      <c r="E77" s="3" t="s">
        <v>15</v>
      </c>
      <c r="F77" s="131">
        <f t="array" ref="F77">IFERROR(INDEX(Usage!$B$5:$P$18,MATCH($B77,Usage!$B$5:$B$18,0),MATCH($C77&amp;$D77&amp;$E77,Usage!$B$5:$S$5&amp;Usage!$B$6:$S$6&amp;Usage!$B$7:$S$7,0)),0)</f>
        <v>726</v>
      </c>
      <c r="G77" s="3" t="s">
        <v>71</v>
      </c>
      <c r="H77" s="128"/>
      <c r="I77" s="128">
        <f t="array" ref="I77">IFERROR(INDEX('Detail inputs'!$B$3:$K$195,MATCH($B77&amp;$G77&amp;I$5,'Detail inputs'!$B$3:$B$195&amp;'Detail inputs'!$G$3:$G$195&amp;'Detail inputs'!$H$3:$H$195,0),MATCH(I$4,'Detail inputs'!$B$3:$K$3,0)),0)</f>
        <v>0.25</v>
      </c>
      <c r="J77" s="128">
        <f>IF(AND(H77="",I77=""),"",H77+I77*+Usage!I$37/1000)</f>
        <v>0.18149999999999999</v>
      </c>
      <c r="K77" s="144">
        <f>IFERROR(J77/J83,"")</f>
        <v>2.3104487085469686E-3</v>
      </c>
      <c r="L77" s="144"/>
      <c r="M77" s="144">
        <f t="shared" si="40"/>
        <v>-0.38484789629124383</v>
      </c>
      <c r="N77" s="141"/>
      <c r="O77" s="128"/>
      <c r="P77" s="128">
        <f t="array" ref="P77">IFERROR(INDEX('Detail inputs'!$B$3:$K$195,MATCH($B77&amp;$G77&amp;P$5,'Detail inputs'!$B$3:$B$195&amp;'Detail inputs'!$G$3:$G$195&amp;'Detail inputs'!$H$3:$H$195,0),MATCH(P$4,'Detail inputs'!$B$3:$K$3,0)),0)</f>
        <v>0.15378802592718904</v>
      </c>
      <c r="Q77" s="128">
        <f t="shared" ref="Q77:Q83" si="44">IF(AND(O77="",P77=""),"",O77+P77*$F77/1000)</f>
        <v>0.11165010682313924</v>
      </c>
      <c r="R77" s="144">
        <f>IFERROR(Q77/Q83,"")</f>
        <v>1.1803396144385737E-3</v>
      </c>
      <c r="S77" s="144"/>
      <c r="T77" s="144"/>
      <c r="U77" s="144"/>
      <c r="V77" s="144"/>
      <c r="W77" s="144"/>
      <c r="X77" s="144"/>
      <c r="Y77" s="144"/>
      <c r="Z77" s="144"/>
      <c r="AA77" s="144"/>
      <c r="AB77" s="144"/>
      <c r="AC77" s="144"/>
      <c r="AD77" s="144"/>
      <c r="AE77" s="144"/>
      <c r="AF77" s="144"/>
      <c r="AG77" s="144"/>
      <c r="AH77" s="144"/>
      <c r="AI77" s="144"/>
      <c r="AJ77" s="144"/>
    </row>
    <row r="78" spans="2:36" x14ac:dyDescent="0.25">
      <c r="B78" s="3" t="str">
        <f t="shared" si="39"/>
        <v>Endeavour</v>
      </c>
      <c r="C78" s="3" t="str">
        <f t="shared" si="37"/>
        <v>Residential</v>
      </c>
      <c r="D78" s="3" t="str">
        <f t="shared" si="38"/>
        <v>with CL</v>
      </c>
      <c r="E78" s="3" t="s">
        <v>15</v>
      </c>
      <c r="F78" s="131">
        <f t="array" ref="F78">IFERROR(INDEX(Usage!$B$5:$P$18,MATCH($B78,Usage!$B$5:$B$18,0),MATCH($C78&amp;$D78&amp;$E78,Usage!$B$5:$S$5&amp;Usage!$B$6:$S$6&amp;Usage!$B$7:$S$7,0)),0)</f>
        <v>726</v>
      </c>
      <c r="G78" s="3" t="s">
        <v>78</v>
      </c>
      <c r="H78" s="128"/>
      <c r="I78" s="128">
        <f t="array" ref="I78">IFERROR(INDEX('Detail inputs'!$B$3:$K$195,MATCH($B78&amp;$G78&amp;I$5,'Detail inputs'!$B$3:$B$195&amp;'Detail inputs'!$G$3:$G$195&amp;'Detail inputs'!$H$3:$H$195,0),MATCH(I$4,'Detail inputs'!$B$3:$K$3,0)),0)</f>
        <v>0.50409000000000004</v>
      </c>
      <c r="J78" s="128">
        <f>IF(AND(H78="",I78=""),"",H78+I78*+Usage!I$37/1000)</f>
        <v>0.36596934000000003</v>
      </c>
      <c r="K78" s="144">
        <f>IFERROR(J78/J83,"")</f>
        <v>4.6586963579657659E-3</v>
      </c>
      <c r="L78" s="144"/>
      <c r="M78" s="144">
        <f t="shared" si="40"/>
        <v>0.13953857446090967</v>
      </c>
      <c r="N78" s="141"/>
      <c r="O78" s="128"/>
      <c r="P78" s="128">
        <f t="array" ref="P78">IFERROR(INDEX('Detail inputs'!$B$3:$K$195,MATCH($B78&amp;$G78&amp;P$5,'Detail inputs'!$B$3:$B$195&amp;'Detail inputs'!$G$3:$G$195&amp;'Detail inputs'!$H$3:$H$195,0),MATCH(P$4,'Detail inputs'!$B$3:$K$3,0)),0)</f>
        <v>0.57443</v>
      </c>
      <c r="Q78" s="128">
        <f t="shared" si="44"/>
        <v>0.41703617999999998</v>
      </c>
      <c r="R78" s="144">
        <f>IFERROR(Q78/Q83,"")</f>
        <v>4.4088119386028121E-3</v>
      </c>
      <c r="S78" s="144"/>
      <c r="T78" s="144"/>
      <c r="U78" s="144"/>
      <c r="V78" s="144"/>
      <c r="W78" s="144"/>
      <c r="X78" s="144"/>
      <c r="Y78" s="144"/>
      <c r="Z78" s="144"/>
      <c r="AA78" s="144"/>
      <c r="AB78" s="144"/>
      <c r="AC78" s="144"/>
      <c r="AD78" s="144"/>
      <c r="AE78" s="144"/>
      <c r="AF78" s="144"/>
      <c r="AG78" s="144"/>
      <c r="AH78" s="144"/>
      <c r="AI78" s="144"/>
      <c r="AJ78" s="144"/>
    </row>
    <row r="79" spans="2:36" x14ac:dyDescent="0.25">
      <c r="B79" s="3" t="str">
        <f t="shared" si="39"/>
        <v>Endeavour</v>
      </c>
      <c r="C79" s="3" t="str">
        <f t="shared" si="37"/>
        <v>Residential</v>
      </c>
      <c r="D79" s="3" t="str">
        <f t="shared" si="38"/>
        <v>with CL</v>
      </c>
      <c r="E79" s="3" t="s">
        <v>15</v>
      </c>
      <c r="F79" s="131">
        <f t="array" ref="F79">IFERROR(INDEX(Usage!$B$5:$P$18,MATCH($B79,Usage!$B$5:$B$18,0),MATCH($C79&amp;$D79&amp;$E79,Usage!$B$5:$S$5&amp;Usage!$B$6:$S$6&amp;Usage!$B$7:$S$7,0)),0)</f>
        <v>726</v>
      </c>
      <c r="G79" s="3" t="s">
        <v>72</v>
      </c>
      <c r="H79" s="128"/>
      <c r="I79" s="128">
        <f t="array" ref="I79">IFERROR(INDEX('Detail inputs'!$B$3:$K$195,MATCH($B79&amp;$G79&amp;I$5,'Detail inputs'!$B$3:$B$195&amp;'Detail inputs'!$G$3:$G$195&amp;'Detail inputs'!$H$3:$H$195,0),MATCH(I$4,'Detail inputs'!$B$3:$K$3,0)),0)</f>
        <v>0</v>
      </c>
      <c r="J79" s="128">
        <f>IF(AND(H79="",I79=""),"",H79+I79*+Usage!I$37/1000)</f>
        <v>0</v>
      </c>
      <c r="K79" s="144">
        <f>IFERROR(J79/J83,"")</f>
        <v>0</v>
      </c>
      <c r="L79" s="144"/>
      <c r="M79" s="144" t="str">
        <f t="shared" si="40"/>
        <v/>
      </c>
      <c r="N79" s="141"/>
      <c r="O79" s="128"/>
      <c r="P79" s="128">
        <f t="array" ref="P79">IFERROR(INDEX('Detail inputs'!$B$3:$K$195,MATCH($B79&amp;$G79&amp;P$5,'Detail inputs'!$B$3:$B$195&amp;'Detail inputs'!$G$3:$G$195&amp;'Detail inputs'!$H$3:$H$195,0),MATCH(P$4,'Detail inputs'!$B$3:$K$3,0)),0)</f>
        <v>5.2786233739509421E-2</v>
      </c>
      <c r="Q79" s="128">
        <f t="shared" si="44"/>
        <v>3.8322805694883839E-2</v>
      </c>
      <c r="R79" s="144">
        <f>IFERROR(Q79/Q83,"")</f>
        <v>4.051400127163061E-4</v>
      </c>
      <c r="S79" s="144"/>
      <c r="T79" s="144"/>
      <c r="U79" s="144"/>
      <c r="V79" s="144"/>
      <c r="W79" s="144"/>
      <c r="X79" s="144"/>
      <c r="Y79" s="144"/>
      <c r="Z79" s="144"/>
      <c r="AA79" s="144"/>
      <c r="AB79" s="144"/>
      <c r="AC79" s="144"/>
      <c r="AD79" s="144"/>
      <c r="AE79" s="144"/>
      <c r="AF79" s="144"/>
      <c r="AG79" s="144"/>
      <c r="AH79" s="144"/>
      <c r="AI79" s="144"/>
      <c r="AJ79" s="144"/>
    </row>
    <row r="80" spans="2:36" x14ac:dyDescent="0.25">
      <c r="B80" s="3" t="str">
        <f t="shared" si="39"/>
        <v>Endeavour</v>
      </c>
      <c r="C80" s="3" t="str">
        <f t="shared" si="37"/>
        <v>Residential</v>
      </c>
      <c r="D80" s="3" t="str">
        <f t="shared" si="38"/>
        <v>with CL</v>
      </c>
      <c r="E80" s="3" t="s">
        <v>15</v>
      </c>
      <c r="F80" s="131">
        <f t="array" ref="F80">IFERROR(INDEX(Usage!$B$5:$P$18,MATCH($B80,Usage!$B$5:$B$18,0),MATCH($C80&amp;$D80&amp;$E80,Usage!$B$5:$S$5&amp;Usage!$B$6:$S$6&amp;Usage!$B$7:$S$7,0)),0)</f>
        <v>726</v>
      </c>
      <c r="G80" s="3" t="str">
        <f>+G72</f>
        <v>June 2022 Event Cost</v>
      </c>
      <c r="H80" s="128"/>
      <c r="I80" s="128">
        <f t="array" ref="I80">IFERROR(INDEX('Detail inputs'!$B$3:$K$195,MATCH($B80&amp;$G80&amp;I$5,'Detail inputs'!$B$3:$B$195&amp;'Detail inputs'!$G$3:$G$195&amp;'Detail inputs'!$H$3:$H$195,0),MATCH(I$4,'Detail inputs'!$B$3:$K$3,0)),0)</f>
        <v>0</v>
      </c>
      <c r="J80" s="128">
        <f>IF(AND(H80="",I80=""),"",H80+I80*+Usage!I$37/1000)</f>
        <v>0</v>
      </c>
      <c r="K80" s="144">
        <f>IFERROR(J80/J84,"")</f>
        <v>0</v>
      </c>
      <c r="L80" s="144"/>
      <c r="M80" s="144" t="str">
        <f t="shared" ref="M80" si="45">IF(OR(J80=0,Q80=""),"",Q80/J80-1)</f>
        <v/>
      </c>
      <c r="N80" s="141"/>
      <c r="O80" s="128"/>
      <c r="P80" s="128">
        <f t="array" ref="P80">IFERROR(INDEX('Detail inputs'!$B$3:$K$195,MATCH($B80&amp;$G80&amp;P$5,'Detail inputs'!$B$3:$B$195&amp;'Detail inputs'!$G$3:$G$195&amp;'Detail inputs'!$H$3:$H$195,0),MATCH(P$4,'Detail inputs'!$B$3:$K$3,0)),0)</f>
        <v>0.11507709849820914</v>
      </c>
      <c r="Q80" s="128">
        <f t="shared" ref="Q80" si="46">IF(AND(O80="",P80=""),"",O80+P80*$F80/1000)</f>
        <v>8.3545973509699833E-2</v>
      </c>
      <c r="R80" s="144">
        <f>IFERROR(Q80/Q84,"")</f>
        <v>6.6887153513626532E-5</v>
      </c>
      <c r="S80" s="144"/>
      <c r="T80" s="144"/>
      <c r="U80" s="144"/>
      <c r="V80" s="144"/>
      <c r="W80" s="144"/>
      <c r="X80" s="144"/>
      <c r="Y80" s="144"/>
      <c r="Z80" s="144"/>
      <c r="AA80" s="144"/>
      <c r="AB80" s="144"/>
      <c r="AC80" s="144"/>
      <c r="AD80" s="144"/>
      <c r="AE80" s="144"/>
      <c r="AF80" s="144"/>
      <c r="AG80" s="144"/>
      <c r="AH80" s="144"/>
      <c r="AI80" s="144"/>
      <c r="AJ80" s="144"/>
    </row>
    <row r="81" spans="2:36" x14ac:dyDescent="0.25">
      <c r="B81" s="3" t="str">
        <f t="shared" si="39"/>
        <v>Endeavour</v>
      </c>
      <c r="C81" s="3" t="str">
        <f t="shared" si="37"/>
        <v>Residential</v>
      </c>
      <c r="D81" s="3" t="str">
        <f t="shared" si="38"/>
        <v>with CL</v>
      </c>
      <c r="E81" s="3" t="s">
        <v>15</v>
      </c>
      <c r="F81" s="131">
        <f t="array" ref="F81">IFERROR(INDEX(Usage!$B$5:$P$18,MATCH($B81,Usage!$B$5:$B$18,0),MATCH($C81&amp;$D81&amp;$E81,Usage!$B$5:$S$5&amp;Usage!$B$6:$S$6&amp;Usage!$B$7:$S$7,0)),0)</f>
        <v>726</v>
      </c>
      <c r="G81" s="3" t="s">
        <v>135</v>
      </c>
      <c r="H81" s="128"/>
      <c r="I81" s="128">
        <f t="array" ref="I81">IFERROR(INDEX('Detail inputs'!$B$3:$K$195,MATCH($B81&amp;$G81&amp;I$5,'Detail inputs'!$B$3:$B$195&amp;'Detail inputs'!$G$3:$G$195&amp;'Detail inputs'!$H$3:$H$195,0),MATCH(I$4,'Detail inputs'!$B$3:$K$3,0)),0)</f>
        <v>2.93</v>
      </c>
      <c r="J81" s="128">
        <f>IF(AND(H81="",I81=""),"",H81+I81*+Usage!I$37/1000)</f>
        <v>2.1271800000000001</v>
      </c>
      <c r="K81" s="144">
        <f>IFERROR(J81/J83,"")</f>
        <v>2.7078458864170474E-2</v>
      </c>
      <c r="L81" s="144"/>
      <c r="M81" s="144">
        <f t="shared" si="40"/>
        <v>6.9926122942165048E-2</v>
      </c>
      <c r="N81" s="141"/>
      <c r="O81" s="128"/>
      <c r="P81" s="128">
        <f t="array" ref="P81">IFERROR(INDEX('Detail inputs'!$B$3:$K$195,MATCH($B81&amp;$G81&amp;P$5,'Detail inputs'!$B$3:$B$195&amp;'Detail inputs'!$G$3:$G$195&amp;'Detail inputs'!$H$3:$H$195,0),MATCH(P$4,'Detail inputs'!$B$3:$K$3,0)),0)</f>
        <v>3.1348835402205433</v>
      </c>
      <c r="Q81" s="128">
        <f t="shared" si="44"/>
        <v>2.2759254502001145</v>
      </c>
      <c r="R81" s="144">
        <f>IFERROR(Q81/Q83,"")</f>
        <v>2.406056782942009E-2</v>
      </c>
      <c r="S81" s="144"/>
      <c r="T81" s="144"/>
      <c r="U81" s="144"/>
      <c r="V81" s="144"/>
      <c r="W81" s="144"/>
      <c r="X81" s="144"/>
      <c r="Y81" s="144"/>
      <c r="Z81" s="144"/>
      <c r="AA81" s="144"/>
      <c r="AB81" s="144"/>
      <c r="AC81" s="144"/>
      <c r="AD81" s="144"/>
      <c r="AE81" s="144"/>
      <c r="AF81" s="144"/>
      <c r="AG81" s="144"/>
      <c r="AH81" s="144"/>
      <c r="AI81" s="144"/>
      <c r="AJ81" s="144"/>
    </row>
    <row r="82" spans="2:36" x14ac:dyDescent="0.25">
      <c r="B82" s="3" t="str">
        <f t="shared" si="39"/>
        <v>Endeavour</v>
      </c>
      <c r="C82" s="3" t="str">
        <f t="shared" si="37"/>
        <v>Residential</v>
      </c>
      <c r="D82" s="3" t="str">
        <f t="shared" si="38"/>
        <v>with CL</v>
      </c>
      <c r="E82" s="3" t="s">
        <v>15</v>
      </c>
      <c r="F82" s="131">
        <f t="array" ref="F82">IFERROR(INDEX(Usage!$B$5:$P$18,MATCH($B82,Usage!$B$5:$B$18,0),MATCH($C82&amp;$D82&amp;$E82,Usage!$B$5:$S$5&amp;Usage!$B$6:$S$6&amp;Usage!$B$7:$S$7,0)),0)</f>
        <v>726</v>
      </c>
      <c r="G82" s="3" t="s">
        <v>73</v>
      </c>
      <c r="H82" s="128"/>
      <c r="I82" s="128" cm="1">
        <f t="array" ref="I82">IFERROR(INDEX('Detail inputs'!$B$3:$K$195,MATCH($B82&amp;$C82&amp;$E82&amp;$G82&amp;I$5,'Detail inputs'!$B$3:$B$195&amp;'Detail inputs'!$D$3:$D$195&amp;'Detail inputs'!$F$3:$F$195&amp;'Detail inputs'!$G$3:$G$195&amp;'Detail inputs'!$H$3:$H$195,0),MATCH(I$4,'Detail inputs'!$B$3:$K$3,0)),0)*SUM(I76:I81)</f>
        <v>5.4459667700000001</v>
      </c>
      <c r="J82" s="128">
        <f>IF(AND(H82="",I82=""),"",H82+I82*+Usage!I$37/1000)</f>
        <v>3.9537718750200002</v>
      </c>
      <c r="K82" s="144">
        <f>IFERROR(J82/J83,"")</f>
        <v>5.0330507562144827E-2</v>
      </c>
      <c r="L82" s="144"/>
      <c r="M82" s="144">
        <f t="shared" si="40"/>
        <v>0.43232082811388306</v>
      </c>
      <c r="N82" s="141"/>
      <c r="O82" s="128"/>
      <c r="P82" s="128" cm="1">
        <f t="array" ref="P82">IFERROR(INDEX('Detail inputs'!$B$3:$K$195,MATCH($B82&amp;$C82&amp;$E82&amp;$G82&amp;P$5,'Detail inputs'!$B$3:$B$195&amp;'Detail inputs'!$D$3:$D$195&amp;'Detail inputs'!$F$3:$F$195&amp;'Detail inputs'!$G$3:$G$195&amp;'Detail inputs'!$H$3:$H$195,0),MATCH(P$4,'Detail inputs'!$B$3:$K$3,0)),0)*SUM(P76:P81)</f>
        <v>7.8003716338870897</v>
      </c>
      <c r="Q82" s="128">
        <f t="shared" si="44"/>
        <v>5.663069806202027</v>
      </c>
      <c r="R82" s="144">
        <f>IFERROR(Q82/Q83,"")</f>
        <v>5.9868689979667024E-2</v>
      </c>
      <c r="S82" s="144"/>
      <c r="T82" s="144"/>
      <c r="U82" s="144"/>
      <c r="V82" s="144"/>
      <c r="W82" s="144"/>
      <c r="X82" s="144"/>
      <c r="Y82" s="144"/>
      <c r="Z82" s="144"/>
      <c r="AA82" s="144"/>
      <c r="AB82" s="144"/>
      <c r="AC82" s="144"/>
      <c r="AD82" s="144"/>
      <c r="AE82" s="144"/>
      <c r="AF82" s="144"/>
      <c r="AG82" s="144"/>
      <c r="AH82" s="144"/>
      <c r="AI82" s="144"/>
      <c r="AJ82" s="144"/>
    </row>
    <row r="83" spans="2:36" x14ac:dyDescent="0.25">
      <c r="B83" s="3" t="str">
        <f t="shared" si="39"/>
        <v>Endeavour</v>
      </c>
      <c r="C83" s="3" t="str">
        <f t="shared" si="37"/>
        <v>Residential</v>
      </c>
      <c r="D83" s="3" t="str">
        <f t="shared" si="38"/>
        <v>with CL</v>
      </c>
      <c r="E83" s="3" t="s">
        <v>15</v>
      </c>
      <c r="F83" s="131">
        <f t="array" ref="F83">IFERROR(INDEX(Usage!$B$5:$P$18,MATCH($B83,Usage!$B$5:$B$18,0),MATCH($C83&amp;$D83&amp;$E83,Usage!$B$5:$S$5&amp;Usage!$B$6:$S$6&amp;Usage!$B$7:$S$7,0)),0)</f>
        <v>726</v>
      </c>
      <c r="G83" s="5" t="s">
        <v>55</v>
      </c>
      <c r="H83" s="130"/>
      <c r="I83" s="130">
        <v>108.20409000000001</v>
      </c>
      <c r="J83" s="130">
        <f>IF(AND(H83="",I83=""),"",H83+I83*+Usage!I$37/1000)</f>
        <v>78.556169340000011</v>
      </c>
      <c r="K83" s="145"/>
      <c r="L83" s="152"/>
      <c r="M83" s="145">
        <f t="shared" si="40"/>
        <v>0.20412580090339039</v>
      </c>
      <c r="N83" s="150"/>
      <c r="O83" s="130"/>
      <c r="P83" s="130">
        <f>SUM(P76:P82)</f>
        <v>130.29133653227254</v>
      </c>
      <c r="Q83" s="130">
        <f t="shared" si="44"/>
        <v>94.591510322429869</v>
      </c>
      <c r="R83" s="144"/>
      <c r="S83" s="144"/>
      <c r="T83" s="144"/>
      <c r="U83" s="144"/>
      <c r="V83" s="144"/>
      <c r="W83" s="144"/>
      <c r="X83" s="144"/>
      <c r="Y83" s="144"/>
      <c r="Z83" s="144"/>
      <c r="AA83" s="144"/>
      <c r="AB83" s="144"/>
      <c r="AC83" s="144"/>
      <c r="AD83" s="144"/>
      <c r="AE83" s="144"/>
      <c r="AF83" s="144"/>
      <c r="AG83" s="144"/>
      <c r="AH83" s="144"/>
      <c r="AI83" s="144"/>
      <c r="AJ83" s="144"/>
    </row>
    <row r="84" spans="2:36" x14ac:dyDescent="0.25">
      <c r="B84" s="3" t="str">
        <f t="shared" si="39"/>
        <v>Endeavour</v>
      </c>
      <c r="C84" s="3" t="str">
        <f t="shared" si="37"/>
        <v>Residential</v>
      </c>
      <c r="D84" s="3" t="str">
        <f t="shared" si="38"/>
        <v>with CL</v>
      </c>
      <c r="E84" s="3" t="s">
        <v>55</v>
      </c>
      <c r="F84" s="131">
        <f t="array" ref="F84">IFERROR(INDEX(Usage!$B$5:$P$18,MATCH($B84,Usage!$B$5:$B$18,0),MATCH($C84&amp;$D84&amp;$E84,Usage!$B$5:$S$5&amp;Usage!$B$6:$S$6&amp;Usage!$B$7:$S$7,0)),0)</f>
        <v>7400</v>
      </c>
      <c r="G84" s="5" t="s">
        <v>55</v>
      </c>
      <c r="H84" s="130"/>
      <c r="I84" s="130"/>
      <c r="J84" s="130">
        <f>J67+J75+J83</f>
        <v>1153.2160445714285</v>
      </c>
      <c r="K84" s="145"/>
      <c r="L84" s="152"/>
      <c r="M84" s="145">
        <f t="shared" si="40"/>
        <v>8.3108922807525021E-2</v>
      </c>
      <c r="N84" s="150"/>
      <c r="O84" s="130"/>
      <c r="P84" s="130"/>
      <c r="Q84" s="130">
        <f>Q67+Q75+Q83</f>
        <v>1249.0585878001148</v>
      </c>
      <c r="R84" s="144"/>
      <c r="S84" s="144"/>
      <c r="T84" s="144"/>
      <c r="U84" s="144"/>
      <c r="V84" s="144"/>
      <c r="W84" s="144"/>
      <c r="X84" s="144"/>
      <c r="Y84" s="144"/>
      <c r="Z84" s="144"/>
      <c r="AA84" s="144"/>
      <c r="AB84" s="144"/>
      <c r="AC84" s="144"/>
      <c r="AD84" s="144"/>
      <c r="AE84" s="144"/>
      <c r="AF84" s="144"/>
      <c r="AG84" s="144"/>
      <c r="AH84" s="144"/>
      <c r="AI84" s="144"/>
      <c r="AJ84" s="144"/>
    </row>
    <row r="85" spans="2:36" x14ac:dyDescent="0.25">
      <c r="B85" s="3" t="str">
        <f t="shared" si="39"/>
        <v>Endeavour</v>
      </c>
      <c r="C85" s="3" t="str">
        <f t="shared" si="37"/>
        <v>Residential</v>
      </c>
      <c r="D85" s="3" t="str">
        <f t="shared" si="38"/>
        <v>with CL</v>
      </c>
      <c r="F85" s="131"/>
      <c r="G85" s="3" t="s">
        <v>38</v>
      </c>
      <c r="H85" s="128"/>
      <c r="I85" s="128"/>
      <c r="J85" s="128">
        <f>J84*GST</f>
        <v>115.32160445714285</v>
      </c>
      <c r="K85" s="144"/>
      <c r="L85" s="151"/>
      <c r="M85" s="144"/>
      <c r="N85" s="149"/>
      <c r="O85" s="128"/>
      <c r="P85" s="128"/>
      <c r="Q85" s="128">
        <f>Q84*GST</f>
        <v>124.90585878001149</v>
      </c>
      <c r="R85" s="145"/>
      <c r="S85" s="145"/>
      <c r="T85" s="145"/>
      <c r="U85" s="145"/>
      <c r="V85" s="145"/>
      <c r="W85" s="145"/>
      <c r="X85" s="145"/>
      <c r="Y85" s="145"/>
      <c r="Z85" s="145"/>
      <c r="AA85" s="145"/>
      <c r="AB85" s="145"/>
      <c r="AC85" s="145"/>
      <c r="AD85" s="145"/>
      <c r="AE85" s="145"/>
      <c r="AF85" s="145"/>
      <c r="AG85" s="145"/>
      <c r="AH85" s="145"/>
      <c r="AI85" s="145"/>
      <c r="AJ85" s="145"/>
    </row>
    <row r="86" spans="2:36" x14ac:dyDescent="0.25">
      <c r="B86" s="3" t="str">
        <f t="shared" si="39"/>
        <v>Endeavour</v>
      </c>
      <c r="C86" s="3" t="str">
        <f t="shared" si="37"/>
        <v>Residential</v>
      </c>
      <c r="D86" s="3" t="str">
        <f t="shared" si="38"/>
        <v>with CL</v>
      </c>
      <c r="F86" s="131"/>
      <c r="G86" s="5" t="s">
        <v>80</v>
      </c>
      <c r="H86" s="130"/>
      <c r="I86" s="130"/>
      <c r="J86" s="130">
        <f>SUM(J84:J85)</f>
        <v>1268.5376490285714</v>
      </c>
      <c r="K86" s="145"/>
      <c r="L86" s="152"/>
      <c r="M86" s="145">
        <f>IF(OR(J86=0,Q86=""),"",Q86/J86-1)</f>
        <v>8.3108922807525021E-2</v>
      </c>
      <c r="N86" s="150"/>
      <c r="O86" s="130"/>
      <c r="P86" s="130"/>
      <c r="Q86" s="130">
        <f>SUM(Q84:Q85)</f>
        <v>1373.9644465801262</v>
      </c>
      <c r="R86" s="145"/>
      <c r="S86" s="145"/>
      <c r="T86" s="145"/>
      <c r="U86" s="145"/>
      <c r="V86" s="145"/>
      <c r="W86" s="145"/>
      <c r="X86" s="145"/>
      <c r="Y86" s="145"/>
      <c r="Z86" s="145"/>
      <c r="AA86" s="145"/>
      <c r="AB86" s="145"/>
      <c r="AC86" s="145"/>
      <c r="AD86" s="145"/>
      <c r="AE86" s="145"/>
      <c r="AF86" s="145"/>
      <c r="AG86" s="145"/>
      <c r="AH86" s="145"/>
      <c r="AI86" s="145"/>
      <c r="AJ86" s="145"/>
    </row>
    <row r="87" spans="2:36" x14ac:dyDescent="0.25">
      <c r="F87" s="131"/>
      <c r="H87" s="128"/>
      <c r="I87" s="128"/>
      <c r="J87" s="128"/>
      <c r="K87" s="143"/>
      <c r="L87" s="151"/>
      <c r="M87" s="143"/>
      <c r="N87" s="149"/>
      <c r="O87" s="128"/>
      <c r="P87" s="128"/>
      <c r="Q87" s="128"/>
      <c r="R87" s="143"/>
      <c r="S87" s="143"/>
      <c r="T87" s="143"/>
      <c r="U87" s="143"/>
      <c r="V87" s="143"/>
      <c r="W87" s="143"/>
      <c r="X87" s="143"/>
      <c r="Y87" s="143"/>
      <c r="Z87" s="143"/>
      <c r="AA87" s="143"/>
      <c r="AB87" s="143"/>
      <c r="AC87" s="143"/>
      <c r="AD87" s="143"/>
      <c r="AE87" s="143"/>
      <c r="AF87" s="143"/>
      <c r="AG87" s="143"/>
      <c r="AH87" s="143"/>
      <c r="AI87" s="143"/>
      <c r="AJ87" s="143"/>
    </row>
    <row r="88" spans="2:36" x14ac:dyDescent="0.25">
      <c r="B88" s="5" t="s">
        <v>4</v>
      </c>
      <c r="C88" s="5" t="s">
        <v>13</v>
      </c>
      <c r="D88" s="5" t="s">
        <v>127</v>
      </c>
      <c r="F88" s="131"/>
      <c r="H88" s="128"/>
      <c r="I88" s="128"/>
      <c r="J88" s="128"/>
      <c r="K88" s="143"/>
      <c r="L88" s="151"/>
      <c r="M88" s="143"/>
      <c r="N88" s="149"/>
      <c r="O88" s="128"/>
      <c r="P88" s="128"/>
      <c r="Q88" s="128"/>
      <c r="R88" s="143"/>
      <c r="S88" s="143"/>
      <c r="T88" s="143"/>
      <c r="U88" s="143"/>
      <c r="V88" s="143"/>
      <c r="W88" s="143"/>
      <c r="X88" s="143"/>
      <c r="Y88" s="143"/>
      <c r="Z88" s="143"/>
      <c r="AA88" s="143"/>
      <c r="AB88" s="143"/>
      <c r="AC88" s="143"/>
      <c r="AD88" s="143"/>
      <c r="AE88" s="143"/>
      <c r="AF88" s="143"/>
      <c r="AG88" s="143"/>
      <c r="AH88" s="143"/>
      <c r="AI88" s="143"/>
      <c r="AJ88" s="143"/>
    </row>
    <row r="89" spans="2:36" x14ac:dyDescent="0.25">
      <c r="B89" s="3" t="str">
        <f>B88</f>
        <v>Endeavour</v>
      </c>
      <c r="C89" s="3" t="str">
        <f t="shared" ref="C89:C98" si="47">C88</f>
        <v>Small business</v>
      </c>
      <c r="D89" s="3" t="str">
        <f t="shared" ref="D89:D98" si="48">D88</f>
        <v>without CL</v>
      </c>
      <c r="E89" s="3" t="s">
        <v>19</v>
      </c>
      <c r="F89" s="131">
        <f t="array" ref="F89">IFERROR(INDEX(Usage!$B$5:$P$18,MATCH($B89,Usage!$B$5:$B$18,0),MATCH($C89&amp;$D89&amp;$E89,Usage!$B$5:$S$5&amp;Usage!$B$6:$S$6&amp;Usage!$B$7:$S$7,0)),0)</f>
        <v>10000</v>
      </c>
      <c r="G89" s="3" t="s">
        <v>70</v>
      </c>
      <c r="H89" s="128"/>
      <c r="I89" s="128">
        <f t="array" ref="I89">IFERROR(INDEX('Detail inputs'!$B$3:$K$195,MATCH($B89&amp;$C89&amp;$E89&amp;$G89&amp;I$5,'Detail inputs'!$B$3:$B$195&amp;'Detail inputs'!$D$3:$D$195&amp;'Detail inputs'!$F$3:$F$195&amp;'Detail inputs'!$G$3:$G$195&amp;'Detail inputs'!$H$3:$H$195,0),MATCH(I$4,'Detail inputs'!$B$3:$K$3,0)),0)</f>
        <v>161.28</v>
      </c>
      <c r="J89" s="128">
        <f>IF(AND(H89="",I89=""),"",H89+I89*+Usage!M$37/1000)</f>
        <v>1612.8</v>
      </c>
      <c r="K89" s="143">
        <f>IFERROR(J89/J96,"")</f>
        <v>0.92215504323857611</v>
      </c>
      <c r="L89" s="143"/>
      <c r="M89" s="143">
        <f t="shared" ref="M89:M96" si="49">IF(OR(J89=0,Q89=""),"",Q89/J89-1)</f>
        <v>3.8364955357142794E-2</v>
      </c>
      <c r="N89" s="140"/>
      <c r="O89" s="128"/>
      <c r="P89" s="128">
        <f t="array" ref="P89">IFERROR(INDEX('Detail inputs'!$B$3:$K$195,MATCH($B89&amp;$C89&amp;$E89&amp;$G89&amp;P$5,'Detail inputs'!$B$3:$B$195&amp;'Detail inputs'!$D$3:$D$195&amp;'Detail inputs'!$F$3:$F$195&amp;'Detail inputs'!$G$3:$G$195&amp;'Detail inputs'!$H$3:$H$195,0),MATCH(P$4,'Detail inputs'!$B$3:$K$3,0)),0)</f>
        <v>167.4675</v>
      </c>
      <c r="Q89" s="128">
        <f>IF(AND(O89="",P89=""),"",O89+P89*$F89/1000)</f>
        <v>1674.675</v>
      </c>
      <c r="R89" s="143">
        <f>IFERROR(Q89/Q96,"")</f>
        <v>0.911123876992882</v>
      </c>
      <c r="S89" s="143"/>
      <c r="T89" s="378"/>
      <c r="U89" s="143"/>
      <c r="V89" s="143"/>
      <c r="W89" s="143"/>
      <c r="X89" s="143"/>
      <c r="Y89" s="143"/>
      <c r="Z89" s="143"/>
      <c r="AA89" s="143"/>
      <c r="AB89" s="143"/>
      <c r="AC89" s="143"/>
      <c r="AD89" s="143"/>
      <c r="AE89" s="143"/>
      <c r="AF89" s="143"/>
      <c r="AG89" s="143"/>
      <c r="AH89" s="143"/>
      <c r="AI89" s="143"/>
      <c r="AJ89" s="143"/>
    </row>
    <row r="90" spans="2:36" x14ac:dyDescent="0.25">
      <c r="B90" s="3" t="str">
        <f t="shared" ref="B90:B98" si="50">B89</f>
        <v>Endeavour</v>
      </c>
      <c r="C90" s="3" t="str">
        <f t="shared" si="47"/>
        <v>Small business</v>
      </c>
      <c r="D90" s="3" t="str">
        <f t="shared" si="48"/>
        <v>without CL</v>
      </c>
      <c r="E90" s="3" t="s">
        <v>19</v>
      </c>
      <c r="F90" s="131">
        <f t="array" ref="F90">IFERROR(INDEX(Usage!$B$5:$P$18,MATCH($B90,Usage!$B$5:$B$18,0),MATCH($C90&amp;$D90&amp;$E90,Usage!$B$5:$S$5&amp;Usage!$B$6:$S$6&amp;Usage!$B$7:$S$7,0)),0)</f>
        <v>10000</v>
      </c>
      <c r="G90" s="3" t="s">
        <v>71</v>
      </c>
      <c r="H90" s="128"/>
      <c r="I90" s="128">
        <f t="array" ref="I90">IFERROR(INDEX('Detail inputs'!$B$3:$K$195,MATCH($B90&amp;$G90&amp;I$5,'Detail inputs'!$B$3:$B$195&amp;'Detail inputs'!$G$3:$G$195&amp;'Detail inputs'!$H$3:$H$195,0),MATCH(I$4,'Detail inputs'!$B$3:$K$3,0)),0)</f>
        <v>0.25</v>
      </c>
      <c r="J90" s="128">
        <f>IF(AND(H90="",I90=""),"",H90+I90*+Usage!M$37/1000)</f>
        <v>2.5</v>
      </c>
      <c r="K90" s="143">
        <f>IFERROR(J90/J96,"")</f>
        <v>1.429431800655035E-3</v>
      </c>
      <c r="L90" s="143"/>
      <c r="M90" s="143">
        <f t="shared" si="49"/>
        <v>-0.38484789629124383</v>
      </c>
      <c r="N90" s="140"/>
      <c r="O90" s="128"/>
      <c r="P90" s="128">
        <f t="array" ref="P90">IFERROR(INDEX('Detail inputs'!$B$3:$K$195,MATCH($B90&amp;$G90&amp;P$5,'Detail inputs'!$B$3:$B$195&amp;'Detail inputs'!$G$3:$G$195&amp;'Detail inputs'!$H$3:$H$195,0),MATCH(P$4,'Detail inputs'!$B$3:$K$3,0)),0)</f>
        <v>0.15378802592718904</v>
      </c>
      <c r="Q90" s="128">
        <f t="shared" ref="Q90:Q96" si="51">IF(AND(O90="",P90=""),"",O90+P90*$F90/1000)</f>
        <v>1.5378802592718905</v>
      </c>
      <c r="R90" s="143">
        <f>IFERROR(Q90/Q96,"")</f>
        <v>8.3669931430195316E-4</v>
      </c>
      <c r="S90" s="143"/>
      <c r="T90" s="143"/>
      <c r="U90" s="143"/>
      <c r="V90" s="143"/>
      <c r="W90" s="143"/>
      <c r="X90" s="143"/>
      <c r="Y90" s="143"/>
      <c r="Z90" s="143"/>
      <c r="AA90" s="143"/>
      <c r="AB90" s="143"/>
      <c r="AC90" s="143"/>
      <c r="AD90" s="143"/>
      <c r="AE90" s="143"/>
      <c r="AF90" s="143"/>
      <c r="AG90" s="143"/>
      <c r="AH90" s="143"/>
      <c r="AI90" s="143"/>
      <c r="AJ90" s="143"/>
    </row>
    <row r="91" spans="2:36" x14ac:dyDescent="0.25">
      <c r="B91" s="3" t="str">
        <f t="shared" si="50"/>
        <v>Endeavour</v>
      </c>
      <c r="C91" s="3" t="str">
        <f t="shared" si="47"/>
        <v>Small business</v>
      </c>
      <c r="D91" s="3" t="str">
        <f t="shared" si="48"/>
        <v>without CL</v>
      </c>
      <c r="E91" s="3" t="s">
        <v>19</v>
      </c>
      <c r="F91" s="131">
        <f t="array" ref="F91">IFERROR(INDEX(Usage!$B$5:$P$18,MATCH($B91,Usage!$B$5:$B$18,0),MATCH($C91&amp;$D91&amp;$E91,Usage!$B$5:$S$5&amp;Usage!$B$6:$S$6&amp;Usage!$B$7:$S$7,0)),0)</f>
        <v>10000</v>
      </c>
      <c r="G91" s="3" t="s">
        <v>78</v>
      </c>
      <c r="H91" s="128" cm="1">
        <f t="array" ref="H91">IFERROR(INDEX('Detail inputs'!$B$3:$K$195,MATCH($B91&amp;$G91&amp;H$5,'Detail inputs'!$B$3:$B$195&amp;'Detail inputs'!$G$3:$G$195&amp;'Detail inputs'!$H$3:$H$195,0),MATCH(H$4,'Detail inputs'!$B$3:$K$3,0)),0)*Days/7</f>
        <v>11.905778571428572</v>
      </c>
      <c r="I91" s="128">
        <f t="array" ref="I91">IFERROR(INDEX('Detail inputs'!$B$3:$K$195,MATCH($B91&amp;$G91&amp;I$5,'Detail inputs'!$B$3:$B$195&amp;'Detail inputs'!$G$3:$G$195&amp;'Detail inputs'!$H$3:$H$195,0),MATCH(I$4,'Detail inputs'!$B$3:$K$3,0)),0)</f>
        <v>0.50409000000000004</v>
      </c>
      <c r="J91" s="128">
        <f>IF(AND(H91="",I91=""),"",H91+I91*+Usage!M$37/1000)</f>
        <v>16.946678571428571</v>
      </c>
      <c r="K91" s="143">
        <f>IFERROR(J91/J96,"")</f>
        <v>9.6896485061916948E-3</v>
      </c>
      <c r="L91" s="143"/>
      <c r="M91" s="143">
        <f t="shared" si="49"/>
        <v>0.15536174548729376</v>
      </c>
      <c r="N91" s="140"/>
      <c r="O91" s="128" cm="1">
        <f t="array" ref="O91">IFERROR(INDEX('Detail inputs'!$B$3:$K$195,MATCH($B91&amp;$G91&amp;O$5,'Detail inputs'!$B$3:$B$195&amp;'Detail inputs'!$G$3:$G$195&amp;'Detail inputs'!$H$3:$H$195,0),MATCH(O$4,'Detail inputs'!$B$3:$K$3,0)),0)*Days/7</f>
        <v>13.835244134497829</v>
      </c>
      <c r="P91" s="128">
        <f t="array" ref="P91">IFERROR(INDEX('Detail inputs'!$B$3:$K$195,MATCH($B91&amp;$G91&amp;P$5,'Detail inputs'!$B$3:$B$195&amp;'Detail inputs'!$G$3:$G$195&amp;'Detail inputs'!$H$3:$H$195,0),MATCH(P$4,'Detail inputs'!$B$3:$K$3,0)),0)</f>
        <v>0.57443</v>
      </c>
      <c r="Q91" s="128">
        <f t="shared" si="51"/>
        <v>19.57954413449783</v>
      </c>
      <c r="R91" s="143">
        <f>IFERROR(Q91/Q96,"")</f>
        <v>1.0652449079120966E-2</v>
      </c>
      <c r="S91" s="143"/>
      <c r="T91" s="143"/>
      <c r="U91" s="143"/>
      <c r="V91" s="143"/>
      <c r="W91" s="143"/>
      <c r="X91" s="143"/>
      <c r="Y91" s="143"/>
      <c r="Z91" s="143"/>
      <c r="AA91" s="143"/>
      <c r="AB91" s="143"/>
      <c r="AC91" s="143"/>
      <c r="AD91" s="143"/>
      <c r="AE91" s="143"/>
      <c r="AF91" s="143"/>
      <c r="AG91" s="143"/>
      <c r="AH91" s="143"/>
      <c r="AI91" s="143"/>
      <c r="AJ91" s="143"/>
    </row>
    <row r="92" spans="2:36" x14ac:dyDescent="0.25">
      <c r="B92" s="3" t="str">
        <f t="shared" si="50"/>
        <v>Endeavour</v>
      </c>
      <c r="C92" s="3" t="str">
        <f t="shared" si="47"/>
        <v>Small business</v>
      </c>
      <c r="D92" s="3" t="str">
        <f t="shared" si="48"/>
        <v>without CL</v>
      </c>
      <c r="E92" s="3" t="s">
        <v>19</v>
      </c>
      <c r="F92" s="131">
        <f t="array" ref="F92">IFERROR(INDEX(Usage!$B$5:$P$18,MATCH($B92,Usage!$B$5:$B$18,0),MATCH($C92&amp;$D92&amp;$E92,Usage!$B$5:$S$5&amp;Usage!$B$6:$S$6&amp;Usage!$B$7:$S$7,0)),0)</f>
        <v>10000</v>
      </c>
      <c r="G92" s="3" t="s">
        <v>72</v>
      </c>
      <c r="H92" s="128"/>
      <c r="I92" s="128">
        <f t="array" ref="I92">IFERROR(INDEX('Detail inputs'!$B$3:$K$195,MATCH($B92&amp;$G92&amp;I$5,'Detail inputs'!$B$3:$B$195&amp;'Detail inputs'!$G$3:$G$195&amp;'Detail inputs'!$H$3:$H$195,0),MATCH(I$4,'Detail inputs'!$B$3:$K$3,0)),0)</f>
        <v>0</v>
      </c>
      <c r="J92" s="128">
        <f>IF(AND(H92="",I92=""),"",H92+I92*+Usage!M$37/1000)</f>
        <v>0</v>
      </c>
      <c r="K92" s="143">
        <f>IFERROR(J92/J96,"")</f>
        <v>0</v>
      </c>
      <c r="L92" s="143"/>
      <c r="M92" s="143" t="str">
        <f t="shared" si="49"/>
        <v/>
      </c>
      <c r="N92" s="140"/>
      <c r="O92" s="128"/>
      <c r="P92" s="128">
        <f t="array" ref="P92">IFERROR(INDEX('Detail inputs'!$B$3:$K$195,MATCH($B92&amp;$G92&amp;P$5,'Detail inputs'!$B$3:$B$195&amp;'Detail inputs'!$G$3:$G$195&amp;'Detail inputs'!$H$3:$H$195,0),MATCH(P$4,'Detail inputs'!$B$3:$K$3,0)),0)</f>
        <v>5.2786233739509421E-2</v>
      </c>
      <c r="Q92" s="128">
        <f t="shared" si="51"/>
        <v>0.52786233739509414</v>
      </c>
      <c r="R92" s="143">
        <f>IFERROR(Q92/Q96,"")</f>
        <v>2.8718884521829186E-4</v>
      </c>
      <c r="S92" s="143"/>
      <c r="T92" s="143"/>
      <c r="U92" s="143"/>
      <c r="V92" s="143"/>
      <c r="W92" s="143"/>
      <c r="X92" s="143"/>
      <c r="Y92" s="143"/>
      <c r="Z92" s="143"/>
      <c r="AA92" s="143"/>
      <c r="AB92" s="143"/>
      <c r="AC92" s="143"/>
      <c r="AD92" s="143"/>
      <c r="AE92" s="143"/>
      <c r="AF92" s="143"/>
      <c r="AG92" s="143"/>
      <c r="AH92" s="143"/>
      <c r="AI92" s="143"/>
      <c r="AJ92" s="143"/>
    </row>
    <row r="93" spans="2:36" x14ac:dyDescent="0.25">
      <c r="B93" s="3" t="str">
        <f t="shared" si="50"/>
        <v>Endeavour</v>
      </c>
      <c r="C93" s="3" t="str">
        <f t="shared" si="47"/>
        <v>Small business</v>
      </c>
      <c r="D93" s="3" t="str">
        <f t="shared" si="48"/>
        <v>without CL</v>
      </c>
      <c r="E93" s="3" t="s">
        <v>19</v>
      </c>
      <c r="F93" s="131">
        <f t="array" ref="F93">IFERROR(INDEX(Usage!$B$5:$P$18,MATCH($B93,Usage!$B$5:$B$18,0),MATCH($C93&amp;$D93&amp;$E93,Usage!$B$5:$S$5&amp;Usage!$B$6:$S$6&amp;Usage!$B$7:$S$7,0)),0)</f>
        <v>10000</v>
      </c>
      <c r="G93" s="3" t="str">
        <f>+G105</f>
        <v>June 2022 Event Cost</v>
      </c>
      <c r="H93" s="128"/>
      <c r="I93" s="128">
        <f t="array" ref="I93">IFERROR(INDEX('Detail inputs'!$B$3:$K$195,MATCH($B93&amp;$G93&amp;I$5,'Detail inputs'!$B$3:$B$195&amp;'Detail inputs'!$G$3:$G$195&amp;'Detail inputs'!$H$3:$H$195,0),MATCH(I$4,'Detail inputs'!$B$3:$K$3,0)),0)</f>
        <v>0</v>
      </c>
      <c r="J93" s="128">
        <f>IF(AND(H93="",I93=""),"",H93+I93*+Usage!M$37/1000)</f>
        <v>0</v>
      </c>
      <c r="K93" s="143">
        <f>IFERROR(J93/J97,"")</f>
        <v>0</v>
      </c>
      <c r="L93" s="143"/>
      <c r="M93" s="143" t="str">
        <f t="shared" ref="M93" si="52">IF(OR(J93=0,Q93=""),"",Q93/J93-1)</f>
        <v/>
      </c>
      <c r="N93" s="140"/>
      <c r="O93" s="128"/>
      <c r="P93" s="128">
        <f t="array" ref="P93">IFERROR(INDEX('Detail inputs'!$B$3:$K$195,MATCH($B93&amp;$G93&amp;P$5,'Detail inputs'!$B$3:$B$195&amp;'Detail inputs'!$G$3:$G$195&amp;'Detail inputs'!$H$3:$H$195,0),MATCH(P$4,'Detail inputs'!$B$3:$K$3,0)),0)</f>
        <v>0.11507709849820914</v>
      </c>
      <c r="Q93" s="128">
        <f t="shared" ref="Q93" si="53">IF(AND(O93="",P93=""),"",O93+P93*$F93/1000)</f>
        <v>1.1507709849820915</v>
      </c>
      <c r="R93" s="143">
        <f>IFERROR(Q93/Q97,"")</f>
        <v>6.2608859711155941E-3</v>
      </c>
      <c r="S93" s="143"/>
      <c r="T93" s="143"/>
      <c r="U93" s="143"/>
      <c r="V93" s="143"/>
      <c r="W93" s="143"/>
      <c r="X93" s="143"/>
      <c r="Y93" s="143"/>
      <c r="Z93" s="143"/>
      <c r="AA93" s="143"/>
      <c r="AB93" s="143"/>
      <c r="AC93" s="143"/>
      <c r="AD93" s="143"/>
      <c r="AE93" s="143"/>
      <c r="AF93" s="143"/>
      <c r="AG93" s="143"/>
      <c r="AH93" s="143"/>
      <c r="AI93" s="143"/>
      <c r="AJ93" s="143"/>
    </row>
    <row r="94" spans="2:36" x14ac:dyDescent="0.25">
      <c r="B94" s="3" t="str">
        <f t="shared" si="50"/>
        <v>Endeavour</v>
      </c>
      <c r="C94" s="3" t="str">
        <f t="shared" si="47"/>
        <v>Small business</v>
      </c>
      <c r="D94" s="3" t="str">
        <f t="shared" si="48"/>
        <v>without CL</v>
      </c>
      <c r="E94" s="3" t="s">
        <v>19</v>
      </c>
      <c r="F94" s="131">
        <f t="array" ref="F94">IFERROR(INDEX(Usage!$B$5:$P$18,MATCH($B94,Usage!$B$5:$B$18,0),MATCH($C94&amp;$D94&amp;$E94,Usage!$B$5:$S$5&amp;Usage!$B$6:$S$6&amp;Usage!$B$7:$S$7,0)),0)</f>
        <v>10000</v>
      </c>
      <c r="G94" s="3" t="s">
        <v>135</v>
      </c>
      <c r="H94" s="128"/>
      <c r="I94" s="128">
        <f t="array" ref="I94">IFERROR(INDEX('Detail inputs'!$B$3:$K$195,MATCH($B94&amp;$G94&amp;I$5,'Detail inputs'!$B$3:$B$195&amp;'Detail inputs'!$G$3:$G$195&amp;'Detail inputs'!$H$3:$H$195,0),MATCH(I$4,'Detail inputs'!$B$3:$K$3,0)),0)</f>
        <v>2.93</v>
      </c>
      <c r="J94" s="128">
        <f>IF(AND(H94="",I94=""),"",H94+I94*+Usage!M$37/1000)</f>
        <v>29.3</v>
      </c>
      <c r="K94" s="143">
        <f>IFERROR(J94/J96,"")</f>
        <v>1.675294070367701E-2</v>
      </c>
      <c r="L94" s="143"/>
      <c r="M94" s="143">
        <f t="shared" si="49"/>
        <v>6.9926122942165048E-2</v>
      </c>
      <c r="N94" s="140"/>
      <c r="O94" s="128"/>
      <c r="P94" s="128">
        <f t="array" ref="P94">IFERROR(INDEX('Detail inputs'!$B$3:$K$195,MATCH($B94&amp;$G94&amp;P$5,'Detail inputs'!$B$3:$B$195&amp;'Detail inputs'!$G$3:$G$195&amp;'Detail inputs'!$H$3:$H$195,0),MATCH(P$4,'Detail inputs'!$B$3:$K$3,0)),0)</f>
        <v>3.1348835402205433</v>
      </c>
      <c r="Q94" s="128">
        <f t="shared" si="51"/>
        <v>31.348835402205435</v>
      </c>
      <c r="R94" s="143">
        <f>IFERROR(Q94/Q96,"")</f>
        <v>1.7055651067143851E-2</v>
      </c>
      <c r="S94" s="143"/>
      <c r="T94" s="143"/>
      <c r="U94" s="143"/>
      <c r="V94" s="143"/>
      <c r="W94" s="143"/>
      <c r="X94" s="143"/>
      <c r="Y94" s="143"/>
      <c r="Z94" s="143"/>
      <c r="AA94" s="143"/>
      <c r="AB94" s="143"/>
      <c r="AC94" s="143"/>
      <c r="AD94" s="143"/>
      <c r="AE94" s="143"/>
      <c r="AF94" s="143"/>
      <c r="AG94" s="143"/>
      <c r="AH94" s="143"/>
      <c r="AI94" s="143"/>
      <c r="AJ94" s="143"/>
    </row>
    <row r="95" spans="2:36" x14ac:dyDescent="0.25">
      <c r="B95" s="3" t="str">
        <f t="shared" si="50"/>
        <v>Endeavour</v>
      </c>
      <c r="C95" s="3" t="str">
        <f t="shared" si="47"/>
        <v>Small business</v>
      </c>
      <c r="D95" s="3" t="str">
        <f t="shared" si="48"/>
        <v>without CL</v>
      </c>
      <c r="E95" s="3" t="s">
        <v>19</v>
      </c>
      <c r="F95" s="131">
        <f t="array" ref="F95">IFERROR(INDEX(Usage!$B$5:$P$18,MATCH($B95,Usage!$B$5:$B$18,0),MATCH($C95&amp;$D95&amp;$E95,Usage!$B$5:$S$5&amp;Usage!$B$6:$S$6&amp;Usage!$B$7:$S$7,0)),0)</f>
        <v>10000</v>
      </c>
      <c r="G95" s="3" t="s">
        <v>73</v>
      </c>
      <c r="H95" s="128"/>
      <c r="I95" s="128" cm="1">
        <f t="array" ref="I95">IFERROR(INDEX('Detail inputs'!$B$3:$K$195,MATCH($B95&amp;$C95&amp;$E95&amp;$G95&amp;I$5,'Detail inputs'!$B$3:$B$195&amp;'Detail inputs'!$D$3:$D$195&amp;'Detail inputs'!$F$3:$F$195&amp;'Detail inputs'!$G$3:$G$195&amp;'Detail inputs'!$H$3:$H$195,0),MATCH(I$4,'Detail inputs'!$B$3:$K$3,0)),0)*SUM(I89:I94)</f>
        <v>8.7430967699999993</v>
      </c>
      <c r="J95" s="128">
        <f>IF(AND(H95="",I95=""),"",H95+I95*+Usage!M$37/1000)</f>
        <v>87.430967699999997</v>
      </c>
      <c r="K95" s="143">
        <f>IFERROR(J95/J96,"")</f>
        <v>4.9990642236969279E-2</v>
      </c>
      <c r="L95" s="143"/>
      <c r="M95" s="143">
        <f t="shared" si="49"/>
        <v>0.24912583380763631</v>
      </c>
      <c r="N95" s="140"/>
      <c r="O95" s="128"/>
      <c r="P95" s="128" cm="1">
        <f t="array" ref="P95">IFERROR(INDEX('Detail inputs'!$B$3:$K$195,MATCH($B95&amp;$C95&amp;$E95&amp;$G95&amp;P$5,'Detail inputs'!$B$3:$B$195&amp;'Detail inputs'!$D$3:$D$195&amp;'Detail inputs'!$F$3:$F$195&amp;'Detail inputs'!$G$3:$G$195&amp;'Detail inputs'!$H$3:$H$195,0),MATCH(P$4,'Detail inputs'!$B$3:$K$3,0)),0)*SUM(P89:P94)</f>
        <v>10.921228042887101</v>
      </c>
      <c r="Q95" s="128">
        <f t="shared" si="51"/>
        <v>109.21228042887101</v>
      </c>
      <c r="R95" s="143">
        <f>IFERROR(Q95/Q96,"")</f>
        <v>5.94180461042213E-2</v>
      </c>
      <c r="S95" s="143"/>
      <c r="T95" s="143"/>
      <c r="U95" s="143"/>
      <c r="V95" s="143"/>
      <c r="W95" s="143"/>
      <c r="X95" s="143"/>
      <c r="Y95" s="143"/>
      <c r="Z95" s="143"/>
      <c r="AA95" s="143"/>
      <c r="AB95" s="143"/>
      <c r="AC95" s="143"/>
      <c r="AD95" s="143"/>
      <c r="AE95" s="143"/>
      <c r="AF95" s="143"/>
      <c r="AG95" s="143"/>
      <c r="AH95" s="143"/>
      <c r="AI95" s="143"/>
      <c r="AJ95" s="143"/>
    </row>
    <row r="96" spans="2:36" x14ac:dyDescent="0.25">
      <c r="B96" s="3" t="str">
        <f t="shared" si="50"/>
        <v>Endeavour</v>
      </c>
      <c r="C96" s="3" t="str">
        <f t="shared" si="47"/>
        <v>Small business</v>
      </c>
      <c r="D96" s="3" t="str">
        <f t="shared" si="48"/>
        <v>without CL</v>
      </c>
      <c r="E96" s="3" t="s">
        <v>19</v>
      </c>
      <c r="F96" s="131">
        <f t="array" ref="F96">IFERROR(INDEX(Usage!$B$5:$P$18,MATCH($B96,Usage!$B$5:$B$18,0),MATCH($C96&amp;$D96&amp;$E96,Usage!$B$5:$S$5&amp;Usage!$B$6:$S$6&amp;Usage!$B$7:$S$7,0)),0)</f>
        <v>10000</v>
      </c>
      <c r="G96" s="5" t="s">
        <v>55</v>
      </c>
      <c r="H96" s="130">
        <f>SUM(H91:H95)</f>
        <v>11.905778571428572</v>
      </c>
      <c r="I96" s="130">
        <v>173.70409000000001</v>
      </c>
      <c r="J96" s="130">
        <f>IF(AND(H96="",I96=""),"",H96+I96*+Usage!M$37/1000)</f>
        <v>1748.9466785714287</v>
      </c>
      <c r="K96" s="145"/>
      <c r="L96" s="152"/>
      <c r="M96" s="145">
        <f t="shared" si="49"/>
        <v>5.0936655798198061E-2</v>
      </c>
      <c r="N96" s="150"/>
      <c r="O96" s="130">
        <f>SUM(O91:O95)</f>
        <v>13.835244134497829</v>
      </c>
      <c r="P96" s="130">
        <f>SUM(P89:P95)</f>
        <v>182.41969294127256</v>
      </c>
      <c r="Q96" s="130">
        <f t="shared" si="51"/>
        <v>1838.0321735472235</v>
      </c>
      <c r="R96" s="144"/>
      <c r="S96" s="144"/>
      <c r="T96" s="144"/>
      <c r="U96" s="144"/>
      <c r="V96" s="144"/>
      <c r="W96" s="144"/>
      <c r="X96" s="144"/>
      <c r="Y96" s="144"/>
      <c r="Z96" s="144"/>
      <c r="AA96" s="144"/>
      <c r="AB96" s="144"/>
      <c r="AC96" s="144"/>
      <c r="AD96" s="144"/>
      <c r="AE96" s="144"/>
      <c r="AF96" s="144"/>
      <c r="AG96" s="144"/>
      <c r="AH96" s="144"/>
      <c r="AI96" s="144"/>
      <c r="AJ96" s="144"/>
    </row>
    <row r="97" spans="2:36" x14ac:dyDescent="0.25">
      <c r="B97" s="3" t="str">
        <f t="shared" si="50"/>
        <v>Endeavour</v>
      </c>
      <c r="C97" s="3" t="str">
        <f t="shared" si="47"/>
        <v>Small business</v>
      </c>
      <c r="D97" s="3" t="str">
        <f t="shared" si="48"/>
        <v>without CL</v>
      </c>
      <c r="F97" s="131"/>
      <c r="G97" s="3" t="s">
        <v>38</v>
      </c>
      <c r="H97" s="128"/>
      <c r="I97" s="128"/>
      <c r="J97" s="128">
        <f>J96*GST</f>
        <v>174.89466785714288</v>
      </c>
      <c r="K97" s="144"/>
      <c r="L97" s="151"/>
      <c r="M97" s="144"/>
      <c r="N97" s="149"/>
      <c r="O97" s="128"/>
      <c r="P97" s="128"/>
      <c r="Q97" s="128">
        <f>Q96*GST</f>
        <v>183.80321735472236</v>
      </c>
      <c r="R97" s="145"/>
      <c r="S97" s="145"/>
      <c r="T97" s="145"/>
      <c r="U97" s="145"/>
      <c r="V97" s="145"/>
      <c r="W97" s="145"/>
      <c r="X97" s="145"/>
      <c r="Y97" s="145"/>
      <c r="Z97" s="145"/>
      <c r="AA97" s="145"/>
      <c r="AB97" s="145"/>
      <c r="AC97" s="145"/>
      <c r="AD97" s="145"/>
      <c r="AE97" s="145"/>
      <c r="AF97" s="145"/>
      <c r="AG97" s="145"/>
      <c r="AH97" s="145"/>
      <c r="AI97" s="145"/>
      <c r="AJ97" s="145"/>
    </row>
    <row r="98" spans="2:36" x14ac:dyDescent="0.25">
      <c r="B98" s="3" t="str">
        <f t="shared" si="50"/>
        <v>Endeavour</v>
      </c>
      <c r="C98" s="3" t="str">
        <f t="shared" si="47"/>
        <v>Small business</v>
      </c>
      <c r="D98" s="3" t="str">
        <f t="shared" si="48"/>
        <v>without CL</v>
      </c>
      <c r="F98" s="131"/>
      <c r="G98" s="5" t="s">
        <v>80</v>
      </c>
      <c r="H98" s="130"/>
      <c r="I98" s="130"/>
      <c r="J98" s="130">
        <f>SUM(J96:J97)</f>
        <v>1923.8413464285716</v>
      </c>
      <c r="K98" s="145"/>
      <c r="L98" s="152"/>
      <c r="M98" s="145">
        <f>IF(OR(J98=0,Q98=""),"",Q98/J98-1)</f>
        <v>5.0936655798198283E-2</v>
      </c>
      <c r="N98" s="150"/>
      <c r="O98" s="130"/>
      <c r="P98" s="130"/>
      <c r="Q98" s="130">
        <f>SUM(Q96:Q97)</f>
        <v>2021.8353909019459</v>
      </c>
      <c r="R98" s="145"/>
      <c r="S98" s="145"/>
      <c r="T98" s="145"/>
      <c r="U98" s="145"/>
      <c r="V98" s="145"/>
      <c r="W98" s="145"/>
      <c r="X98" s="145"/>
      <c r="Y98" s="145"/>
      <c r="Z98" s="145"/>
      <c r="AA98" s="145"/>
      <c r="AB98" s="145"/>
      <c r="AC98" s="145"/>
      <c r="AD98" s="145"/>
      <c r="AE98" s="145"/>
      <c r="AF98" s="145"/>
      <c r="AG98" s="145"/>
      <c r="AH98" s="145"/>
      <c r="AI98" s="145"/>
      <c r="AJ98" s="145"/>
    </row>
    <row r="99" spans="2:36" x14ac:dyDescent="0.25">
      <c r="F99" s="131"/>
      <c r="H99" s="128"/>
      <c r="I99" s="128"/>
      <c r="J99" s="128"/>
      <c r="K99" s="143"/>
      <c r="L99" s="151"/>
      <c r="M99" s="143"/>
      <c r="N99" s="149"/>
      <c r="O99" s="128"/>
      <c r="P99" s="128"/>
      <c r="Q99" s="128"/>
      <c r="R99" s="143"/>
      <c r="S99" s="143"/>
      <c r="T99" s="143"/>
      <c r="U99" s="143"/>
      <c r="V99" s="143"/>
      <c r="W99" s="143"/>
      <c r="X99" s="143"/>
      <c r="Y99" s="143"/>
      <c r="Z99" s="143"/>
      <c r="AA99" s="143"/>
      <c r="AB99" s="143"/>
      <c r="AC99" s="143"/>
      <c r="AD99" s="143"/>
      <c r="AE99" s="143"/>
      <c r="AF99" s="143"/>
      <c r="AG99" s="143"/>
      <c r="AH99" s="143"/>
      <c r="AI99" s="143"/>
      <c r="AJ99" s="143"/>
    </row>
    <row r="100" spans="2:36" x14ac:dyDescent="0.25">
      <c r="B100" s="5" t="s">
        <v>3</v>
      </c>
      <c r="C100" s="5" t="s">
        <v>6</v>
      </c>
      <c r="D100" s="5" t="s">
        <v>127</v>
      </c>
      <c r="F100" s="131"/>
      <c r="H100" s="128"/>
      <c r="I100" s="128"/>
      <c r="J100" s="128"/>
      <c r="K100" s="143"/>
      <c r="L100" s="151"/>
      <c r="M100" s="143"/>
      <c r="N100" s="149"/>
      <c r="O100" s="128"/>
      <c r="P100" s="128"/>
      <c r="Q100" s="128"/>
      <c r="R100" s="143"/>
      <c r="S100" s="143"/>
      <c r="T100" s="143"/>
      <c r="U100" s="143"/>
      <c r="V100" s="143"/>
      <c r="W100" s="143"/>
      <c r="X100" s="143"/>
      <c r="Y100" s="143"/>
      <c r="Z100" s="143"/>
      <c r="AA100" s="143"/>
      <c r="AB100" s="143"/>
      <c r="AC100" s="143"/>
      <c r="AD100" s="143"/>
      <c r="AE100" s="143"/>
      <c r="AF100" s="143"/>
      <c r="AG100" s="143"/>
      <c r="AH100" s="143"/>
      <c r="AI100" s="143"/>
      <c r="AJ100" s="143"/>
    </row>
    <row r="101" spans="2:36" x14ac:dyDescent="0.25">
      <c r="B101" s="3" t="str">
        <f>B100</f>
        <v>Essential</v>
      </c>
      <c r="C101" s="3" t="str">
        <f t="shared" ref="C101:C110" si="54">C100</f>
        <v>Residential</v>
      </c>
      <c r="D101" s="3" t="str">
        <f t="shared" ref="D101:D110" si="55">D100</f>
        <v>without CL</v>
      </c>
      <c r="E101" s="3" t="s">
        <v>19</v>
      </c>
      <c r="F101" s="131">
        <f t="array" ref="F101">IFERROR(INDEX(Usage!$B$5:$P$18,MATCH($B101,Usage!$B$5:$B$18,0),MATCH($C101&amp;$D101&amp;$E101&amp;"Total",Usage!$B$5:$S$5&amp;Usage!$B$6:$S$6&amp;Usage!$B$7:$S$7&amp;Usage!$B$13:$S$13,0)),0)</f>
        <v>4600</v>
      </c>
      <c r="G101" s="3" t="s">
        <v>70</v>
      </c>
      <c r="H101" s="128"/>
      <c r="I101" s="128">
        <f t="array" ref="I101">IFERROR(INDEX('Detail inputs'!$B$3:$K$195,MATCH($B101&amp;$C101&amp;$E101&amp;$G101&amp;I$5,'Detail inputs'!$B$3:$B$195&amp;'Detail inputs'!$D$3:$D$195&amp;'Detail inputs'!$F$3:$F$195&amp;'Detail inputs'!$G$3:$G$195&amp;'Detail inputs'!$H$3:$H$195,0),MATCH(I$4,'Detail inputs'!$B$3:$K$3,0)),0)</f>
        <v>155.41</v>
      </c>
      <c r="J101" s="128">
        <f>IF(AND(H101="",I101=""),"",H101+I101*+Usage!C$39/1000)</f>
        <v>714.88599999999997</v>
      </c>
      <c r="K101" s="143">
        <f>IFERROR(J101/J108,"")</f>
        <v>0.93749074747658967</v>
      </c>
      <c r="L101" s="143"/>
      <c r="M101" s="143">
        <f t="shared" ref="M101:M108" si="56">IF(OR(J101=0,Q101=""),"",Q101/J101-1)</f>
        <v>6.2801621517277084E-2</v>
      </c>
      <c r="N101" s="140"/>
      <c r="O101" s="128"/>
      <c r="P101" s="128">
        <f t="array" ref="P101">IFERROR(INDEX('Detail inputs'!$B$3:$K$195,MATCH($B101&amp;$C101&amp;$E101&amp;$G101&amp;P$5,'Detail inputs'!$B$3:$B$195&amp;'Detail inputs'!$D$3:$D$195&amp;'Detail inputs'!$F$3:$F$195&amp;'Detail inputs'!$G$3:$G$195&amp;'Detail inputs'!$H$3:$H$195,0),MATCH(P$4,'Detail inputs'!$B$3:$K$3,0)),0)</f>
        <v>165.17</v>
      </c>
      <c r="Q101" s="128">
        <f>IF(AND(O101="",P101=""),"",O101+P101*$F101/1000)</f>
        <v>759.78200000000004</v>
      </c>
      <c r="R101" s="143">
        <f>IFERROR(Q101/Q108,"")</f>
        <v>0.92507398407729402</v>
      </c>
      <c r="S101" s="143"/>
      <c r="T101" s="378"/>
      <c r="U101" s="143"/>
      <c r="V101" s="143"/>
      <c r="W101" s="143"/>
      <c r="X101" s="143"/>
      <c r="Y101" s="143"/>
      <c r="Z101" s="143"/>
      <c r="AA101" s="143"/>
      <c r="AB101" s="143"/>
      <c r="AC101" s="143"/>
      <c r="AD101" s="143"/>
      <c r="AE101" s="143"/>
      <c r="AF101" s="143"/>
      <c r="AG101" s="143"/>
      <c r="AH101" s="143"/>
      <c r="AI101" s="143"/>
      <c r="AJ101" s="143"/>
    </row>
    <row r="102" spans="2:36" x14ac:dyDescent="0.25">
      <c r="B102" s="3" t="str">
        <f t="shared" ref="B102:B110" si="57">B101</f>
        <v>Essential</v>
      </c>
      <c r="C102" s="3" t="str">
        <f t="shared" si="54"/>
        <v>Residential</v>
      </c>
      <c r="D102" s="3" t="str">
        <f t="shared" si="55"/>
        <v>without CL</v>
      </c>
      <c r="E102" s="3" t="s">
        <v>19</v>
      </c>
      <c r="F102" s="131">
        <f t="array" ref="F102">IFERROR(INDEX(Usage!$B$5:$P$18,MATCH($B102,Usage!$B$5:$B$18,0),MATCH($C102&amp;$D102&amp;$E102&amp;"Total",Usage!$B$5:$S$5&amp;Usage!$B$6:$S$6&amp;Usage!$B$7:$S$7&amp;Usage!$B$13:$S$13,0)),0)</f>
        <v>4600</v>
      </c>
      <c r="G102" s="3" t="s">
        <v>71</v>
      </c>
      <c r="H102" s="128"/>
      <c r="I102" s="128">
        <f t="array" ref="I102">IFERROR(INDEX('Detail inputs'!$B$3:$K$195,MATCH($B102&amp;$G102&amp;I$5,'Detail inputs'!$B$3:$B$195&amp;'Detail inputs'!$G$3:$G$195&amp;'Detail inputs'!$H$3:$H$195,0),MATCH(I$4,'Detail inputs'!$B$3:$K$3,0)),0)</f>
        <v>0.25</v>
      </c>
      <c r="J102" s="128">
        <f>IF(AND(H102="",I102=""),"",H102+I102*+Usage!C$39/1000)</f>
        <v>1.1499999999999999</v>
      </c>
      <c r="K102" s="143">
        <f>IFERROR(J102/J108,"")</f>
        <v>1.5080927023302711E-3</v>
      </c>
      <c r="L102" s="143"/>
      <c r="M102" s="143">
        <f t="shared" si="56"/>
        <v>-0.38484789629124383</v>
      </c>
      <c r="N102" s="140"/>
      <c r="O102" s="128"/>
      <c r="P102" s="128">
        <f t="array" ref="P102">IFERROR(INDEX('Detail inputs'!$B$3:$K$195,MATCH($B102&amp;$G102&amp;P$5,'Detail inputs'!$B$3:$B$195&amp;'Detail inputs'!$G$3:$G$195&amp;'Detail inputs'!$H$3:$H$195,0),MATCH(P$4,'Detail inputs'!$B$3:$K$3,0)),0)</f>
        <v>0.15378802592718904</v>
      </c>
      <c r="Q102" s="128">
        <f t="shared" ref="Q102:Q108" si="58">IF(AND(O102="",P102=""),"",O102+P102*$F102/1000)</f>
        <v>0.70742491926506956</v>
      </c>
      <c r="R102" s="143">
        <f>IFERROR(Q102/Q108,"")</f>
        <v>8.6132652326601042E-4</v>
      </c>
      <c r="S102" s="143"/>
      <c r="T102" s="143"/>
      <c r="U102" s="143"/>
      <c r="V102" s="143"/>
      <c r="W102" s="143"/>
      <c r="X102" s="143"/>
      <c r="Y102" s="143"/>
      <c r="Z102" s="143"/>
      <c r="AA102" s="143"/>
      <c r="AB102" s="143"/>
      <c r="AC102" s="143"/>
      <c r="AD102" s="143"/>
      <c r="AE102" s="143"/>
      <c r="AF102" s="143"/>
      <c r="AG102" s="143"/>
      <c r="AH102" s="143"/>
      <c r="AI102" s="143"/>
      <c r="AJ102" s="143"/>
    </row>
    <row r="103" spans="2:36" x14ac:dyDescent="0.25">
      <c r="B103" s="3" t="str">
        <f t="shared" si="57"/>
        <v>Essential</v>
      </c>
      <c r="C103" s="3" t="str">
        <f t="shared" si="54"/>
        <v>Residential</v>
      </c>
      <c r="D103" s="3" t="str">
        <f t="shared" si="55"/>
        <v>without CL</v>
      </c>
      <c r="E103" s="3" t="s">
        <v>19</v>
      </c>
      <c r="F103" s="131">
        <f t="array" ref="F103">IFERROR(INDEX(Usage!$B$5:$P$18,MATCH($B103,Usage!$B$5:$B$18,0),MATCH($C103&amp;$D103&amp;$E103&amp;"Total",Usage!$B$5:$S$5&amp;Usage!$B$6:$S$6&amp;Usage!$B$7:$S$7&amp;Usage!$B$13:$S$13,0)),0)</f>
        <v>4600</v>
      </c>
      <c r="G103" s="3" t="s">
        <v>78</v>
      </c>
      <c r="H103" s="128" cm="1">
        <f t="array" ref="H103">IFERROR(INDEX('Detail inputs'!$B$3:$K$195,MATCH($B103&amp;$G103&amp;H$5,'Detail inputs'!$B$3:$B$195&amp;'Detail inputs'!$G$3:$G$195&amp;'Detail inputs'!$H$3:$H$195,0),MATCH(H$4,'Detail inputs'!$B$3:$K$3,0)),0)*Days/7</f>
        <v>11.905778571428572</v>
      </c>
      <c r="I103" s="128">
        <f t="array" ref="I103">IFERROR(INDEX('Detail inputs'!$B$3:$K$195,MATCH($B103&amp;$G103&amp;I$5,'Detail inputs'!$B$3:$B$195&amp;'Detail inputs'!$G$3:$G$195&amp;'Detail inputs'!$H$3:$H$195,0),MATCH(I$4,'Detail inputs'!$B$3:$K$3,0)),0)</f>
        <v>0.50409000000000004</v>
      </c>
      <c r="J103" s="128">
        <f>IF(AND(H103="",I103=""),"",H103+I103*+Usage!C$39/1000)</f>
        <v>14.224592571428571</v>
      </c>
      <c r="K103" s="143">
        <f>IFERROR(J103/J108,"")</f>
        <v>1.8653916739645927E-2</v>
      </c>
      <c r="L103" s="143"/>
      <c r="M103" s="143">
        <f t="shared" si="56"/>
        <v>0.15838974309848974</v>
      </c>
      <c r="N103" s="140"/>
      <c r="O103" s="128" cm="1">
        <f t="array" ref="O103">IFERROR(INDEX('Detail inputs'!$B$3:$K$195,MATCH($B103&amp;$G103&amp;O$5,'Detail inputs'!$B$3:$B$195&amp;'Detail inputs'!$G$3:$G$195&amp;'Detail inputs'!$H$3:$H$195,0),MATCH(O$4,'Detail inputs'!$B$3:$K$3,0)),0)*Days/7</f>
        <v>13.835244134497829</v>
      </c>
      <c r="P103" s="128">
        <f t="array" ref="P103">IFERROR(INDEX('Detail inputs'!$B$3:$K$195,MATCH($B103&amp;$G103&amp;P$5,'Detail inputs'!$B$3:$B$195&amp;'Detail inputs'!$G$3:$G$195&amp;'Detail inputs'!$H$3:$H$195,0),MATCH(P$4,'Detail inputs'!$B$3:$K$3,0)),0)</f>
        <v>0.57443</v>
      </c>
      <c r="Q103" s="128">
        <f t="shared" si="58"/>
        <v>16.477622134497828</v>
      </c>
      <c r="R103" s="143">
        <f>IFERROR(Q103/Q108,"")</f>
        <v>2.0062359408462047E-2</v>
      </c>
      <c r="S103" s="143"/>
      <c r="T103" s="143"/>
      <c r="U103" s="143"/>
      <c r="V103" s="143"/>
      <c r="W103" s="143"/>
      <c r="X103" s="143"/>
      <c r="Y103" s="143"/>
      <c r="Z103" s="143"/>
      <c r="AA103" s="143"/>
      <c r="AB103" s="143"/>
      <c r="AC103" s="143"/>
      <c r="AD103" s="143"/>
      <c r="AE103" s="143"/>
      <c r="AF103" s="143"/>
      <c r="AG103" s="143"/>
      <c r="AH103" s="143"/>
      <c r="AI103" s="143"/>
      <c r="AJ103" s="143"/>
    </row>
    <row r="104" spans="2:36" x14ac:dyDescent="0.25">
      <c r="B104" s="3" t="str">
        <f t="shared" si="57"/>
        <v>Essential</v>
      </c>
      <c r="C104" s="3" t="str">
        <f t="shared" si="54"/>
        <v>Residential</v>
      </c>
      <c r="D104" s="3" t="str">
        <f t="shared" si="55"/>
        <v>without CL</v>
      </c>
      <c r="E104" s="3" t="s">
        <v>19</v>
      </c>
      <c r="F104" s="131">
        <f t="array" ref="F104">IFERROR(INDEX(Usage!$B$5:$P$18,MATCH($B104,Usage!$B$5:$B$18,0),MATCH($C104&amp;$D104&amp;$E104&amp;"Total",Usage!$B$5:$S$5&amp;Usage!$B$6:$S$6&amp;Usage!$B$7:$S$7&amp;Usage!$B$13:$S$13,0)),0)</f>
        <v>4600</v>
      </c>
      <c r="G104" s="3" t="s">
        <v>72</v>
      </c>
      <c r="H104" s="128"/>
      <c r="I104" s="128">
        <f t="array" ref="I104">IFERROR(INDEX('Detail inputs'!$B$3:$K$195,MATCH($B104&amp;$G104&amp;I$5,'Detail inputs'!$B$3:$B$195&amp;'Detail inputs'!$G$3:$G$195&amp;'Detail inputs'!$H$3:$H$195,0),MATCH(I$4,'Detail inputs'!$B$3:$K$3,0)),0)</f>
        <v>0</v>
      </c>
      <c r="J104" s="128">
        <f>IF(AND(H104="",I104=""),"",H104+I104*+Usage!C$39/1000)</f>
        <v>0</v>
      </c>
      <c r="K104" s="143">
        <f>IFERROR(J104/J108,"")</f>
        <v>0</v>
      </c>
      <c r="L104" s="143"/>
      <c r="M104" s="143" t="str">
        <f t="shared" si="56"/>
        <v/>
      </c>
      <c r="N104" s="140"/>
      <c r="O104" s="128"/>
      <c r="P104" s="128">
        <f t="array" ref="P104">IFERROR(INDEX('Detail inputs'!$B$3:$K$195,MATCH($B104&amp;$G104&amp;P$5,'Detail inputs'!$B$3:$B$195&amp;'Detail inputs'!$G$3:$G$195&amp;'Detail inputs'!$H$3:$H$195,0),MATCH(P$4,'Detail inputs'!$B$3:$K$3,0)),0)</f>
        <v>5.2786233739509421E-2</v>
      </c>
      <c r="Q104" s="128">
        <f t="shared" si="58"/>
        <v>0.24281667520174333</v>
      </c>
      <c r="R104" s="143">
        <f>IFERROR(Q104/Q108,"")</f>
        <v>2.956418935027139E-4</v>
      </c>
      <c r="S104" s="143"/>
      <c r="T104" s="143"/>
      <c r="U104" s="143"/>
      <c r="V104" s="143"/>
      <c r="W104" s="143"/>
      <c r="X104" s="143"/>
      <c r="Y104" s="143"/>
      <c r="Z104" s="143"/>
      <c r="AA104" s="143"/>
      <c r="AB104" s="143"/>
      <c r="AC104" s="143"/>
      <c r="AD104" s="143"/>
      <c r="AE104" s="143"/>
      <c r="AF104" s="143"/>
      <c r="AG104" s="143"/>
      <c r="AH104" s="143"/>
      <c r="AI104" s="143"/>
      <c r="AJ104" s="143"/>
    </row>
    <row r="105" spans="2:36" x14ac:dyDescent="0.25">
      <c r="B105" s="3" t="str">
        <f t="shared" si="57"/>
        <v>Essential</v>
      </c>
      <c r="C105" s="3" t="str">
        <f t="shared" si="54"/>
        <v>Residential</v>
      </c>
      <c r="D105" s="3" t="str">
        <f t="shared" si="55"/>
        <v>without CL</v>
      </c>
      <c r="E105" s="3" t="s">
        <v>19</v>
      </c>
      <c r="F105" s="131">
        <f t="array" ref="F105">IFERROR(INDEX(Usage!$B$5:$P$18,MATCH($B105,Usage!$B$5:$B$18,0),MATCH($C105&amp;$D105&amp;$E105&amp;"Total",Usage!$B$5:$S$5&amp;Usage!$B$6:$S$6&amp;Usage!$B$7:$S$7&amp;Usage!$B$13:$S$13,0)),0)</f>
        <v>4600</v>
      </c>
      <c r="G105" s="3" t="str">
        <f>+G47</f>
        <v>June 2022 Event Cost</v>
      </c>
      <c r="H105" s="128"/>
      <c r="I105" s="128">
        <f t="array" ref="I105">IFERROR(INDEX('Detail inputs'!$B$3:$K$195,MATCH($B105&amp;$G105&amp;I$5,'Detail inputs'!$B$3:$B$195&amp;'Detail inputs'!$G$3:$G$195&amp;'Detail inputs'!$H$3:$H$195,0),MATCH(I$4,'Detail inputs'!$B$3:$K$3,0)),0)</f>
        <v>0</v>
      </c>
      <c r="J105" s="128">
        <f>IF(AND(H105="",I105=""),"",H105+I105*+Usage!C$39/1000)</f>
        <v>0</v>
      </c>
      <c r="K105" s="143">
        <f>IFERROR(J105/J109,"")</f>
        <v>0</v>
      </c>
      <c r="L105" s="143"/>
      <c r="M105" s="143" t="str">
        <f t="shared" ref="M105" si="59">IF(OR(J105=0,Q105=""),"",Q105/J105-1)</f>
        <v/>
      </c>
      <c r="N105" s="140"/>
      <c r="O105" s="128"/>
      <c r="P105" s="128">
        <f t="array" ref="P105">IFERROR(INDEX('Detail inputs'!$B$3:$K$195,MATCH($B105&amp;$G105&amp;P$5,'Detail inputs'!$B$3:$B$195&amp;'Detail inputs'!$G$3:$G$195&amp;'Detail inputs'!$H$3:$H$195,0),MATCH(P$4,'Detail inputs'!$B$3:$K$3,0)),0)</f>
        <v>0.11507709849820914</v>
      </c>
      <c r="Q105" s="128">
        <f t="shared" ref="Q105" si="60">IF(AND(O105="",P105=""),"",O105+P105*$F105/1000)</f>
        <v>0.52935465309176211</v>
      </c>
      <c r="R105" s="143">
        <f>IFERROR(Q105/Q109,"")</f>
        <v>6.4451674023002677E-3</v>
      </c>
      <c r="S105" s="143"/>
      <c r="T105" s="143"/>
      <c r="U105" s="143"/>
      <c r="V105" s="143"/>
      <c r="W105" s="143"/>
      <c r="X105" s="143"/>
      <c r="Y105" s="143"/>
      <c r="Z105" s="143"/>
      <c r="AA105" s="143"/>
      <c r="AB105" s="143"/>
      <c r="AC105" s="143"/>
      <c r="AD105" s="143"/>
      <c r="AE105" s="143"/>
      <c r="AF105" s="143"/>
      <c r="AG105" s="143"/>
      <c r="AH105" s="143"/>
      <c r="AI105" s="143"/>
      <c r="AJ105" s="143"/>
    </row>
    <row r="106" spans="2:36" x14ac:dyDescent="0.25">
      <c r="B106" s="3" t="str">
        <f t="shared" si="57"/>
        <v>Essential</v>
      </c>
      <c r="C106" s="3" t="str">
        <f t="shared" si="54"/>
        <v>Residential</v>
      </c>
      <c r="D106" s="3" t="str">
        <f t="shared" si="55"/>
        <v>without CL</v>
      </c>
      <c r="E106" s="3" t="s">
        <v>19</v>
      </c>
      <c r="F106" s="131">
        <f t="array" ref="F106">IFERROR(INDEX(Usage!$B$5:$P$18,MATCH($B106,Usage!$B$5:$B$18,0),MATCH($C106&amp;$D106&amp;$E106&amp;"Total",Usage!$B$5:$S$5&amp;Usage!$B$6:$S$6&amp;Usage!$B$7:$S$7&amp;Usage!$B$13:$S$13,0)),0)</f>
        <v>4600</v>
      </c>
      <c r="G106" s="3" t="s">
        <v>135</v>
      </c>
      <c r="H106" s="128"/>
      <c r="I106" s="128">
        <f t="array" ref="I106">IFERROR(INDEX('Detail inputs'!$B$3:$K$195,MATCH($B106&amp;$G106&amp;I$5,'Detail inputs'!$B$3:$B$195&amp;'Detail inputs'!$G$3:$G$195&amp;'Detail inputs'!$H$3:$H$195,0),MATCH(I$4,'Detail inputs'!$B$3:$K$3,0)),0)</f>
        <v>2.58</v>
      </c>
      <c r="J106" s="128">
        <f>IF(AND(H106="",I106=""),"",H106+I106*+Usage!C$39/1000)</f>
        <v>11.868</v>
      </c>
      <c r="K106" s="143">
        <f>IFERROR(J106/J108,"")</f>
        <v>1.5563516688048399E-2</v>
      </c>
      <c r="L106" s="143"/>
      <c r="M106" s="143">
        <f t="shared" si="56"/>
        <v>0.10309107768624481</v>
      </c>
      <c r="N106" s="140"/>
      <c r="O106" s="128"/>
      <c r="P106" s="128">
        <f t="array" ref="P106">IFERROR(INDEX('Detail inputs'!$B$3:$K$195,MATCH($B106&amp;$G106&amp;P$5,'Detail inputs'!$B$3:$B$195&amp;'Detail inputs'!$G$3:$G$195&amp;'Detail inputs'!$H$3:$H$195,0),MATCH(P$4,'Detail inputs'!$B$3:$K$3,0)),0)</f>
        <v>2.8459749804305119</v>
      </c>
      <c r="Q106" s="128">
        <f t="shared" si="58"/>
        <v>13.091484909980354</v>
      </c>
      <c r="R106" s="143">
        <f>IFERROR(Q106/Q108,"")</f>
        <v>1.5939561746873838E-2</v>
      </c>
      <c r="S106" s="143"/>
      <c r="T106" s="143"/>
      <c r="U106" s="143"/>
      <c r="V106" s="143"/>
      <c r="W106" s="143"/>
      <c r="X106" s="143"/>
      <c r="Y106" s="143"/>
      <c r="Z106" s="143"/>
      <c r="AA106" s="143"/>
      <c r="AB106" s="143"/>
      <c r="AC106" s="143"/>
      <c r="AD106" s="143"/>
      <c r="AE106" s="143"/>
      <c r="AF106" s="143"/>
      <c r="AG106" s="143"/>
      <c r="AH106" s="143"/>
      <c r="AI106" s="143"/>
      <c r="AJ106" s="143"/>
    </row>
    <row r="107" spans="2:36" x14ac:dyDescent="0.25">
      <c r="B107" s="3" t="str">
        <f t="shared" si="57"/>
        <v>Essential</v>
      </c>
      <c r="C107" s="3" t="str">
        <f t="shared" si="54"/>
        <v>Residential</v>
      </c>
      <c r="D107" s="3" t="str">
        <f t="shared" si="55"/>
        <v>without CL</v>
      </c>
      <c r="E107" s="3" t="s">
        <v>19</v>
      </c>
      <c r="F107" s="131">
        <f t="array" ref="F107">IFERROR(INDEX(Usage!$B$5:$P$18,MATCH($B107,Usage!$B$5:$B$18,0),MATCH($C107&amp;$D107&amp;$E107&amp;"Total",Usage!$B$5:$S$5&amp;Usage!$B$6:$S$6&amp;Usage!$B$7:$S$7&amp;Usage!$B$13:$S$13,0)),0)</f>
        <v>4600</v>
      </c>
      <c r="G107" s="3" t="s">
        <v>73</v>
      </c>
      <c r="H107" s="128"/>
      <c r="I107" s="128" cm="1">
        <f t="array" ref="I107">IFERROR(INDEX('Detail inputs'!$B$3:$K$195,MATCH($B107&amp;$C107&amp;$E107&amp;$G107&amp;I$5,'Detail inputs'!$B$3:$B$195&amp;'Detail inputs'!$D$3:$D$195&amp;'Detail inputs'!$F$3:$F$195&amp;'Detail inputs'!$G$3:$G$195&amp;'Detail inputs'!$H$3:$H$195,0),MATCH(I$4,'Detail inputs'!$B$3:$K$3,0)),0)*SUM(I101:I106)</f>
        <v>4.4448345199999997</v>
      </c>
      <c r="J107" s="128">
        <f>IF(AND(H107="",I107=""),"",H107+I107*+Usage!C$39/1000)</f>
        <v>20.446238791999999</v>
      </c>
      <c r="K107" s="143">
        <f>IFERROR(J107/J108,"")</f>
        <v>2.6812890010710695E-2</v>
      </c>
      <c r="L107" s="143"/>
      <c r="M107" s="143">
        <f t="shared" si="56"/>
        <v>0.49120586342129857</v>
      </c>
      <c r="N107" s="140"/>
      <c r="O107" s="128"/>
      <c r="P107" s="128" cm="1">
        <f t="array" ref="P107">IFERROR(INDEX('Detail inputs'!$B$3:$K$195,MATCH($B107&amp;$C107&amp;$E107&amp;$G107&amp;P$5,'Detail inputs'!$B$3:$B$195&amp;'Detail inputs'!$D$3:$D$195&amp;'Detail inputs'!$F$3:$F$195&amp;'Detail inputs'!$G$3:$G$195&amp;'Detail inputs'!$H$3:$H$195,0),MATCH(P$4,'Detail inputs'!$B$3:$K$3,0)),0)*SUM(P101:P106)</f>
        <v>6.628163298161394</v>
      </c>
      <c r="Q107" s="128">
        <f t="shared" si="58"/>
        <v>30.489551171542409</v>
      </c>
      <c r="R107" s="143">
        <f>IFERROR(Q107/Q108,"")</f>
        <v>3.7122609610371476E-2</v>
      </c>
      <c r="S107" s="143"/>
      <c r="T107" s="143"/>
      <c r="U107" s="143"/>
      <c r="V107" s="143"/>
      <c r="W107" s="143"/>
      <c r="X107" s="143"/>
      <c r="Y107" s="143"/>
      <c r="Z107" s="143"/>
      <c r="AA107" s="143"/>
      <c r="AB107" s="143"/>
      <c r="AC107" s="143"/>
      <c r="AD107" s="143"/>
      <c r="AE107" s="143"/>
      <c r="AF107" s="143"/>
      <c r="AG107" s="143"/>
      <c r="AH107" s="143"/>
      <c r="AI107" s="143"/>
      <c r="AJ107" s="143"/>
    </row>
    <row r="108" spans="2:36" x14ac:dyDescent="0.25">
      <c r="B108" s="3" t="str">
        <f t="shared" si="57"/>
        <v>Essential</v>
      </c>
      <c r="C108" s="3" t="str">
        <f t="shared" si="54"/>
        <v>Residential</v>
      </c>
      <c r="D108" s="3" t="str">
        <f t="shared" si="55"/>
        <v>without CL</v>
      </c>
      <c r="E108" s="3" t="s">
        <v>19</v>
      </c>
      <c r="F108" s="131">
        <f t="array" ref="F108">IFERROR(INDEX(Usage!$B$5:$P$18,MATCH($B108,Usage!$B$5:$B$18,0),MATCH($C108&amp;$D108&amp;$E108&amp;"Total",Usage!$B$5:$S$5&amp;Usage!$B$6:$S$6&amp;Usage!$B$7:$S$7&amp;Usage!$B$13:$S$13,0)),0)</f>
        <v>4600</v>
      </c>
      <c r="G108" s="5" t="s">
        <v>55</v>
      </c>
      <c r="H108" s="130">
        <f>SUM(H103:H107)</f>
        <v>11.905778571428572</v>
      </c>
      <c r="I108" s="130">
        <v>163.18409</v>
      </c>
      <c r="J108" s="130">
        <f>IF(AND(H108="",I108=""),"",H108+I108*+Usage!C$39/1000)</f>
        <v>762.55259257142859</v>
      </c>
      <c r="K108" s="145"/>
      <c r="L108" s="152"/>
      <c r="M108" s="145">
        <f t="shared" si="56"/>
        <v>7.7067027854404335E-2</v>
      </c>
      <c r="N108" s="150"/>
      <c r="O108" s="130">
        <f>SUM(O103:O107)</f>
        <v>13.835244134497829</v>
      </c>
      <c r="P108" s="130">
        <f>SUM(P101:P107)</f>
        <v>175.54021963675677</v>
      </c>
      <c r="Q108" s="130">
        <f t="shared" si="58"/>
        <v>821.32025446357909</v>
      </c>
      <c r="R108" s="144"/>
      <c r="S108" s="144"/>
      <c r="T108" s="144"/>
      <c r="U108" s="144"/>
      <c r="V108" s="144"/>
      <c r="W108" s="144"/>
      <c r="X108" s="144"/>
      <c r="Y108" s="144"/>
      <c r="Z108" s="144"/>
      <c r="AA108" s="144"/>
      <c r="AB108" s="144"/>
      <c r="AC108" s="144"/>
      <c r="AD108" s="144"/>
      <c r="AE108" s="144"/>
      <c r="AF108" s="144"/>
      <c r="AG108" s="144"/>
      <c r="AH108" s="144"/>
      <c r="AI108" s="144"/>
      <c r="AJ108" s="144"/>
    </row>
    <row r="109" spans="2:36" x14ac:dyDescent="0.25">
      <c r="B109" s="3" t="str">
        <f t="shared" si="57"/>
        <v>Essential</v>
      </c>
      <c r="C109" s="3" t="str">
        <f t="shared" si="54"/>
        <v>Residential</v>
      </c>
      <c r="D109" s="3" t="str">
        <f t="shared" si="55"/>
        <v>without CL</v>
      </c>
      <c r="F109" s="131"/>
      <c r="G109" s="3" t="s">
        <v>38</v>
      </c>
      <c r="H109" s="128"/>
      <c r="I109" s="128"/>
      <c r="J109" s="128">
        <f>J108*GST</f>
        <v>76.255259257142868</v>
      </c>
      <c r="K109" s="144"/>
      <c r="L109" s="151"/>
      <c r="M109" s="144"/>
      <c r="N109" s="149"/>
      <c r="O109" s="128"/>
      <c r="P109" s="128"/>
      <c r="Q109" s="128">
        <f>Q108*GST</f>
        <v>82.132025446357915</v>
      </c>
      <c r="R109" s="145"/>
      <c r="S109" s="145"/>
      <c r="T109" s="145"/>
      <c r="U109" s="145"/>
      <c r="V109" s="145"/>
      <c r="W109" s="145"/>
      <c r="X109" s="145"/>
      <c r="Y109" s="145"/>
      <c r="Z109" s="145"/>
      <c r="AA109" s="145"/>
      <c r="AB109" s="145"/>
      <c r="AC109" s="145"/>
      <c r="AD109" s="145"/>
      <c r="AE109" s="145"/>
      <c r="AF109" s="145"/>
      <c r="AG109" s="145"/>
      <c r="AH109" s="145"/>
      <c r="AI109" s="145"/>
      <c r="AJ109" s="145"/>
    </row>
    <row r="110" spans="2:36" x14ac:dyDescent="0.25">
      <c r="B110" s="3" t="str">
        <f t="shared" si="57"/>
        <v>Essential</v>
      </c>
      <c r="C110" s="3" t="str">
        <f t="shared" si="54"/>
        <v>Residential</v>
      </c>
      <c r="D110" s="3" t="str">
        <f t="shared" si="55"/>
        <v>without CL</v>
      </c>
      <c r="F110" s="131"/>
      <c r="G110" s="5" t="s">
        <v>80</v>
      </c>
      <c r="H110" s="130"/>
      <c r="I110" s="130"/>
      <c r="J110" s="130">
        <f>SUM(J108:J109)</f>
        <v>838.80785182857142</v>
      </c>
      <c r="K110" s="145"/>
      <c r="L110" s="152"/>
      <c r="M110" s="145">
        <f>IF(OR(J110=0,Q110=""),"",Q110/J110-1)</f>
        <v>7.7067027854404335E-2</v>
      </c>
      <c r="N110" s="150"/>
      <c r="O110" s="130"/>
      <c r="P110" s="130"/>
      <c r="Q110" s="130">
        <f>SUM(Q108:Q109)</f>
        <v>903.45227990993703</v>
      </c>
      <c r="R110" s="145"/>
      <c r="S110" s="145"/>
      <c r="T110" s="145"/>
      <c r="U110" s="145"/>
      <c r="V110" s="145"/>
      <c r="W110" s="145"/>
      <c r="X110" s="145"/>
      <c r="Y110" s="145"/>
      <c r="Z110" s="145"/>
      <c r="AA110" s="145"/>
      <c r="AB110" s="145"/>
      <c r="AC110" s="145"/>
      <c r="AD110" s="145"/>
      <c r="AE110" s="145"/>
      <c r="AF110" s="145"/>
      <c r="AG110" s="145"/>
      <c r="AH110" s="145"/>
      <c r="AI110" s="145"/>
      <c r="AJ110" s="145"/>
    </row>
    <row r="111" spans="2:36" x14ac:dyDescent="0.25">
      <c r="F111" s="131"/>
      <c r="H111" s="128"/>
      <c r="I111" s="128"/>
      <c r="J111" s="128"/>
      <c r="K111" s="143"/>
      <c r="L111" s="151"/>
      <c r="M111" s="143"/>
      <c r="N111" s="149"/>
      <c r="O111" s="128"/>
      <c r="P111" s="128"/>
      <c r="Q111" s="128"/>
      <c r="R111" s="143"/>
      <c r="S111" s="143"/>
      <c r="T111" s="143"/>
      <c r="U111" s="143"/>
      <c r="V111" s="143"/>
      <c r="W111" s="143"/>
      <c r="X111" s="143"/>
      <c r="Y111" s="143"/>
      <c r="Z111" s="143"/>
      <c r="AA111" s="143"/>
      <c r="AB111" s="143"/>
      <c r="AC111" s="143"/>
      <c r="AD111" s="143"/>
      <c r="AE111" s="143"/>
      <c r="AF111" s="143"/>
      <c r="AG111" s="143"/>
      <c r="AH111" s="143"/>
      <c r="AI111" s="143"/>
      <c r="AJ111" s="143"/>
    </row>
    <row r="112" spans="2:36" x14ac:dyDescent="0.25">
      <c r="B112" s="5" t="s">
        <v>3</v>
      </c>
      <c r="C112" s="5" t="s">
        <v>6</v>
      </c>
      <c r="D112" s="5" t="s">
        <v>128</v>
      </c>
      <c r="F112" s="131"/>
      <c r="H112" s="128"/>
      <c r="I112" s="128"/>
      <c r="J112" s="128"/>
      <c r="K112" s="143"/>
      <c r="L112" s="151"/>
      <c r="M112" s="143"/>
      <c r="N112" s="149"/>
      <c r="O112" s="128"/>
      <c r="P112" s="128"/>
      <c r="Q112" s="128"/>
      <c r="R112" s="143"/>
      <c r="S112" s="143"/>
      <c r="T112" s="143"/>
      <c r="U112" s="143"/>
      <c r="V112" s="143"/>
      <c r="W112" s="143"/>
      <c r="X112" s="143"/>
      <c r="Y112" s="143"/>
      <c r="Z112" s="143"/>
      <c r="AA112" s="143"/>
      <c r="AB112" s="143"/>
      <c r="AC112" s="143"/>
      <c r="AD112" s="143"/>
      <c r="AE112" s="143"/>
      <c r="AF112" s="143"/>
      <c r="AG112" s="143"/>
      <c r="AH112" s="143"/>
      <c r="AI112" s="143"/>
      <c r="AJ112" s="143"/>
    </row>
    <row r="113" spans="2:36" x14ac:dyDescent="0.25">
      <c r="B113" s="3" t="str">
        <f>B112</f>
        <v>Essential</v>
      </c>
      <c r="C113" s="3" t="str">
        <f t="shared" ref="C113:C132" si="61">C112</f>
        <v>Residential</v>
      </c>
      <c r="D113" s="3" t="str">
        <f t="shared" ref="D113:D132" si="62">D112</f>
        <v>with CL</v>
      </c>
      <c r="E113" s="3" t="s">
        <v>19</v>
      </c>
      <c r="F113" s="131">
        <f t="array" ref="F113">IFERROR(INDEX(Usage!$B$5:$P$18,MATCH($B113,Usage!$B$5:$B$18,0),MATCH($C113&amp;$D113&amp;$E113&amp;"Total",Usage!$B$5:$S$5&amp;Usage!$B$6:$S$6&amp;Usage!$B$7:$S$7&amp;Usage!$B$13:$S$13,0)),0)</f>
        <v>4600</v>
      </c>
      <c r="G113" s="5" t="s">
        <v>55</v>
      </c>
      <c r="H113" s="130">
        <f>+H108</f>
        <v>11.905778571428572</v>
      </c>
      <c r="I113" s="130">
        <v>163.18409</v>
      </c>
      <c r="J113" s="130">
        <f>IF(AND(H113="",I113=""),"",H113+I113*+Usage!C39/1000)</f>
        <v>762.55259257142859</v>
      </c>
      <c r="K113" s="145"/>
      <c r="L113" s="152"/>
      <c r="M113" s="145">
        <f>IF(OR(J113=0,Q113=""),"",Q113/J113-1)</f>
        <v>7.7067027854404335E-2</v>
      </c>
      <c r="N113" s="150"/>
      <c r="O113" s="130">
        <f>+O108</f>
        <v>13.835244134497829</v>
      </c>
      <c r="P113" s="130">
        <f>P108</f>
        <v>175.54021963675677</v>
      </c>
      <c r="Q113" s="130">
        <f>IF(AND(O113="",P113=""),"",O113+P113*$F113/1000)</f>
        <v>821.32025446357909</v>
      </c>
      <c r="R113" s="145"/>
      <c r="S113" s="145"/>
      <c r="T113" s="378"/>
      <c r="U113" s="145"/>
      <c r="V113" s="145"/>
      <c r="W113" s="145"/>
      <c r="X113" s="145"/>
      <c r="Y113" s="145"/>
      <c r="Z113" s="145"/>
      <c r="AA113" s="145"/>
      <c r="AB113" s="145"/>
      <c r="AC113" s="145"/>
      <c r="AD113" s="145"/>
      <c r="AE113" s="145"/>
      <c r="AF113" s="145"/>
      <c r="AG113" s="145"/>
      <c r="AH113" s="145"/>
      <c r="AI113" s="145"/>
      <c r="AJ113" s="145"/>
    </row>
    <row r="114" spans="2:36" x14ac:dyDescent="0.25">
      <c r="B114" s="3" t="str">
        <f t="shared" ref="B114:B132" si="63">B113</f>
        <v>Essential</v>
      </c>
      <c r="C114" s="3" t="str">
        <f t="shared" si="61"/>
        <v>Residential</v>
      </c>
      <c r="D114" s="3" t="str">
        <f t="shared" si="62"/>
        <v>with CL</v>
      </c>
      <c r="E114" s="3" t="s">
        <v>14</v>
      </c>
      <c r="F114" s="131">
        <f t="array" ref="F114">IFERROR(INDEX(Usage!$B$5:$P$18,MATCH($B114,Usage!$B$5:$B$18,0),MATCH($C114&amp;$D114&amp;$E114,Usage!$B$5:$S$5&amp;Usage!$B$6:$S$6&amp;Usage!$B$7:$S$7,0)),0)</f>
        <v>1540</v>
      </c>
      <c r="G114" s="3" t="s">
        <v>70</v>
      </c>
      <c r="H114" s="128"/>
      <c r="I114" s="128">
        <f t="array" ref="I114">IFERROR(INDEX('Detail inputs'!$B$3:$K$195,MATCH($B114&amp;$C114&amp;$E114&amp;$G114&amp;I$5,'Detail inputs'!$B$3:$B$195&amp;'Detail inputs'!$D$3:$D$195&amp;'Detail inputs'!$F$3:$F$195&amp;'Detail inputs'!$G$3:$G$195&amp;'Detail inputs'!$H$3:$H$195,0),MATCH(I$4,'Detail inputs'!$B$3:$K$3,0)),0)</f>
        <v>98.34</v>
      </c>
      <c r="J114" s="128">
        <f>IF(AND(H114="",I114=""),"",H114+I114*+Usage!H$39/1000)</f>
        <v>151.4436</v>
      </c>
      <c r="K114" s="143">
        <f>IFERROR(J114/J121,"")</f>
        <v>0.9408357441810784</v>
      </c>
      <c r="L114" s="143"/>
      <c r="M114" s="143">
        <f t="shared" ref="M114:M130" si="64">IF(OR(J114=0,Q114=""),"",Q114/J114-1)</f>
        <v>0.17419158023184855</v>
      </c>
      <c r="N114" s="140"/>
      <c r="O114" s="128"/>
      <c r="P114" s="128">
        <f t="array" ref="P114">IFERROR(INDEX('Detail inputs'!$B$3:$K$195,MATCH($B114&amp;$C114&amp;$E114&amp;$G114&amp;P$5,'Detail inputs'!$B$3:$B$195&amp;'Detail inputs'!$D$3:$D$195&amp;'Detail inputs'!$F$3:$F$195&amp;'Detail inputs'!$G$3:$G$195&amp;'Detail inputs'!$H$3:$H$195,0),MATCH(P$4,'Detail inputs'!$B$3:$K$3,0)),0)</f>
        <v>115.47</v>
      </c>
      <c r="Q114" s="128">
        <f>IF(AND(O114="",P114=""),"",O114+P114*$F114/1000)</f>
        <v>177.82379999999998</v>
      </c>
      <c r="R114" s="143">
        <f>IFERROR(Q114/Q121,"")</f>
        <v>0.9320366668869613</v>
      </c>
      <c r="S114" s="143"/>
      <c r="T114" s="378"/>
      <c r="U114" s="143"/>
      <c r="V114" s="143"/>
      <c r="W114" s="143"/>
      <c r="X114" s="143"/>
      <c r="Y114" s="143"/>
      <c r="Z114" s="143"/>
      <c r="AA114" s="143"/>
      <c r="AB114" s="143"/>
      <c r="AC114" s="143"/>
      <c r="AD114" s="143"/>
      <c r="AE114" s="143"/>
      <c r="AF114" s="143"/>
      <c r="AG114" s="143"/>
      <c r="AH114" s="143"/>
      <c r="AI114" s="143"/>
      <c r="AJ114" s="143"/>
    </row>
    <row r="115" spans="2:36" x14ac:dyDescent="0.25">
      <c r="B115" s="3" t="str">
        <f t="shared" si="63"/>
        <v>Essential</v>
      </c>
      <c r="C115" s="3" t="str">
        <f t="shared" si="61"/>
        <v>Residential</v>
      </c>
      <c r="D115" s="3" t="str">
        <f t="shared" si="62"/>
        <v>with CL</v>
      </c>
      <c r="E115" s="3" t="s">
        <v>14</v>
      </c>
      <c r="F115" s="131">
        <f t="array" ref="F115">IFERROR(INDEX(Usage!$B$5:$P$18,MATCH($B115,Usage!$B$5:$B$18,0),MATCH($C115&amp;$D115&amp;$E115,Usage!$B$5:$S$5&amp;Usage!$B$6:$S$6&amp;Usage!$B$7:$S$7,0)),0)</f>
        <v>1540</v>
      </c>
      <c r="G115" s="3" t="s">
        <v>71</v>
      </c>
      <c r="H115" s="128"/>
      <c r="I115" s="128">
        <f t="array" ref="I115">IFERROR(INDEX('Detail inputs'!$B$3:$K$195,MATCH($B115&amp;$G115&amp;I$5,'Detail inputs'!$B$3:$B$195&amp;'Detail inputs'!$G$3:$G$195&amp;'Detail inputs'!$H$3:$H$195,0),MATCH(I$4,'Detail inputs'!$B$3:$K$3,0)),0)</f>
        <v>0.25</v>
      </c>
      <c r="J115" s="128">
        <f>IF(AND(H115="",I115=""),"",H115+I115*+Usage!H$39/1000)</f>
        <v>0.38500000000000001</v>
      </c>
      <c r="K115" s="143">
        <f>IFERROR(J115/J121,"")</f>
        <v>2.3917931263501076E-3</v>
      </c>
      <c r="L115" s="143"/>
      <c r="M115" s="143">
        <f t="shared" si="64"/>
        <v>-0.38484789629124383</v>
      </c>
      <c r="N115" s="140"/>
      <c r="O115" s="128"/>
      <c r="P115" s="128">
        <f t="array" ref="P115">IFERROR(INDEX('Detail inputs'!$B$3:$K$195,MATCH($B115&amp;$G115&amp;P$5,'Detail inputs'!$B$3:$B$195&amp;'Detail inputs'!$G$3:$G$195&amp;'Detail inputs'!$H$3:$H$195,0),MATCH(P$4,'Detail inputs'!$B$3:$K$3,0)),0)</f>
        <v>0.15378802592718904</v>
      </c>
      <c r="Q115" s="128">
        <f t="shared" ref="Q115:Q121" si="65">IF(AND(O115="",P115=""),"",O115+P115*$F115/1000)</f>
        <v>0.23683355992787114</v>
      </c>
      <c r="R115" s="143">
        <f>IFERROR(Q115/Q121,"")</f>
        <v>1.2413274364969505E-3</v>
      </c>
      <c r="S115" s="143"/>
      <c r="T115" s="143"/>
      <c r="U115" s="143"/>
      <c r="V115" s="143"/>
      <c r="W115" s="143"/>
      <c r="X115" s="143"/>
      <c r="Y115" s="143"/>
      <c r="Z115" s="143"/>
      <c r="AA115" s="143"/>
      <c r="AB115" s="143"/>
      <c r="AC115" s="143"/>
      <c r="AD115" s="143"/>
      <c r="AE115" s="143"/>
      <c r="AF115" s="143"/>
      <c r="AG115" s="143"/>
      <c r="AH115" s="143"/>
      <c r="AI115" s="143"/>
      <c r="AJ115" s="143"/>
    </row>
    <row r="116" spans="2:36" x14ac:dyDescent="0.25">
      <c r="B116" s="3" t="str">
        <f t="shared" si="63"/>
        <v>Essential</v>
      </c>
      <c r="C116" s="3" t="str">
        <f t="shared" si="61"/>
        <v>Residential</v>
      </c>
      <c r="D116" s="3" t="str">
        <f t="shared" si="62"/>
        <v>with CL</v>
      </c>
      <c r="E116" s="3" t="s">
        <v>14</v>
      </c>
      <c r="F116" s="131">
        <f t="array" ref="F116">IFERROR(INDEX(Usage!$B$5:$P$18,MATCH($B116,Usage!$B$5:$B$18,0),MATCH($C116&amp;$D116&amp;$E116,Usage!$B$5:$S$5&amp;Usage!$B$6:$S$6&amp;Usage!$B$7:$S$7,0)),0)</f>
        <v>1540</v>
      </c>
      <c r="G116" s="3" t="s">
        <v>78</v>
      </c>
      <c r="H116" s="128"/>
      <c r="I116" s="128">
        <f t="array" ref="I116">IFERROR(INDEX('Detail inputs'!$B$3:$K$195,MATCH($B116&amp;$G116&amp;I$5,'Detail inputs'!$B$3:$B$195&amp;'Detail inputs'!$G$3:$G$195&amp;'Detail inputs'!$H$3:$H$195,0),MATCH(I$4,'Detail inputs'!$B$3:$K$3,0)),0)</f>
        <v>0.50409000000000004</v>
      </c>
      <c r="J116" s="128">
        <f>IF(AND(H116="",I116=""),"",H116+I116*+Usage!H$39/1000)</f>
        <v>0.77629860000000006</v>
      </c>
      <c r="K116" s="143">
        <f>IFERROR(J116/J121,"")</f>
        <v>4.8227159882473034E-3</v>
      </c>
      <c r="L116" s="143"/>
      <c r="M116" s="143">
        <f t="shared" si="64"/>
        <v>0.13953857446090967</v>
      </c>
      <c r="N116" s="140"/>
      <c r="O116" s="128"/>
      <c r="P116" s="128">
        <f t="array" ref="P116">IFERROR(INDEX('Detail inputs'!$B$3:$K$195,MATCH($B116&amp;$G116&amp;P$5,'Detail inputs'!$B$3:$B$195&amp;'Detail inputs'!$G$3:$G$195&amp;'Detail inputs'!$H$3:$H$195,0),MATCH(P$4,'Detail inputs'!$B$3:$K$3,0)),0)</f>
        <v>0.57443</v>
      </c>
      <c r="Q116" s="128">
        <f t="shared" si="65"/>
        <v>0.88462220000000003</v>
      </c>
      <c r="R116" s="143">
        <f>IFERROR(Q116/Q121,"")</f>
        <v>4.6366140344667644E-3</v>
      </c>
      <c r="S116" s="143"/>
      <c r="T116" s="143"/>
      <c r="U116" s="143"/>
      <c r="V116" s="143"/>
      <c r="W116" s="143"/>
      <c r="X116" s="143"/>
      <c r="Y116" s="143"/>
      <c r="Z116" s="143"/>
      <c r="AA116" s="143"/>
      <c r="AB116" s="143"/>
      <c r="AC116" s="143"/>
      <c r="AD116" s="143"/>
      <c r="AE116" s="143"/>
      <c r="AF116" s="143"/>
      <c r="AG116" s="143"/>
      <c r="AH116" s="143"/>
      <c r="AI116" s="143"/>
      <c r="AJ116" s="143"/>
    </row>
    <row r="117" spans="2:36" x14ac:dyDescent="0.25">
      <c r="B117" s="3" t="str">
        <f t="shared" si="63"/>
        <v>Essential</v>
      </c>
      <c r="C117" s="3" t="str">
        <f t="shared" si="61"/>
        <v>Residential</v>
      </c>
      <c r="D117" s="3" t="str">
        <f t="shared" si="62"/>
        <v>with CL</v>
      </c>
      <c r="E117" s="3" t="s">
        <v>14</v>
      </c>
      <c r="F117" s="131">
        <f t="array" ref="F117">IFERROR(INDEX(Usage!$B$5:$P$18,MATCH($B117,Usage!$B$5:$B$18,0),MATCH($C117&amp;$D117&amp;$E117,Usage!$B$5:$S$5&amp;Usage!$B$6:$S$6&amp;Usage!$B$7:$S$7,0)),0)</f>
        <v>1540</v>
      </c>
      <c r="G117" s="3" t="s">
        <v>72</v>
      </c>
      <c r="H117" s="128"/>
      <c r="I117" s="128">
        <f t="array" ref="I117">IFERROR(INDEX('Detail inputs'!$B$3:$K$195,MATCH($B117&amp;$G117&amp;I$5,'Detail inputs'!$B$3:$B$195&amp;'Detail inputs'!$G$3:$G$195&amp;'Detail inputs'!$H$3:$H$195,0),MATCH(I$4,'Detail inputs'!$B$3:$K$3,0)),0)</f>
        <v>0</v>
      </c>
      <c r="J117" s="128">
        <f>IF(AND(H117="",I117=""),"",H117+I117*+Usage!H$39/1000)</f>
        <v>0</v>
      </c>
      <c r="K117" s="143">
        <f>IFERROR(J117/J121,"")</f>
        <v>0</v>
      </c>
      <c r="L117" s="143"/>
      <c r="M117" s="143" t="str">
        <f t="shared" si="64"/>
        <v/>
      </c>
      <c r="N117" s="140"/>
      <c r="O117" s="128"/>
      <c r="P117" s="128">
        <f t="array" ref="P117">IFERROR(INDEX('Detail inputs'!$B$3:$K$195,MATCH($B117&amp;$G117&amp;P$5,'Detail inputs'!$B$3:$B$195&amp;'Detail inputs'!$G$3:$G$195&amp;'Detail inputs'!$H$3:$H$195,0),MATCH(P$4,'Detail inputs'!$B$3:$K$3,0)),0)</f>
        <v>5.2786233739509421E-2</v>
      </c>
      <c r="Q117" s="128">
        <f t="shared" si="65"/>
        <v>8.1290799958844501E-2</v>
      </c>
      <c r="R117" s="143">
        <f>IFERROR(Q117/Q121,"")</f>
        <v>4.2607348533894884E-4</v>
      </c>
      <c r="S117" s="143"/>
      <c r="T117" s="143"/>
      <c r="U117" s="143"/>
      <c r="V117" s="143"/>
      <c r="W117" s="143"/>
      <c r="X117" s="143"/>
      <c r="Y117" s="143"/>
      <c r="Z117" s="143"/>
      <c r="AA117" s="143"/>
      <c r="AB117" s="143"/>
      <c r="AC117" s="143"/>
      <c r="AD117" s="143"/>
      <c r="AE117" s="143"/>
      <c r="AF117" s="143"/>
      <c r="AG117" s="143"/>
      <c r="AH117" s="143"/>
      <c r="AI117" s="143"/>
      <c r="AJ117" s="143"/>
    </row>
    <row r="118" spans="2:36" x14ac:dyDescent="0.25">
      <c r="B118" s="3" t="str">
        <f t="shared" si="63"/>
        <v>Essential</v>
      </c>
      <c r="C118" s="3" t="str">
        <f t="shared" si="61"/>
        <v>Residential</v>
      </c>
      <c r="D118" s="3" t="str">
        <f t="shared" si="62"/>
        <v>with CL</v>
      </c>
      <c r="E118" s="3" t="s">
        <v>14</v>
      </c>
      <c r="F118" s="131">
        <f t="array" ref="F118">IFERROR(INDEX(Usage!$B$5:$P$18,MATCH($B118,Usage!$B$5:$B$18,0),MATCH($C118&amp;$D118&amp;$E118,Usage!$B$5:$S$5&amp;Usage!$B$6:$S$6&amp;Usage!$B$7:$S$7,0)),0)</f>
        <v>1540</v>
      </c>
      <c r="G118" s="3" t="str">
        <f>+G105</f>
        <v>June 2022 Event Cost</v>
      </c>
      <c r="H118" s="128"/>
      <c r="I118" s="128">
        <f t="array" ref="I118">IFERROR(INDEX('Detail inputs'!$B$3:$K$195,MATCH($B118&amp;$G118&amp;I$5,'Detail inputs'!$B$3:$B$195&amp;'Detail inputs'!$G$3:$G$195&amp;'Detail inputs'!$H$3:$H$195,0),MATCH(I$4,'Detail inputs'!$B$3:$K$3,0)),0)</f>
        <v>0</v>
      </c>
      <c r="J118" s="128">
        <f>IF(AND(H118="",I118=""),"",H118+I118*+Usage!H$39/1000)</f>
        <v>0</v>
      </c>
      <c r="K118" s="143">
        <f>IFERROR(J118/J122,"")</f>
        <v>0</v>
      </c>
      <c r="L118" s="143"/>
      <c r="M118" s="143" t="str">
        <f t="shared" ref="M118" si="66">IF(OR(J118=0,Q118=""),"",Q118/J118-1)</f>
        <v/>
      </c>
      <c r="N118" s="140"/>
      <c r="O118" s="128"/>
      <c r="P118" s="128">
        <f t="array" ref="P118">IFERROR(INDEX('Detail inputs'!$B$3:$K$195,MATCH($B118&amp;$G118&amp;P$5,'Detail inputs'!$B$3:$B$195&amp;'Detail inputs'!$G$3:$G$195&amp;'Detail inputs'!$H$3:$H$195,0),MATCH(P$4,'Detail inputs'!$B$3:$K$3,0)),0)</f>
        <v>0.11507709849820914</v>
      </c>
      <c r="Q118" s="128">
        <f t="shared" ref="Q118" si="67">IF(AND(O118="",P118=""),"",O118+P118*$F118/1000)</f>
        <v>0.17721873168724206</v>
      </c>
      <c r="R118" s="143">
        <f>IFERROR(Q118/Q122,"")</f>
        <v>3.3364346788219423E-3</v>
      </c>
      <c r="S118" s="143"/>
      <c r="T118" s="143"/>
      <c r="U118" s="143"/>
      <c r="V118" s="143"/>
      <c r="W118" s="143"/>
      <c r="X118" s="143"/>
      <c r="Y118" s="143"/>
      <c r="Z118" s="143"/>
      <c r="AA118" s="143"/>
      <c r="AB118" s="143"/>
      <c r="AC118" s="143"/>
      <c r="AD118" s="143"/>
      <c r="AE118" s="143"/>
      <c r="AF118" s="143"/>
      <c r="AG118" s="143"/>
      <c r="AH118" s="143"/>
      <c r="AI118" s="143"/>
      <c r="AJ118" s="143"/>
    </row>
    <row r="119" spans="2:36" x14ac:dyDescent="0.25">
      <c r="B119" s="3" t="str">
        <f t="shared" si="63"/>
        <v>Essential</v>
      </c>
      <c r="C119" s="3" t="str">
        <f t="shared" si="61"/>
        <v>Residential</v>
      </c>
      <c r="D119" s="3" t="str">
        <f t="shared" si="62"/>
        <v>with CL</v>
      </c>
      <c r="E119" s="3" t="s">
        <v>14</v>
      </c>
      <c r="F119" s="131">
        <f t="array" ref="F119">IFERROR(INDEX(Usage!$B$5:$P$18,MATCH($B119,Usage!$B$5:$B$18,0),MATCH($C119&amp;$D119&amp;$E119,Usage!$B$5:$S$5&amp;Usage!$B$6:$S$6&amp;Usage!$B$7:$S$7,0)),0)</f>
        <v>1540</v>
      </c>
      <c r="G119" s="3" t="s">
        <v>135</v>
      </c>
      <c r="H119" s="128"/>
      <c r="I119" s="128">
        <f t="array" ref="I119">IFERROR(INDEX('Detail inputs'!$B$3:$K$195,MATCH($B119&amp;$G119&amp;I$5,'Detail inputs'!$B$3:$B$195&amp;'Detail inputs'!$G$3:$G$195&amp;'Detail inputs'!$H$3:$H$195,0),MATCH(I$4,'Detail inputs'!$B$3:$K$3,0)),0)</f>
        <v>2.58</v>
      </c>
      <c r="J119" s="128">
        <f>IF(AND(H119="",I119=""),"",H119+I119*+Usage!H$39/1000)</f>
        <v>3.9732000000000003</v>
      </c>
      <c r="K119" s="143">
        <f>IFERROR(J119/J121,"")</f>
        <v>2.4683305063933111E-2</v>
      </c>
      <c r="L119" s="143"/>
      <c r="M119" s="143">
        <f t="shared" si="64"/>
        <v>0.10309107768624481</v>
      </c>
      <c r="N119" s="140"/>
      <c r="O119" s="128"/>
      <c r="P119" s="128">
        <f t="array" ref="P119">IFERROR(INDEX('Detail inputs'!$B$3:$K$195,MATCH($B119&amp;$G119&amp;P$5,'Detail inputs'!$B$3:$B$195&amp;'Detail inputs'!$G$3:$G$195&amp;'Detail inputs'!$H$3:$H$195,0),MATCH(P$4,'Detail inputs'!$B$3:$K$3,0)),0)</f>
        <v>2.8459749804305119</v>
      </c>
      <c r="Q119" s="128">
        <f t="shared" si="65"/>
        <v>4.3828014698629882</v>
      </c>
      <c r="R119" s="143">
        <f>IFERROR(Q119/Q121,"")</f>
        <v>2.2971793840860306E-2</v>
      </c>
      <c r="S119" s="143"/>
      <c r="T119" s="143"/>
      <c r="U119" s="143"/>
      <c r="V119" s="143"/>
      <c r="W119" s="143"/>
      <c r="X119" s="143"/>
      <c r="Y119" s="143"/>
      <c r="Z119" s="143"/>
      <c r="AA119" s="143"/>
      <c r="AB119" s="143"/>
      <c r="AC119" s="143"/>
      <c r="AD119" s="143"/>
      <c r="AE119" s="143"/>
      <c r="AF119" s="143"/>
      <c r="AG119" s="143"/>
      <c r="AH119" s="143"/>
      <c r="AI119" s="143"/>
      <c r="AJ119" s="143"/>
    </row>
    <row r="120" spans="2:36" x14ac:dyDescent="0.25">
      <c r="B120" s="3" t="str">
        <f t="shared" si="63"/>
        <v>Essential</v>
      </c>
      <c r="C120" s="3" t="str">
        <f t="shared" si="61"/>
        <v>Residential</v>
      </c>
      <c r="D120" s="3" t="str">
        <f t="shared" si="62"/>
        <v>with CL</v>
      </c>
      <c r="E120" s="3" t="s">
        <v>14</v>
      </c>
      <c r="F120" s="131">
        <f t="array" ref="F120">IFERROR(INDEX(Usage!$B$5:$P$18,MATCH($B120,Usage!$B$5:$B$18,0),MATCH($C120&amp;$D120&amp;$E120,Usage!$B$5:$S$5&amp;Usage!$B$6:$S$6&amp;Usage!$B$7:$S$7,0)),0)</f>
        <v>1540</v>
      </c>
      <c r="G120" s="3" t="s">
        <v>73</v>
      </c>
      <c r="H120" s="128"/>
      <c r="I120" s="128" cm="1">
        <f t="array" ref="I120">IFERROR(INDEX('Detail inputs'!$B$3:$K$195,MATCH($B120&amp;$C120&amp;$E120&amp;$G120&amp;I$5,'Detail inputs'!$B$3:$B$195&amp;'Detail inputs'!$D$3:$D$195&amp;'Detail inputs'!$F$3:$F$195&amp;'Detail inputs'!$G$3:$G$195&amp;'Detail inputs'!$H$3:$H$195,0),MATCH(I$4,'Detail inputs'!$B$3:$K$3,0)),0)*SUM(I114:I119)</f>
        <v>2.8468745200000001</v>
      </c>
      <c r="J120" s="128">
        <f>IF(AND(H120="",I120=""),"",H120+I120*+Usage!H$39/1000)</f>
        <v>4.3841867608000005</v>
      </c>
      <c r="K120" s="143">
        <f>IFERROR(J120/J121,"")</f>
        <v>2.7236539634069051E-2</v>
      </c>
      <c r="L120" s="143"/>
      <c r="M120" s="143">
        <f t="shared" si="64"/>
        <v>0.64317721610894241</v>
      </c>
      <c r="N120" s="140"/>
      <c r="O120" s="128"/>
      <c r="P120" s="128" cm="1">
        <f t="array" ref="P120">IFERROR(INDEX('Detail inputs'!$B$3:$K$195,MATCH($B120&amp;$C120&amp;$E120&amp;$G120&amp;P$5,'Detail inputs'!$B$3:$B$195&amp;'Detail inputs'!$D$3:$D$195&amp;'Detail inputs'!$F$3:$F$195&amp;'Detail inputs'!$G$3:$G$195&amp;'Detail inputs'!$H$3:$H$195,0),MATCH(P$4,'Detail inputs'!$B$3:$K$3,0)),0)*SUM(P114:P119)</f>
        <v>4.6779193483850827</v>
      </c>
      <c r="Q120" s="128">
        <f t="shared" si="65"/>
        <v>7.203995796513027</v>
      </c>
      <c r="R120" s="143">
        <f>IFERROR(Q120/Q121,"")</f>
        <v>3.7758659023424776E-2</v>
      </c>
      <c r="S120" s="143"/>
      <c r="T120" s="143"/>
      <c r="U120" s="143"/>
      <c r="V120" s="143"/>
      <c r="W120" s="143"/>
      <c r="X120" s="143"/>
      <c r="Y120" s="143"/>
      <c r="Z120" s="143"/>
      <c r="AA120" s="143"/>
      <c r="AB120" s="143"/>
      <c r="AC120" s="143"/>
      <c r="AD120" s="143"/>
      <c r="AE120" s="143"/>
      <c r="AF120" s="143"/>
      <c r="AG120" s="143"/>
      <c r="AH120" s="143"/>
      <c r="AI120" s="143"/>
      <c r="AJ120" s="143"/>
    </row>
    <row r="121" spans="2:36" x14ac:dyDescent="0.25">
      <c r="B121" s="3" t="str">
        <f t="shared" si="63"/>
        <v>Essential</v>
      </c>
      <c r="C121" s="3" t="str">
        <f t="shared" si="61"/>
        <v>Residential</v>
      </c>
      <c r="D121" s="3" t="str">
        <f t="shared" si="62"/>
        <v>with CL</v>
      </c>
      <c r="E121" s="3" t="s">
        <v>14</v>
      </c>
      <c r="F121" s="131">
        <f t="array" ref="F121">IFERROR(INDEX(Usage!$B$5:$P$18,MATCH($B121,Usage!$B$5:$B$18,0),MATCH($C121&amp;$D121&amp;$E121,Usage!$B$5:$S$5&amp;Usage!$B$6:$S$6&amp;Usage!$B$7:$S$7,0)),0)</f>
        <v>1540</v>
      </c>
      <c r="G121" s="5" t="s">
        <v>55</v>
      </c>
      <c r="H121" s="130"/>
      <c r="I121" s="130">
        <v>104.52409</v>
      </c>
      <c r="J121" s="130">
        <f>IF(AND(H121="",I121=""),"",H121+I121*+Usage!H$39/1000)</f>
        <v>160.96709859999999</v>
      </c>
      <c r="K121" s="145"/>
      <c r="L121" s="152"/>
      <c r="M121" s="145">
        <f t="shared" si="64"/>
        <v>0.18527676908720769</v>
      </c>
      <c r="N121" s="150"/>
      <c r="O121" s="130"/>
      <c r="P121" s="130">
        <f>SUM(P114:P120)</f>
        <v>123.88997568698051</v>
      </c>
      <c r="Q121" s="130">
        <f t="shared" si="65"/>
        <v>190.79056255794998</v>
      </c>
      <c r="R121" s="145"/>
      <c r="S121" s="145"/>
      <c r="T121" s="145"/>
      <c r="U121" s="145"/>
      <c r="V121" s="145"/>
      <c r="W121" s="145"/>
      <c r="X121" s="145"/>
      <c r="Y121" s="145"/>
      <c r="Z121" s="145"/>
      <c r="AA121" s="145"/>
      <c r="AB121" s="145"/>
      <c r="AC121" s="145"/>
      <c r="AD121" s="145"/>
      <c r="AE121" s="145"/>
      <c r="AF121" s="145"/>
      <c r="AG121" s="145"/>
      <c r="AH121" s="145"/>
      <c r="AI121" s="145"/>
      <c r="AJ121" s="145"/>
    </row>
    <row r="122" spans="2:36" x14ac:dyDescent="0.25">
      <c r="B122" s="3" t="str">
        <f t="shared" si="63"/>
        <v>Essential</v>
      </c>
      <c r="C122" s="3" t="str">
        <f t="shared" si="61"/>
        <v>Residential</v>
      </c>
      <c r="D122" s="3" t="str">
        <f t="shared" si="62"/>
        <v>with CL</v>
      </c>
      <c r="E122" s="3" t="s">
        <v>15</v>
      </c>
      <c r="F122" s="131">
        <f t="array" ref="F122">IFERROR(INDEX(Usage!$B$5:$P$18,MATCH($B122,Usage!$B$5:$B$18,0),MATCH($C122&amp;$D122&amp;$E122,Usage!$B$5:$S$5&amp;Usage!$B$6:$S$6&amp;Usage!$B$7:$S$7,0)),0)</f>
        <v>460</v>
      </c>
      <c r="G122" s="3" t="s">
        <v>70</v>
      </c>
      <c r="H122" s="128"/>
      <c r="I122" s="128">
        <f t="array" ref="I122">IFERROR(INDEX('Detail inputs'!$B$3:$K$195,MATCH($B122&amp;$C122&amp;$E122&amp;$G122&amp;I$5,'Detail inputs'!$B$3:$B$195&amp;'Detail inputs'!$D$3:$D$195&amp;'Detail inputs'!$F$3:$F$195&amp;'Detail inputs'!$G$3:$G$195&amp;'Detail inputs'!$H$3:$H$195,0),MATCH(I$4,'Detail inputs'!$B$3:$K$3,0)),0)</f>
        <v>98.34</v>
      </c>
      <c r="J122" s="128">
        <f>IF(AND(H122="",I122=""),"",H122+I122*+Usage!I$39/1000)</f>
        <v>45.236400000000003</v>
      </c>
      <c r="K122" s="144">
        <f>IFERROR(J122/J129,"")</f>
        <v>0.94083574418107829</v>
      </c>
      <c r="L122" s="144"/>
      <c r="M122" s="144">
        <f t="shared" si="64"/>
        <v>0.17419158023184855</v>
      </c>
      <c r="N122" s="141"/>
      <c r="O122" s="128"/>
      <c r="P122" s="128">
        <f t="array" ref="P122">IFERROR(INDEX('Detail inputs'!$B$3:$K$195,MATCH($B122&amp;$C122&amp;$E122&amp;$G122&amp;P$5,'Detail inputs'!$B$3:$B$195&amp;'Detail inputs'!$D$3:$D$195&amp;'Detail inputs'!$F$3:$F$195&amp;'Detail inputs'!$G$3:$G$195&amp;'Detail inputs'!$H$3:$H$195,0),MATCH(P$4,'Detail inputs'!$B$3:$K$3,0)),0)</f>
        <v>115.47</v>
      </c>
      <c r="Q122" s="128">
        <f>IF(AND(O122="",P122=""),"",O122+P122*$F122/1000)</f>
        <v>53.116199999999999</v>
      </c>
      <c r="R122" s="144">
        <f>IFERROR(Q122/Q129,"")</f>
        <v>0.93203666688696141</v>
      </c>
      <c r="S122" s="144"/>
      <c r="T122" s="378"/>
      <c r="U122" s="144"/>
      <c r="V122" s="144"/>
      <c r="W122" s="144"/>
      <c r="X122" s="144"/>
      <c r="Y122" s="144"/>
      <c r="Z122" s="144"/>
      <c r="AA122" s="144"/>
      <c r="AB122" s="144"/>
      <c r="AC122" s="144"/>
      <c r="AD122" s="144"/>
      <c r="AE122" s="144"/>
      <c r="AF122" s="144"/>
      <c r="AG122" s="144"/>
      <c r="AH122" s="144"/>
      <c r="AI122" s="144"/>
      <c r="AJ122" s="144"/>
    </row>
    <row r="123" spans="2:36" x14ac:dyDescent="0.25">
      <c r="B123" s="3" t="str">
        <f t="shared" si="63"/>
        <v>Essential</v>
      </c>
      <c r="C123" s="3" t="str">
        <f t="shared" si="61"/>
        <v>Residential</v>
      </c>
      <c r="D123" s="3" t="str">
        <f t="shared" si="62"/>
        <v>with CL</v>
      </c>
      <c r="E123" s="3" t="s">
        <v>15</v>
      </c>
      <c r="F123" s="131">
        <f t="array" ref="F123">IFERROR(INDEX(Usage!$B$5:$P$18,MATCH($B123,Usage!$B$5:$B$18,0),MATCH($C123&amp;$D123&amp;$E123,Usage!$B$5:$S$5&amp;Usage!$B$6:$S$6&amp;Usage!$B$7:$S$7,0)),0)</f>
        <v>460</v>
      </c>
      <c r="G123" s="3" t="s">
        <v>71</v>
      </c>
      <c r="H123" s="128"/>
      <c r="I123" s="128">
        <f t="array" ref="I123">IFERROR(INDEX('Detail inputs'!$B$3:$K$195,MATCH($B123&amp;$G123&amp;I$5,'Detail inputs'!$B$3:$B$195&amp;'Detail inputs'!$G$3:$G$195&amp;'Detail inputs'!$H$3:$H$195,0),MATCH(I$4,'Detail inputs'!$B$3:$K$3,0)),0)</f>
        <v>0.25</v>
      </c>
      <c r="J123" s="128">
        <f>IF(AND(H123="",I123=""),"",H123+I123*+Usage!I$39/1000)</f>
        <v>0.115</v>
      </c>
      <c r="K123" s="144">
        <f>IFERROR(J123/J129,"")</f>
        <v>2.3917931263501076E-3</v>
      </c>
      <c r="L123" s="144"/>
      <c r="M123" s="144">
        <f t="shared" si="64"/>
        <v>-0.38484789629124383</v>
      </c>
      <c r="N123" s="141"/>
      <c r="O123" s="128"/>
      <c r="P123" s="128">
        <f t="array" ref="P123">IFERROR(INDEX('Detail inputs'!$B$3:$K$195,MATCH($B123&amp;$G123&amp;P$5,'Detail inputs'!$B$3:$B$195&amp;'Detail inputs'!$G$3:$G$195&amp;'Detail inputs'!$H$3:$H$195,0),MATCH(P$4,'Detail inputs'!$B$3:$K$3,0)),0)</f>
        <v>0.15378802592718904</v>
      </c>
      <c r="Q123" s="128">
        <f t="shared" ref="Q123:Q129" si="68">IF(AND(O123="",P123=""),"",O123+P123*$F123/1000)</f>
        <v>7.0742491926506959E-2</v>
      </c>
      <c r="R123" s="144">
        <f>IFERROR(Q123/Q129,"")</f>
        <v>1.2413274364969505E-3</v>
      </c>
      <c r="S123" s="144"/>
      <c r="T123" s="144"/>
      <c r="U123" s="144"/>
      <c r="V123" s="144"/>
      <c r="W123" s="144"/>
      <c r="X123" s="144"/>
      <c r="Y123" s="144"/>
      <c r="Z123" s="144"/>
      <c r="AA123" s="144"/>
      <c r="AB123" s="144"/>
      <c r="AC123" s="144"/>
      <c r="AD123" s="144"/>
      <c r="AE123" s="144"/>
      <c r="AF123" s="144"/>
      <c r="AG123" s="144"/>
      <c r="AH123" s="144"/>
      <c r="AI123" s="144"/>
      <c r="AJ123" s="144"/>
    </row>
    <row r="124" spans="2:36" x14ac:dyDescent="0.25">
      <c r="B124" s="3" t="str">
        <f t="shared" si="63"/>
        <v>Essential</v>
      </c>
      <c r="C124" s="3" t="str">
        <f t="shared" si="61"/>
        <v>Residential</v>
      </c>
      <c r="D124" s="3" t="str">
        <f t="shared" si="62"/>
        <v>with CL</v>
      </c>
      <c r="E124" s="3" t="s">
        <v>15</v>
      </c>
      <c r="F124" s="131">
        <f t="array" ref="F124">IFERROR(INDEX(Usage!$B$5:$P$18,MATCH($B124,Usage!$B$5:$B$18,0),MATCH($C124&amp;$D124&amp;$E124,Usage!$B$5:$S$5&amp;Usage!$B$6:$S$6&amp;Usage!$B$7:$S$7,0)),0)</f>
        <v>460</v>
      </c>
      <c r="G124" s="3" t="s">
        <v>78</v>
      </c>
      <c r="H124" s="128"/>
      <c r="I124" s="128">
        <f t="array" ref="I124">IFERROR(INDEX('Detail inputs'!$B$3:$K$195,MATCH($B124&amp;$G124&amp;I$5,'Detail inputs'!$B$3:$B$195&amp;'Detail inputs'!$G$3:$G$195&amp;'Detail inputs'!$H$3:$H$195,0),MATCH(I$4,'Detail inputs'!$B$3:$K$3,0)),0)</f>
        <v>0.50409000000000004</v>
      </c>
      <c r="J124" s="128">
        <f>IF(AND(H124="",I124=""),"",H124+I124*+Usage!I$39/1000)</f>
        <v>0.23188140000000002</v>
      </c>
      <c r="K124" s="144">
        <f>IFERROR(J124/J129,"")</f>
        <v>4.8227159882473026E-3</v>
      </c>
      <c r="L124" s="144"/>
      <c r="M124" s="144">
        <f t="shared" si="64"/>
        <v>0.13953857446090945</v>
      </c>
      <c r="N124" s="141"/>
      <c r="O124" s="128"/>
      <c r="P124" s="128">
        <f t="array" ref="P124">IFERROR(INDEX('Detail inputs'!$B$3:$K$195,MATCH($B124&amp;$G124&amp;P$5,'Detail inputs'!$B$3:$B$195&amp;'Detail inputs'!$G$3:$G$195&amp;'Detail inputs'!$H$3:$H$195,0),MATCH(P$4,'Detail inputs'!$B$3:$K$3,0)),0)</f>
        <v>0.57443</v>
      </c>
      <c r="Q124" s="128">
        <f t="shared" si="68"/>
        <v>0.26423779999999997</v>
      </c>
      <c r="R124" s="144">
        <f>IFERROR(Q124/Q129,"")</f>
        <v>4.6366140344667635E-3</v>
      </c>
      <c r="S124" s="144"/>
      <c r="T124" s="144"/>
      <c r="U124" s="144"/>
      <c r="V124" s="144"/>
      <c r="W124" s="144"/>
      <c r="X124" s="144"/>
      <c r="Y124" s="144"/>
      <c r="Z124" s="144"/>
      <c r="AA124" s="144"/>
      <c r="AB124" s="144"/>
      <c r="AC124" s="144"/>
      <c r="AD124" s="144"/>
      <c r="AE124" s="144"/>
      <c r="AF124" s="144"/>
      <c r="AG124" s="144"/>
      <c r="AH124" s="144"/>
      <c r="AI124" s="144"/>
      <c r="AJ124" s="144"/>
    </row>
    <row r="125" spans="2:36" x14ac:dyDescent="0.25">
      <c r="B125" s="3" t="str">
        <f t="shared" si="63"/>
        <v>Essential</v>
      </c>
      <c r="C125" s="3" t="str">
        <f t="shared" si="61"/>
        <v>Residential</v>
      </c>
      <c r="D125" s="3" t="str">
        <f t="shared" si="62"/>
        <v>with CL</v>
      </c>
      <c r="E125" s="3" t="s">
        <v>15</v>
      </c>
      <c r="F125" s="131">
        <f t="array" ref="F125">IFERROR(INDEX(Usage!$B$5:$P$18,MATCH($B125,Usage!$B$5:$B$18,0),MATCH($C125&amp;$D125&amp;$E125,Usage!$B$5:$S$5&amp;Usage!$B$6:$S$6&amp;Usage!$B$7:$S$7,0)),0)</f>
        <v>460</v>
      </c>
      <c r="G125" s="3" t="s">
        <v>72</v>
      </c>
      <c r="H125" s="128"/>
      <c r="I125" s="128">
        <f t="array" ref="I125">IFERROR(INDEX('Detail inputs'!$B$3:$K$195,MATCH($B125&amp;$G125&amp;I$5,'Detail inputs'!$B$3:$B$195&amp;'Detail inputs'!$G$3:$G$195&amp;'Detail inputs'!$H$3:$H$195,0),MATCH(I$4,'Detail inputs'!$B$3:$K$3,0)),0)</f>
        <v>0</v>
      </c>
      <c r="J125" s="128">
        <f>IF(AND(H125="",I125=""),"",H125+I125*+Usage!I$39/1000)</f>
        <v>0</v>
      </c>
      <c r="K125" s="144">
        <f>IFERROR(J125/J129,"")</f>
        <v>0</v>
      </c>
      <c r="L125" s="144"/>
      <c r="M125" s="144" t="str">
        <f t="shared" si="64"/>
        <v/>
      </c>
      <c r="N125" s="141"/>
      <c r="O125" s="128"/>
      <c r="P125" s="128">
        <f t="array" ref="P125">IFERROR(INDEX('Detail inputs'!$B$3:$K$195,MATCH($B125&amp;$G125&amp;P$5,'Detail inputs'!$B$3:$B$195&amp;'Detail inputs'!$G$3:$G$195&amp;'Detail inputs'!$H$3:$H$195,0),MATCH(P$4,'Detail inputs'!$B$3:$K$3,0)),0)</f>
        <v>5.2786233739509421E-2</v>
      </c>
      <c r="Q125" s="128">
        <f t="shared" si="68"/>
        <v>2.4281667520174334E-2</v>
      </c>
      <c r="R125" s="144">
        <f>IFERROR(Q125/Q129,"")</f>
        <v>4.2607348533894884E-4</v>
      </c>
      <c r="S125" s="144"/>
      <c r="T125" s="144"/>
      <c r="U125" s="144"/>
      <c r="V125" s="144"/>
      <c r="W125" s="144"/>
      <c r="X125" s="144"/>
      <c r="Y125" s="144"/>
      <c r="Z125" s="144"/>
      <c r="AA125" s="144"/>
      <c r="AB125" s="144"/>
      <c r="AC125" s="144"/>
      <c r="AD125" s="144"/>
      <c r="AE125" s="144"/>
      <c r="AF125" s="144"/>
      <c r="AG125" s="144"/>
      <c r="AH125" s="144"/>
      <c r="AI125" s="144"/>
      <c r="AJ125" s="144"/>
    </row>
    <row r="126" spans="2:36" x14ac:dyDescent="0.25">
      <c r="B126" s="3" t="str">
        <f t="shared" si="63"/>
        <v>Essential</v>
      </c>
      <c r="C126" s="3" t="str">
        <f t="shared" si="61"/>
        <v>Residential</v>
      </c>
      <c r="D126" s="3" t="str">
        <f t="shared" si="62"/>
        <v>with CL</v>
      </c>
      <c r="E126" s="3" t="s">
        <v>15</v>
      </c>
      <c r="F126" s="131">
        <f t="array" ref="F126">IFERROR(INDEX(Usage!$B$5:$P$18,MATCH($B126,Usage!$B$5:$B$18,0),MATCH($C126&amp;$D126&amp;$E126,Usage!$B$5:$S$5&amp;Usage!$B$6:$S$6&amp;Usage!$B$7:$S$7,0)),0)</f>
        <v>460</v>
      </c>
      <c r="G126" s="3" t="str">
        <f>+G105</f>
        <v>June 2022 Event Cost</v>
      </c>
      <c r="H126" s="128"/>
      <c r="I126" s="128">
        <f t="array" ref="I126">IFERROR(INDEX('Detail inputs'!$B$3:$K$195,MATCH($B126&amp;$G126&amp;I$5,'Detail inputs'!$B$3:$B$195&amp;'Detail inputs'!$G$3:$G$195&amp;'Detail inputs'!$H$3:$H$195,0),MATCH(I$4,'Detail inputs'!$B$3:$K$3,0)),0)</f>
        <v>0</v>
      </c>
      <c r="J126" s="128">
        <f>IF(AND(H126="",I126=""),"",H126+I126*+Usage!I$39/1000)</f>
        <v>0</v>
      </c>
      <c r="K126" s="144">
        <f>IFERROR(J126/J130,"")</f>
        <v>0</v>
      </c>
      <c r="L126" s="144"/>
      <c r="M126" s="144" t="str">
        <f t="shared" ref="M126" si="69">IF(OR(J126=0,Q126=""),"",Q126/J126-1)</f>
        <v/>
      </c>
      <c r="N126" s="141"/>
      <c r="O126" s="128"/>
      <c r="P126" s="128">
        <f t="array" ref="P126">IFERROR(INDEX('Detail inputs'!$B$3:$K$195,MATCH($B126&amp;$G126&amp;P$5,'Detail inputs'!$B$3:$B$195&amp;'Detail inputs'!$G$3:$G$195&amp;'Detail inputs'!$H$3:$H$195,0),MATCH(P$4,'Detail inputs'!$B$3:$K$3,0)),0)</f>
        <v>0.11507709849820914</v>
      </c>
      <c r="Q126" s="128">
        <f t="shared" ref="Q126" si="70">IF(AND(O126="",P126=""),"",O126+P126*$F126/1000)</f>
        <v>5.2935465309176206E-2</v>
      </c>
      <c r="R126" s="144">
        <f>IFERROR(Q126/Q130,"")</f>
        <v>4.9514035279514526E-5</v>
      </c>
      <c r="S126" s="144"/>
      <c r="T126" s="144"/>
      <c r="U126" s="144"/>
      <c r="V126" s="144"/>
      <c r="W126" s="144"/>
      <c r="X126" s="144"/>
      <c r="Y126" s="144"/>
      <c r="Z126" s="144"/>
      <c r="AA126" s="144"/>
      <c r="AB126" s="144"/>
      <c r="AC126" s="144"/>
      <c r="AD126" s="144"/>
      <c r="AE126" s="144"/>
      <c r="AF126" s="144"/>
      <c r="AG126" s="144"/>
      <c r="AH126" s="144"/>
      <c r="AI126" s="144"/>
      <c r="AJ126" s="144"/>
    </row>
    <row r="127" spans="2:36" x14ac:dyDescent="0.25">
      <c r="B127" s="3" t="str">
        <f t="shared" si="63"/>
        <v>Essential</v>
      </c>
      <c r="C127" s="3" t="str">
        <f t="shared" si="61"/>
        <v>Residential</v>
      </c>
      <c r="D127" s="3" t="str">
        <f t="shared" si="62"/>
        <v>with CL</v>
      </c>
      <c r="E127" s="3" t="s">
        <v>15</v>
      </c>
      <c r="F127" s="131">
        <f t="array" ref="F127">IFERROR(INDEX(Usage!$B$5:$P$18,MATCH($B127,Usage!$B$5:$B$18,0),MATCH($C127&amp;$D127&amp;$E127,Usage!$B$5:$S$5&amp;Usage!$B$6:$S$6&amp;Usage!$B$7:$S$7,0)),0)</f>
        <v>460</v>
      </c>
      <c r="G127" s="3" t="s">
        <v>135</v>
      </c>
      <c r="H127" s="128"/>
      <c r="I127" s="128">
        <f t="array" ref="I127">IFERROR(INDEX('Detail inputs'!$B$3:$K$195,MATCH($B127&amp;$G127&amp;I$5,'Detail inputs'!$B$3:$B$195&amp;'Detail inputs'!$G$3:$G$195&amp;'Detail inputs'!$H$3:$H$195,0),MATCH(I$4,'Detail inputs'!$B$3:$K$3,0)),0)</f>
        <v>2.58</v>
      </c>
      <c r="J127" s="128">
        <f>IF(AND(H127="",I127=""),"",H127+I127*+Usage!I$39/1000)</f>
        <v>1.1867999999999999</v>
      </c>
      <c r="K127" s="144">
        <f>IFERROR(J127/J129,"")</f>
        <v>2.4683305063933104E-2</v>
      </c>
      <c r="L127" s="144"/>
      <c r="M127" s="144">
        <f t="shared" si="64"/>
        <v>0.10309107768624504</v>
      </c>
      <c r="N127" s="141"/>
      <c r="O127" s="128"/>
      <c r="P127" s="128">
        <f t="array" ref="P127">IFERROR(INDEX('Detail inputs'!$B$3:$K$195,MATCH($B127&amp;$G127&amp;P$5,'Detail inputs'!$B$3:$B$195&amp;'Detail inputs'!$G$3:$G$195&amp;'Detail inputs'!$H$3:$H$195,0),MATCH(P$4,'Detail inputs'!$B$3:$K$3,0)),0)</f>
        <v>2.8459749804305119</v>
      </c>
      <c r="Q127" s="128">
        <f t="shared" si="68"/>
        <v>1.3091484909980353</v>
      </c>
      <c r="R127" s="144">
        <f>IFERROR(Q127/Q129,"")</f>
        <v>2.2971793840860302E-2</v>
      </c>
      <c r="S127" s="144"/>
      <c r="T127" s="144"/>
      <c r="U127" s="144"/>
      <c r="V127" s="144"/>
      <c r="W127" s="144"/>
      <c r="X127" s="144"/>
      <c r="Y127" s="144"/>
      <c r="Z127" s="144"/>
      <c r="AA127" s="144"/>
      <c r="AB127" s="144"/>
      <c r="AC127" s="144"/>
      <c r="AD127" s="144"/>
      <c r="AE127" s="144"/>
      <c r="AF127" s="144"/>
      <c r="AG127" s="144"/>
      <c r="AH127" s="144"/>
      <c r="AI127" s="144"/>
      <c r="AJ127" s="144"/>
    </row>
    <row r="128" spans="2:36" x14ac:dyDescent="0.25">
      <c r="B128" s="3" t="str">
        <f t="shared" si="63"/>
        <v>Essential</v>
      </c>
      <c r="C128" s="3" t="str">
        <f t="shared" si="61"/>
        <v>Residential</v>
      </c>
      <c r="D128" s="3" t="str">
        <f t="shared" si="62"/>
        <v>with CL</v>
      </c>
      <c r="E128" s="3" t="s">
        <v>15</v>
      </c>
      <c r="F128" s="131">
        <f t="array" ref="F128">IFERROR(INDEX(Usage!$B$5:$P$18,MATCH($B128,Usage!$B$5:$B$18,0),MATCH($C128&amp;$D128&amp;$E128,Usage!$B$5:$S$5&amp;Usage!$B$6:$S$6&amp;Usage!$B$7:$S$7,0)),0)</f>
        <v>460</v>
      </c>
      <c r="G128" s="3" t="s">
        <v>73</v>
      </c>
      <c r="H128" s="128"/>
      <c r="I128" s="128" cm="1">
        <f t="array" ref="I128">IFERROR(INDEX('Detail inputs'!$B$3:$K$195,MATCH($B128&amp;$C128&amp;$E128&amp;$G128&amp;I$5,'Detail inputs'!$B$3:$B$195&amp;'Detail inputs'!$D$3:$D$195&amp;'Detail inputs'!$F$3:$F$195&amp;'Detail inputs'!$G$3:$G$195&amp;'Detail inputs'!$H$3:$H$195,0),MATCH(I$4,'Detail inputs'!$B$3:$K$3,0)),0)*SUM(I122:I127)</f>
        <v>2.8468745200000001</v>
      </c>
      <c r="J128" s="128">
        <f>IF(AND(H128="",I128=""),"",H128+I128*+Usage!I$39/1000)</f>
        <v>1.3095622791999999</v>
      </c>
      <c r="K128" s="144">
        <f>IFERROR(J128/J129,"")</f>
        <v>2.7236539634069041E-2</v>
      </c>
      <c r="L128" s="144"/>
      <c r="M128" s="144">
        <f t="shared" si="64"/>
        <v>0.64317721610894285</v>
      </c>
      <c r="N128" s="141"/>
      <c r="O128" s="128"/>
      <c r="P128" s="128" cm="1">
        <f t="array" ref="P128">IFERROR(INDEX('Detail inputs'!$B$3:$K$195,MATCH($B128&amp;$C128&amp;$E128&amp;$G128&amp;P$5,'Detail inputs'!$B$3:$B$195&amp;'Detail inputs'!$D$3:$D$195&amp;'Detail inputs'!$F$3:$F$195&amp;'Detail inputs'!$G$3:$G$195&amp;'Detail inputs'!$H$3:$H$195,0),MATCH(P$4,'Detail inputs'!$B$3:$K$3,0)),0)*SUM(P122:P127)</f>
        <v>4.6779193483850827</v>
      </c>
      <c r="Q128" s="128">
        <f t="shared" si="68"/>
        <v>2.151842900257138</v>
      </c>
      <c r="R128" s="144">
        <f>IFERROR(Q128/Q129,"")</f>
        <v>3.7758659023424776E-2</v>
      </c>
      <c r="S128" s="144"/>
      <c r="T128" s="144"/>
      <c r="U128" s="144"/>
      <c r="V128" s="144"/>
      <c r="W128" s="144"/>
      <c r="X128" s="144"/>
      <c r="Y128" s="144"/>
      <c r="Z128" s="144"/>
      <c r="AA128" s="144"/>
      <c r="AB128" s="144"/>
      <c r="AC128" s="144"/>
      <c r="AD128" s="144"/>
      <c r="AE128" s="144"/>
      <c r="AF128" s="144"/>
      <c r="AG128" s="144"/>
      <c r="AH128" s="144"/>
      <c r="AI128" s="144"/>
      <c r="AJ128" s="144"/>
    </row>
    <row r="129" spans="2:36" x14ac:dyDescent="0.25">
      <c r="B129" s="3" t="str">
        <f t="shared" si="63"/>
        <v>Essential</v>
      </c>
      <c r="C129" s="3" t="str">
        <f t="shared" si="61"/>
        <v>Residential</v>
      </c>
      <c r="D129" s="3" t="str">
        <f t="shared" si="62"/>
        <v>with CL</v>
      </c>
      <c r="E129" s="3" t="s">
        <v>15</v>
      </c>
      <c r="F129" s="131">
        <f t="array" ref="F129">IFERROR(INDEX(Usage!$B$5:$P$18,MATCH($B129,Usage!$B$5:$B$18,0),MATCH($C129&amp;$D129&amp;$E129,Usage!$B$5:$S$5&amp;Usage!$B$6:$S$6&amp;Usage!$B$7:$S$7,0)),0)</f>
        <v>460</v>
      </c>
      <c r="G129" s="5" t="s">
        <v>55</v>
      </c>
      <c r="H129" s="130"/>
      <c r="I129" s="130">
        <v>104.52409</v>
      </c>
      <c r="J129" s="130">
        <f>IF(AND(H129="",I129=""),"",H129+I129*+Usage!I$39/1000)</f>
        <v>48.081081400000002</v>
      </c>
      <c r="K129" s="145"/>
      <c r="L129" s="152"/>
      <c r="M129" s="145">
        <f t="shared" si="64"/>
        <v>0.18527676908720769</v>
      </c>
      <c r="N129" s="150"/>
      <c r="O129" s="130"/>
      <c r="P129" s="130">
        <f>SUM(P122:P128)</f>
        <v>123.88997568698051</v>
      </c>
      <c r="Q129" s="130">
        <f t="shared" si="68"/>
        <v>56.989388816011036</v>
      </c>
      <c r="R129" s="145"/>
      <c r="S129" s="145"/>
      <c r="T129" s="145"/>
      <c r="U129" s="145"/>
      <c r="V129" s="145"/>
      <c r="W129" s="145"/>
      <c r="X129" s="145"/>
      <c r="Y129" s="145"/>
      <c r="Z129" s="145"/>
      <c r="AA129" s="145"/>
      <c r="AB129" s="145"/>
      <c r="AC129" s="145"/>
      <c r="AD129" s="145"/>
      <c r="AE129" s="145"/>
      <c r="AF129" s="145"/>
      <c r="AG129" s="145"/>
      <c r="AH129" s="145"/>
      <c r="AI129" s="145"/>
      <c r="AJ129" s="145"/>
    </row>
    <row r="130" spans="2:36" x14ac:dyDescent="0.25">
      <c r="B130" s="3" t="str">
        <f t="shared" si="63"/>
        <v>Essential</v>
      </c>
      <c r="C130" s="3" t="str">
        <f t="shared" si="61"/>
        <v>Residential</v>
      </c>
      <c r="D130" s="3" t="str">
        <f t="shared" si="62"/>
        <v>with CL</v>
      </c>
      <c r="E130" s="3" t="s">
        <v>55</v>
      </c>
      <c r="F130" s="131">
        <f t="array" ref="F130">IFERROR(INDEX(Usage!$B$5:$P$18,MATCH($B130,Usage!$B$5:$B$18,0),MATCH($C130&amp;$D130&amp;$E130,Usage!$B$5:$S$5&amp;Usage!$B$6:$S$6&amp;Usage!$B$7:$S$7,0)),0)</f>
        <v>6600</v>
      </c>
      <c r="G130" s="5" t="s">
        <v>55</v>
      </c>
      <c r="H130" s="130"/>
      <c r="I130" s="130"/>
      <c r="J130" s="130">
        <f>J113+J121+J129</f>
        <v>971.60077257142859</v>
      </c>
      <c r="K130" s="145"/>
      <c r="L130" s="152"/>
      <c r="M130" s="145">
        <f t="shared" si="64"/>
        <v>0.10034927515348779</v>
      </c>
      <c r="N130" s="150"/>
      <c r="O130" s="130"/>
      <c r="P130" s="130"/>
      <c r="Q130" s="130">
        <f>Q113+Q121+Q129</f>
        <v>1069.1002058375402</v>
      </c>
      <c r="R130" s="145"/>
      <c r="S130" s="145"/>
      <c r="T130" s="145"/>
      <c r="U130" s="145"/>
      <c r="V130" s="145"/>
      <c r="W130" s="145"/>
      <c r="X130" s="145"/>
      <c r="Y130" s="145"/>
      <c r="Z130" s="145"/>
      <c r="AA130" s="145"/>
      <c r="AB130" s="145"/>
      <c r="AC130" s="145"/>
      <c r="AD130" s="145"/>
      <c r="AE130" s="145"/>
      <c r="AF130" s="145"/>
      <c r="AG130" s="145"/>
      <c r="AH130" s="145"/>
      <c r="AI130" s="145"/>
      <c r="AJ130" s="145"/>
    </row>
    <row r="131" spans="2:36" x14ac:dyDescent="0.25">
      <c r="B131" s="3" t="str">
        <f t="shared" si="63"/>
        <v>Essential</v>
      </c>
      <c r="C131" s="3" t="str">
        <f t="shared" si="61"/>
        <v>Residential</v>
      </c>
      <c r="D131" s="3" t="str">
        <f t="shared" si="62"/>
        <v>with CL</v>
      </c>
      <c r="F131" s="131"/>
      <c r="G131" s="3" t="s">
        <v>38</v>
      </c>
      <c r="H131" s="128"/>
      <c r="I131" s="128"/>
      <c r="J131" s="128">
        <f>J130*GST</f>
        <v>97.160077257142859</v>
      </c>
      <c r="K131" s="144"/>
      <c r="L131" s="151"/>
      <c r="M131" s="144"/>
      <c r="N131" s="149"/>
      <c r="O131" s="128"/>
      <c r="P131" s="128"/>
      <c r="Q131" s="128">
        <f>Q130*GST</f>
        <v>106.91002058375403</v>
      </c>
      <c r="R131" s="145"/>
      <c r="S131" s="145"/>
      <c r="T131" s="145"/>
      <c r="U131" s="145"/>
      <c r="V131" s="145"/>
      <c r="W131" s="145"/>
      <c r="X131" s="145"/>
      <c r="Y131" s="145"/>
      <c r="Z131" s="145"/>
      <c r="AA131" s="145"/>
      <c r="AB131" s="145"/>
      <c r="AC131" s="145"/>
      <c r="AD131" s="145"/>
      <c r="AE131" s="145"/>
      <c r="AF131" s="145"/>
      <c r="AG131" s="145"/>
      <c r="AH131" s="145"/>
      <c r="AI131" s="145"/>
      <c r="AJ131" s="145"/>
    </row>
    <row r="132" spans="2:36" x14ac:dyDescent="0.25">
      <c r="B132" s="3" t="str">
        <f t="shared" si="63"/>
        <v>Essential</v>
      </c>
      <c r="C132" s="3" t="str">
        <f t="shared" si="61"/>
        <v>Residential</v>
      </c>
      <c r="D132" s="3" t="str">
        <f t="shared" si="62"/>
        <v>with CL</v>
      </c>
      <c r="F132" s="131"/>
      <c r="G132" s="5" t="s">
        <v>80</v>
      </c>
      <c r="H132" s="130"/>
      <c r="I132" s="130"/>
      <c r="J132" s="130">
        <f>SUM(J130:J131)</f>
        <v>1068.7608498285715</v>
      </c>
      <c r="K132" s="145"/>
      <c r="L132" s="152"/>
      <c r="M132" s="145">
        <f>IF(OR(J132=0,Q132=""),"",Q132/J132-1)</f>
        <v>0.10034927515348779</v>
      </c>
      <c r="N132" s="150"/>
      <c r="O132" s="130"/>
      <c r="P132" s="130"/>
      <c r="Q132" s="130">
        <f>SUM(Q130:Q131)</f>
        <v>1176.0102264212942</v>
      </c>
      <c r="R132" s="145"/>
      <c r="S132" s="145"/>
      <c r="T132" s="145"/>
      <c r="U132" s="145"/>
      <c r="V132" s="145"/>
      <c r="W132" s="145"/>
      <c r="X132" s="145"/>
      <c r="Y132" s="145"/>
      <c r="Z132" s="145"/>
      <c r="AA132" s="145"/>
      <c r="AB132" s="145"/>
      <c r="AC132" s="145"/>
      <c r="AD132" s="145"/>
      <c r="AE132" s="145"/>
      <c r="AF132" s="145"/>
      <c r="AG132" s="145"/>
      <c r="AH132" s="145"/>
      <c r="AI132" s="145"/>
      <c r="AJ132" s="145"/>
    </row>
    <row r="133" spans="2:36" x14ac:dyDescent="0.25">
      <c r="F133" s="131"/>
      <c r="H133" s="128"/>
      <c r="I133" s="128"/>
      <c r="J133" s="128"/>
      <c r="K133" s="143"/>
      <c r="L133" s="151"/>
      <c r="M133" s="143"/>
      <c r="N133" s="149"/>
      <c r="O133" s="128"/>
      <c r="P133" s="128"/>
      <c r="Q133" s="128"/>
      <c r="R133" s="143"/>
      <c r="S133" s="143"/>
      <c r="T133" s="143"/>
      <c r="U133" s="143"/>
      <c r="V133" s="143"/>
      <c r="W133" s="143"/>
      <c r="X133" s="143"/>
      <c r="Y133" s="143"/>
      <c r="Z133" s="143"/>
      <c r="AA133" s="143"/>
      <c r="AB133" s="143"/>
      <c r="AC133" s="143"/>
      <c r="AD133" s="143"/>
      <c r="AE133" s="143"/>
      <c r="AF133" s="143"/>
      <c r="AG133" s="143"/>
      <c r="AH133" s="143"/>
      <c r="AI133" s="143"/>
      <c r="AJ133" s="143"/>
    </row>
    <row r="134" spans="2:36" x14ac:dyDescent="0.25">
      <c r="B134" s="5" t="s">
        <v>3</v>
      </c>
      <c r="C134" s="5" t="s">
        <v>13</v>
      </c>
      <c r="D134" s="5" t="s">
        <v>127</v>
      </c>
      <c r="F134" s="131"/>
      <c r="H134" s="128"/>
      <c r="I134" s="128"/>
      <c r="J134" s="128"/>
      <c r="K134" s="143"/>
      <c r="L134" s="151"/>
      <c r="M134" s="143"/>
      <c r="N134" s="149"/>
      <c r="O134" s="128"/>
      <c r="P134" s="128"/>
      <c r="Q134" s="128"/>
      <c r="R134" s="143"/>
      <c r="S134" s="143"/>
      <c r="T134" s="143"/>
      <c r="U134" s="143"/>
      <c r="V134" s="143"/>
      <c r="W134" s="143"/>
      <c r="X134" s="143"/>
      <c r="Y134" s="143"/>
      <c r="Z134" s="143"/>
      <c r="AA134" s="143"/>
      <c r="AB134" s="143"/>
      <c r="AC134" s="143"/>
      <c r="AD134" s="143"/>
      <c r="AE134" s="143"/>
      <c r="AF134" s="143"/>
      <c r="AG134" s="143"/>
      <c r="AH134" s="143"/>
      <c r="AI134" s="143"/>
      <c r="AJ134" s="143"/>
    </row>
    <row r="135" spans="2:36" x14ac:dyDescent="0.25">
      <c r="B135" s="3" t="str">
        <f>B134</f>
        <v>Essential</v>
      </c>
      <c r="C135" s="3" t="str">
        <f t="shared" ref="C135:C144" si="71">C134</f>
        <v>Small business</v>
      </c>
      <c r="D135" s="3" t="str">
        <f t="shared" ref="D135:D144" si="72">D134</f>
        <v>without CL</v>
      </c>
      <c r="E135" s="3" t="s">
        <v>19</v>
      </c>
      <c r="F135" s="131">
        <f t="array" ref="F135">IFERROR(INDEX(Usage!$B$5:$P$18,MATCH($B135,Usage!$B$5:$B$18,0),MATCH($C135&amp;$D135&amp;$E135,Usage!$B$5:$S$5&amp;Usage!$B$6:$S$6&amp;Usage!$B$7:$S$7,0)),0)</f>
        <v>10000</v>
      </c>
      <c r="G135" s="3" t="s">
        <v>70</v>
      </c>
      <c r="H135" s="128"/>
      <c r="I135" s="128">
        <f t="array" ref="I135">IFERROR(INDEX('Detail inputs'!$B$3:$K$195,MATCH($B135&amp;$C135&amp;$E135&amp;$G135&amp;I$5,'Detail inputs'!$B$3:$B$195&amp;'Detail inputs'!$D$3:$D$195&amp;'Detail inputs'!$F$3:$F$195&amp;'Detail inputs'!$G$3:$G$195&amp;'Detail inputs'!$H$3:$H$195,0),MATCH(I$4,'Detail inputs'!$B$3:$K$3,0)),0)</f>
        <v>155.41</v>
      </c>
      <c r="J135" s="128">
        <f>IF(AND(H135="",I135=""),"",H135+I135*+Usage!M$39/1000)</f>
        <v>1554.1</v>
      </c>
      <c r="K135" s="143">
        <f>IFERROR(J135/J142,"")</f>
        <v>0.94546198648483959</v>
      </c>
      <c r="L135" s="143"/>
      <c r="M135" s="143">
        <f t="shared" ref="M135:M142" si="73">IF(OR(J135=0,Q135=""),"",Q135/J135-1)</f>
        <v>6.2801621517276862E-2</v>
      </c>
      <c r="N135" s="140"/>
      <c r="O135" s="128"/>
      <c r="P135" s="128">
        <f t="array" ref="P135">IFERROR(INDEX('Detail inputs'!$B$3:$K$195,MATCH($B135&amp;$C135&amp;$E135&amp;$G135&amp;P$5,'Detail inputs'!$B$3:$B$195&amp;'Detail inputs'!$D$3:$D$195&amp;'Detail inputs'!$F$3:$F$195&amp;'Detail inputs'!$G$3:$G$195&amp;'Detail inputs'!$H$3:$H$195,0),MATCH(P$4,'Detail inputs'!$B$3:$K$3,0)),0)</f>
        <v>165.17</v>
      </c>
      <c r="Q135" s="128">
        <f>IF(AND(O135="",P135=""),"",O135+P135*$F135/1000)</f>
        <v>1651.6999999999998</v>
      </c>
      <c r="R135" s="143">
        <f>IFERROR(Q135/Q142,"")</f>
        <v>0.93356604500257945</v>
      </c>
      <c r="S135" s="143"/>
      <c r="T135" s="378"/>
      <c r="U135" s="143"/>
      <c r="V135" s="143"/>
      <c r="W135" s="143"/>
      <c r="X135" s="143"/>
      <c r="Y135" s="143"/>
      <c r="Z135" s="143"/>
      <c r="AA135" s="143"/>
      <c r="AB135" s="143"/>
      <c r="AC135" s="143"/>
      <c r="AD135" s="143"/>
      <c r="AE135" s="143"/>
      <c r="AF135" s="143"/>
      <c r="AG135" s="143"/>
      <c r="AH135" s="143"/>
      <c r="AI135" s="143"/>
      <c r="AJ135" s="143"/>
    </row>
    <row r="136" spans="2:36" x14ac:dyDescent="0.25">
      <c r="B136" s="3" t="str">
        <f t="shared" ref="B136:B144" si="74">B135</f>
        <v>Essential</v>
      </c>
      <c r="C136" s="3" t="str">
        <f t="shared" si="71"/>
        <v>Small business</v>
      </c>
      <c r="D136" s="3" t="str">
        <f t="shared" si="72"/>
        <v>without CL</v>
      </c>
      <c r="E136" s="3" t="s">
        <v>19</v>
      </c>
      <c r="F136" s="131">
        <f t="array" ref="F136">IFERROR(INDEX(Usage!$B$5:$P$18,MATCH($B136,Usage!$B$5:$B$18,0),MATCH($C136&amp;$D136&amp;$E136,Usage!$B$5:$S$5&amp;Usage!$B$6:$S$6&amp;Usage!$B$7:$S$7,0)),0)</f>
        <v>10000</v>
      </c>
      <c r="G136" s="3" t="s">
        <v>71</v>
      </c>
      <c r="H136" s="128"/>
      <c r="I136" s="128">
        <f t="array" ref="I136">IFERROR(INDEX('Detail inputs'!$B$3:$K$195,MATCH($B136&amp;$G136&amp;I$5,'Detail inputs'!$B$3:$B$195&amp;'Detail inputs'!$G$3:$G$195&amp;'Detail inputs'!$H$3:$H$195,0),MATCH(I$4,'Detail inputs'!$B$3:$K$3,0)),0)</f>
        <v>0.25</v>
      </c>
      <c r="J136" s="128">
        <f>IF(AND(H136="",I136=""),"",H136+I136*+Usage!M$39/1000)</f>
        <v>2.5</v>
      </c>
      <c r="K136" s="143">
        <f>IFERROR(J136/J142,"")</f>
        <v>1.5209156207529112E-3</v>
      </c>
      <c r="L136" s="143"/>
      <c r="M136" s="143">
        <f t="shared" si="73"/>
        <v>-0.38484789629124383</v>
      </c>
      <c r="N136" s="140"/>
      <c r="O136" s="128"/>
      <c r="P136" s="128">
        <f t="array" ref="P136">IFERROR(INDEX('Detail inputs'!$B$3:$K$195,MATCH($B136&amp;$G136&amp;P$5,'Detail inputs'!$B$3:$B$195&amp;'Detail inputs'!$G$3:$G$195&amp;'Detail inputs'!$H$3:$H$195,0),MATCH(P$4,'Detail inputs'!$B$3:$K$3,0)),0)</f>
        <v>0.15378802592718904</v>
      </c>
      <c r="Q136" s="128">
        <f t="shared" ref="Q136:Q142" si="75">IF(AND(O136="",P136=""),"",O136+P136*$F136/1000)</f>
        <v>1.5378802592718905</v>
      </c>
      <c r="R136" s="143">
        <f>IFERROR(Q136/Q142,"")</f>
        <v>8.6923339064963402E-4</v>
      </c>
      <c r="S136" s="143"/>
      <c r="T136" s="143"/>
      <c r="U136" s="143"/>
      <c r="V136" s="143"/>
      <c r="W136" s="143"/>
      <c r="X136" s="143"/>
      <c r="Y136" s="143"/>
      <c r="Z136" s="143"/>
      <c r="AA136" s="143"/>
      <c r="AB136" s="143"/>
      <c r="AC136" s="143"/>
      <c r="AD136" s="143"/>
      <c r="AE136" s="143"/>
      <c r="AF136" s="143"/>
      <c r="AG136" s="143"/>
      <c r="AH136" s="143"/>
      <c r="AI136" s="143"/>
      <c r="AJ136" s="143"/>
    </row>
    <row r="137" spans="2:36" x14ac:dyDescent="0.25">
      <c r="B137" s="3" t="str">
        <f t="shared" si="74"/>
        <v>Essential</v>
      </c>
      <c r="C137" s="3" t="str">
        <f t="shared" si="71"/>
        <v>Small business</v>
      </c>
      <c r="D137" s="3" t="str">
        <f t="shared" si="72"/>
        <v>without CL</v>
      </c>
      <c r="E137" s="3" t="s">
        <v>19</v>
      </c>
      <c r="F137" s="131">
        <f t="array" ref="F137">IFERROR(INDEX(Usage!$B$5:$P$18,MATCH($B137,Usage!$B$5:$B$18,0),MATCH($C137&amp;$D137&amp;$E137,Usage!$B$5:$S$5&amp;Usage!$B$6:$S$6&amp;Usage!$B$7:$S$7,0)),0)</f>
        <v>10000</v>
      </c>
      <c r="G137" s="3" t="s">
        <v>78</v>
      </c>
      <c r="H137" s="128" cm="1">
        <f t="array" ref="H137">IFERROR(INDEX('Detail inputs'!$B$3:$K$195,MATCH($B137&amp;$G137&amp;H$5,'Detail inputs'!$B$3:$B$195&amp;'Detail inputs'!$G$3:$G$195&amp;'Detail inputs'!$H$3:$H$195,0),MATCH(H$4,'Detail inputs'!$B$3:$K$3,0)),0)*Days/7</f>
        <v>11.905778571428572</v>
      </c>
      <c r="I137" s="128">
        <f t="array" ref="I137">IFERROR(INDEX('Detail inputs'!$B$3:$K$195,MATCH($B137&amp;$G137&amp;I$5,'Detail inputs'!$B$3:$B$195&amp;'Detail inputs'!$G$3:$G$195&amp;'Detail inputs'!$H$3:$H$195,0),MATCH(I$4,'Detail inputs'!$B$3:$K$3,0)),0)</f>
        <v>0.50409000000000004</v>
      </c>
      <c r="J137" s="128">
        <f>IF(AND(H137="",I137=""),"",H137+I137*+Usage!M$39/1000)</f>
        <v>16.946678571428571</v>
      </c>
      <c r="K137" s="143">
        <f>IFERROR(J137/J142,"")</f>
        <v>1.0309787263665736E-2</v>
      </c>
      <c r="L137" s="143"/>
      <c r="M137" s="143">
        <f t="shared" si="73"/>
        <v>0.15536174548729376</v>
      </c>
      <c r="N137" s="140"/>
      <c r="O137" s="128" cm="1">
        <f t="array" ref="O137">IFERROR(INDEX('Detail inputs'!$B$3:$K$195,MATCH($B137&amp;$G137&amp;O$5,'Detail inputs'!$B$3:$B$195&amp;'Detail inputs'!$G$3:$G$195&amp;'Detail inputs'!$H$3:$H$195,0),MATCH(O$4,'Detail inputs'!$B$3:$K$3,0)),0)*Days/7</f>
        <v>13.835244134497829</v>
      </c>
      <c r="P137" s="128">
        <f t="array" ref="P137">IFERROR(INDEX('Detail inputs'!$B$3:$K$195,MATCH($B137&amp;$G137&amp;P$5,'Detail inputs'!$B$3:$B$195&amp;'Detail inputs'!$G$3:$G$195&amp;'Detail inputs'!$H$3:$H$195,0),MATCH(P$4,'Detail inputs'!$B$3:$K$3,0)),0)</f>
        <v>0.57443</v>
      </c>
      <c r="Q137" s="128">
        <f t="shared" si="75"/>
        <v>19.57954413449783</v>
      </c>
      <c r="R137" s="143">
        <f>IFERROR(Q137/Q142,"")</f>
        <v>1.1066657129379787E-2</v>
      </c>
      <c r="S137" s="143"/>
      <c r="T137" s="143"/>
      <c r="U137" s="428"/>
      <c r="V137" s="143"/>
      <c r="W137" s="143"/>
      <c r="X137" s="143"/>
      <c r="Y137" s="143"/>
      <c r="Z137" s="143"/>
      <c r="AA137" s="143"/>
      <c r="AB137" s="143"/>
      <c r="AC137" s="143"/>
      <c r="AD137" s="143"/>
      <c r="AE137" s="143"/>
      <c r="AF137" s="143"/>
      <c r="AG137" s="143"/>
      <c r="AH137" s="143"/>
      <c r="AI137" s="143"/>
      <c r="AJ137" s="143"/>
    </row>
    <row r="138" spans="2:36" x14ac:dyDescent="0.25">
      <c r="B138" s="3" t="str">
        <f t="shared" si="74"/>
        <v>Essential</v>
      </c>
      <c r="C138" s="3" t="str">
        <f t="shared" si="71"/>
        <v>Small business</v>
      </c>
      <c r="D138" s="3" t="str">
        <f t="shared" si="72"/>
        <v>without CL</v>
      </c>
      <c r="E138" s="3" t="s">
        <v>19</v>
      </c>
      <c r="F138" s="131">
        <f t="array" ref="F138">IFERROR(INDEX(Usage!$B$5:$P$18,MATCH($B138,Usage!$B$5:$B$18,0),MATCH($C138&amp;$D138&amp;$E138,Usage!$B$5:$S$5&amp;Usage!$B$6:$S$6&amp;Usage!$B$7:$S$7,0)),0)</f>
        <v>10000</v>
      </c>
      <c r="G138" s="3" t="s">
        <v>72</v>
      </c>
      <c r="H138" s="128"/>
      <c r="I138" s="128">
        <f t="array" ref="I138">IFERROR(INDEX('Detail inputs'!$B$3:$K$195,MATCH($B138&amp;$G138&amp;I$5,'Detail inputs'!$B$3:$B$195&amp;'Detail inputs'!$G$3:$G$195&amp;'Detail inputs'!$H$3:$H$195,0),MATCH(I$4,'Detail inputs'!$B$3:$K$3,0)),0)</f>
        <v>0</v>
      </c>
      <c r="J138" s="128">
        <f>IF(AND(H138="",I138=""),"",H138+I138*+Usage!M$39/1000)</f>
        <v>0</v>
      </c>
      <c r="K138" s="143">
        <f>IFERROR(J138/J142,"")</f>
        <v>0</v>
      </c>
      <c r="L138" s="143"/>
      <c r="M138" s="143" t="str">
        <f t="shared" si="73"/>
        <v/>
      </c>
      <c r="N138" s="140"/>
      <c r="O138" s="128"/>
      <c r="P138" s="128">
        <f t="array" ref="P138">IFERROR(INDEX('Detail inputs'!$B$3:$K$195,MATCH($B138&amp;$G138&amp;P$5,'Detail inputs'!$B$3:$B$195&amp;'Detail inputs'!$G$3:$G$195&amp;'Detail inputs'!$H$3:$H$195,0),MATCH(P$4,'Detail inputs'!$B$3:$K$3,0)),0)</f>
        <v>5.2786233739509421E-2</v>
      </c>
      <c r="Q138" s="128">
        <f t="shared" si="75"/>
        <v>0.52786233739509414</v>
      </c>
      <c r="R138" s="143">
        <f>IFERROR(Q138/Q142,"")</f>
        <v>2.9835584829433634E-4</v>
      </c>
      <c r="S138" s="143"/>
      <c r="T138" s="143"/>
      <c r="U138" s="143"/>
      <c r="V138" s="143"/>
      <c r="W138" s="143"/>
      <c r="X138" s="143"/>
      <c r="Y138" s="143"/>
      <c r="Z138" s="143"/>
      <c r="AA138" s="143"/>
      <c r="AB138" s="143"/>
      <c r="AC138" s="143"/>
      <c r="AD138" s="143"/>
      <c r="AE138" s="143"/>
      <c r="AF138" s="143"/>
      <c r="AG138" s="143"/>
      <c r="AH138" s="143"/>
      <c r="AI138" s="143"/>
      <c r="AJ138" s="143"/>
    </row>
    <row r="139" spans="2:36" x14ac:dyDescent="0.25">
      <c r="B139" s="3" t="str">
        <f t="shared" si="74"/>
        <v>Essential</v>
      </c>
      <c r="C139" s="3" t="str">
        <f t="shared" si="71"/>
        <v>Small business</v>
      </c>
      <c r="D139" s="3" t="str">
        <f t="shared" si="72"/>
        <v>without CL</v>
      </c>
      <c r="E139" s="3" t="s">
        <v>19</v>
      </c>
      <c r="F139" s="131">
        <f t="array" ref="F139">IFERROR(INDEX(Usage!$B$5:$P$18,MATCH($B139,Usage!$B$5:$B$18,0),MATCH($C139&amp;$D139&amp;$E139,Usage!$B$5:$S$5&amp;Usage!$B$6:$S$6&amp;Usage!$B$7:$S$7,0)),0)</f>
        <v>10000</v>
      </c>
      <c r="G139" s="3" t="str">
        <f>+G126</f>
        <v>June 2022 Event Cost</v>
      </c>
      <c r="H139" s="128"/>
      <c r="I139" s="128">
        <f t="array" ref="I139">IFERROR(INDEX('Detail inputs'!$B$3:$K$195,MATCH($B139&amp;$G139&amp;I$5,'Detail inputs'!$B$3:$B$195&amp;'Detail inputs'!$G$3:$G$195&amp;'Detail inputs'!$H$3:$H$195,0),MATCH(I$4,'Detail inputs'!$B$3:$K$3,0)),0)</f>
        <v>0</v>
      </c>
      <c r="J139" s="128">
        <f>IF(AND(H139="",I139=""),"",H139+I139*+Usage!M$39/1000)</f>
        <v>0</v>
      </c>
      <c r="K139" s="143">
        <f>IFERROR(J139/J143,"")</f>
        <v>0</v>
      </c>
      <c r="L139" s="143"/>
      <c r="M139" s="143" t="str">
        <f t="shared" ref="M139" si="76">IF(OR(J139=0,Q139=""),"",Q139/J139-1)</f>
        <v/>
      </c>
      <c r="N139" s="140"/>
      <c r="O139" s="128"/>
      <c r="P139" s="128">
        <f t="array" ref="P139">IFERROR(INDEX('Detail inputs'!$B$3:$K$195,MATCH($B139&amp;$G139&amp;P$5,'Detail inputs'!$B$3:$B$195&amp;'Detail inputs'!$G$3:$G$195&amp;'Detail inputs'!$H$3:$H$195,0),MATCH(P$4,'Detail inputs'!$B$3:$K$3,0)),0)</f>
        <v>0.11507709849820914</v>
      </c>
      <c r="Q139" s="128">
        <f t="shared" ref="Q139" si="77">IF(AND(O139="",P139=""),"",O139+P139*$F139/1000)</f>
        <v>1.1507709849820915</v>
      </c>
      <c r="R139" s="143">
        <f>IFERROR(Q139/Q143,"")</f>
        <v>6.5043332151931586E-3</v>
      </c>
      <c r="S139" s="143"/>
      <c r="T139" s="143"/>
      <c r="U139" s="143"/>
      <c r="V139" s="143"/>
      <c r="W139" s="143"/>
      <c r="X139" s="143"/>
      <c r="Y139" s="143"/>
      <c r="Z139" s="143"/>
      <c r="AA139" s="143"/>
      <c r="AB139" s="143"/>
      <c r="AC139" s="143"/>
      <c r="AD139" s="143"/>
      <c r="AE139" s="143"/>
      <c r="AF139" s="143"/>
      <c r="AG139" s="143"/>
      <c r="AH139" s="143"/>
      <c r="AI139" s="143"/>
      <c r="AJ139" s="143"/>
    </row>
    <row r="140" spans="2:36" x14ac:dyDescent="0.25">
      <c r="B140" s="3" t="str">
        <f t="shared" si="74"/>
        <v>Essential</v>
      </c>
      <c r="C140" s="3" t="str">
        <f t="shared" si="71"/>
        <v>Small business</v>
      </c>
      <c r="D140" s="3" t="str">
        <f t="shared" si="72"/>
        <v>without CL</v>
      </c>
      <c r="E140" s="3" t="s">
        <v>19</v>
      </c>
      <c r="F140" s="131">
        <f t="array" ref="F140">IFERROR(INDEX(Usage!$B$5:$P$18,MATCH($B140,Usage!$B$5:$B$18,0),MATCH($C140&amp;$D140&amp;$E140,Usage!$B$5:$S$5&amp;Usage!$B$6:$S$6&amp;Usage!$B$7:$S$7,0)),0)</f>
        <v>10000</v>
      </c>
      <c r="G140" s="3" t="s">
        <v>135</v>
      </c>
      <c r="H140" s="128"/>
      <c r="I140" s="128">
        <f t="array" ref="I140">IFERROR(INDEX('Detail inputs'!$B$3:$K$195,MATCH($B140&amp;$G140&amp;I$5,'Detail inputs'!$B$3:$B$195&amp;'Detail inputs'!$G$3:$G$195&amp;'Detail inputs'!$H$3:$H$195,0),MATCH(I$4,'Detail inputs'!$B$3:$K$3,0)),0)</f>
        <v>2.58</v>
      </c>
      <c r="J140" s="128">
        <f>IF(AND(H140="",I140=""),"",H140+I140*+Usage!M$39/1000)</f>
        <v>25.8</v>
      </c>
      <c r="K140" s="143">
        <f>IFERROR(J140/J142,"")</f>
        <v>1.5695849206170044E-2</v>
      </c>
      <c r="L140" s="143"/>
      <c r="M140" s="143">
        <f t="shared" si="73"/>
        <v>0.10309107768624481</v>
      </c>
      <c r="N140" s="140"/>
      <c r="O140" s="128"/>
      <c r="P140" s="128">
        <f t="array" ref="P140">IFERROR(INDEX('Detail inputs'!$B$3:$K$195,MATCH($B140&amp;$G140&amp;P$5,'Detail inputs'!$B$3:$B$195&amp;'Detail inputs'!$G$3:$G$195&amp;'Detail inputs'!$H$3:$H$195,0),MATCH(P$4,'Detail inputs'!$B$3:$K$3,0)),0)</f>
        <v>2.8459749804305119</v>
      </c>
      <c r="Q140" s="128">
        <f t="shared" si="75"/>
        <v>28.459749804305119</v>
      </c>
      <c r="R140" s="143">
        <f>IFERROR(Q140/Q142,"")</f>
        <v>1.6085884886219089E-2</v>
      </c>
      <c r="S140" s="143"/>
      <c r="T140" s="143"/>
      <c r="U140" s="143"/>
      <c r="V140" s="143"/>
      <c r="W140" s="143"/>
      <c r="X140" s="143"/>
      <c r="Y140" s="143"/>
      <c r="Z140" s="143"/>
      <c r="AA140" s="143"/>
      <c r="AB140" s="143"/>
      <c r="AC140" s="143"/>
      <c r="AD140" s="143"/>
      <c r="AE140" s="143"/>
      <c r="AF140" s="143"/>
      <c r="AG140" s="143"/>
      <c r="AH140" s="143"/>
      <c r="AI140" s="143"/>
      <c r="AJ140" s="143"/>
    </row>
    <row r="141" spans="2:36" x14ac:dyDescent="0.25">
      <c r="B141" s="3" t="str">
        <f t="shared" si="74"/>
        <v>Essential</v>
      </c>
      <c r="C141" s="3" t="str">
        <f t="shared" si="71"/>
        <v>Small business</v>
      </c>
      <c r="D141" s="3" t="str">
        <f t="shared" si="72"/>
        <v>without CL</v>
      </c>
      <c r="E141" s="3" t="s">
        <v>19</v>
      </c>
      <c r="F141" s="131">
        <f t="array" ref="F141">IFERROR(INDEX(Usage!$B$5:$P$18,MATCH($B141,Usage!$B$5:$B$18,0),MATCH($C141&amp;$D141&amp;$E141,Usage!$B$5:$S$5&amp;Usage!$B$6:$S$6&amp;Usage!$B$7:$S$7,0)),0)</f>
        <v>10000</v>
      </c>
      <c r="G141" s="3" t="s">
        <v>73</v>
      </c>
      <c r="H141" s="128"/>
      <c r="I141" s="128" cm="1">
        <f t="array" ref="I141">IFERROR(INDEX('Detail inputs'!$B$3:$K$195,MATCH($B141&amp;$C141&amp;$E141&amp;$G141&amp;I$5,'Detail inputs'!$B$3:$B$195&amp;'Detail inputs'!$D$3:$D$195&amp;'Detail inputs'!$F$3:$F$195&amp;'Detail inputs'!$G$3:$G$195&amp;'Detail inputs'!$H$3:$H$195,0),MATCH(I$4,'Detail inputs'!$B$3:$K$3,0)),0)*SUM(I135:I140)</f>
        <v>4.4448345199999997</v>
      </c>
      <c r="J141" s="128">
        <f>IF(AND(H141="",I141=""),"",H141+I141*+Usage!M$39/1000)</f>
        <v>44.448345199999999</v>
      </c>
      <c r="K141" s="143">
        <f>IFERROR(J141/J142,"")</f>
        <v>2.7040873012519069E-2</v>
      </c>
      <c r="L141" s="143"/>
      <c r="M141" s="143">
        <f t="shared" si="73"/>
        <v>0.49120586342129879</v>
      </c>
      <c r="N141" s="140"/>
      <c r="O141" s="128"/>
      <c r="P141" s="128" cm="1">
        <f t="array" ref="P141">IFERROR(INDEX('Detail inputs'!$B$3:$K$195,MATCH($B141&amp;$C141&amp;$E141&amp;$G141&amp;P$5,'Detail inputs'!$B$3:$B$195&amp;'Detail inputs'!$D$3:$D$195&amp;'Detail inputs'!$F$3:$F$195&amp;'Detail inputs'!$G$3:$G$195&amp;'Detail inputs'!$H$3:$H$195,0),MATCH(P$4,'Detail inputs'!$B$3:$K$3,0)),0)*SUM(P135:P140)</f>
        <v>6.628163298161394</v>
      </c>
      <c r="Q141" s="128">
        <f t="shared" si="75"/>
        <v>66.281632981613939</v>
      </c>
      <c r="R141" s="143">
        <f>IFERROR(Q141/Q142,"")</f>
        <v>3.7463390421358517E-2</v>
      </c>
      <c r="S141" s="143"/>
      <c r="T141" s="143"/>
      <c r="U141" s="143"/>
      <c r="V141" s="143"/>
      <c r="W141" s="143"/>
      <c r="X141" s="143"/>
      <c r="Y141" s="143"/>
      <c r="Z141" s="143"/>
      <c r="AA141" s="143"/>
      <c r="AB141" s="143"/>
      <c r="AC141" s="143"/>
      <c r="AD141" s="143"/>
      <c r="AE141" s="143"/>
      <c r="AF141" s="143"/>
      <c r="AG141" s="143"/>
      <c r="AH141" s="143"/>
      <c r="AI141" s="143"/>
      <c r="AJ141" s="143"/>
    </row>
    <row r="142" spans="2:36" x14ac:dyDescent="0.25">
      <c r="B142" s="3" t="str">
        <f t="shared" si="74"/>
        <v>Essential</v>
      </c>
      <c r="C142" s="3" t="str">
        <f t="shared" si="71"/>
        <v>Small business</v>
      </c>
      <c r="D142" s="3" t="str">
        <f t="shared" si="72"/>
        <v>without CL</v>
      </c>
      <c r="E142" s="3" t="s">
        <v>19</v>
      </c>
      <c r="F142" s="131">
        <f t="array" ref="F142">IFERROR(INDEX(Usage!$B$5:$P$18,MATCH($B142,Usage!$B$5:$B$18,0),MATCH($C142&amp;$D142&amp;$E142,Usage!$B$5:$S$5&amp;Usage!$B$6:$S$6&amp;Usage!$B$7:$S$7,0)),0)</f>
        <v>10000</v>
      </c>
      <c r="G142" s="5" t="s">
        <v>55</v>
      </c>
      <c r="H142" s="130">
        <f>SUM(H137:H141)</f>
        <v>11.905778571428572</v>
      </c>
      <c r="I142" s="130">
        <v>163.18409</v>
      </c>
      <c r="J142" s="130">
        <f>IF(AND(H142="",I142=""),"",H142+I142*+Usage!M$39/1000)</f>
        <v>1643.7466785714284</v>
      </c>
      <c r="K142" s="145"/>
      <c r="L142" s="152"/>
      <c r="M142" s="145">
        <f t="shared" si="73"/>
        <v>7.6344344032196254E-2</v>
      </c>
      <c r="N142" s="150"/>
      <c r="O142" s="130">
        <f>SUM(O137:O141)</f>
        <v>13.835244134497829</v>
      </c>
      <c r="P142" s="130">
        <f>SUM(P135:P141)</f>
        <v>175.54021963675677</v>
      </c>
      <c r="Q142" s="130">
        <f t="shared" si="75"/>
        <v>1769.2374405020655</v>
      </c>
      <c r="R142" s="145"/>
      <c r="S142" s="145"/>
      <c r="T142" s="145"/>
      <c r="U142" s="145"/>
      <c r="V142" s="145"/>
      <c r="W142" s="145"/>
      <c r="X142" s="145"/>
      <c r="Y142" s="145"/>
      <c r="Z142" s="145"/>
      <c r="AA142" s="145"/>
      <c r="AB142" s="145"/>
      <c r="AC142" s="145"/>
      <c r="AD142" s="145"/>
      <c r="AE142" s="145"/>
      <c r="AF142" s="145"/>
      <c r="AG142" s="145"/>
      <c r="AH142" s="145"/>
      <c r="AI142" s="145"/>
      <c r="AJ142" s="145"/>
    </row>
    <row r="143" spans="2:36" x14ac:dyDescent="0.25">
      <c r="B143" s="3" t="str">
        <f t="shared" si="74"/>
        <v>Essential</v>
      </c>
      <c r="C143" s="3" t="str">
        <f t="shared" si="71"/>
        <v>Small business</v>
      </c>
      <c r="D143" s="3" t="str">
        <f t="shared" si="72"/>
        <v>without CL</v>
      </c>
      <c r="F143" s="131"/>
      <c r="G143" s="3" t="s">
        <v>38</v>
      </c>
      <c r="H143" s="128"/>
      <c r="I143" s="128"/>
      <c r="J143" s="128">
        <f>J142*GST</f>
        <v>164.37466785714287</v>
      </c>
      <c r="K143" s="144"/>
      <c r="L143" s="151"/>
      <c r="M143" s="144"/>
      <c r="N143" s="149"/>
      <c r="O143" s="128"/>
      <c r="P143" s="128"/>
      <c r="Q143" s="128">
        <f>Q142*GST</f>
        <v>176.92374405020655</v>
      </c>
      <c r="R143" s="145"/>
      <c r="S143" s="145"/>
      <c r="T143" s="145"/>
      <c r="U143" s="145"/>
      <c r="V143" s="145"/>
      <c r="W143" s="145"/>
      <c r="X143" s="145"/>
      <c r="Y143" s="145"/>
      <c r="Z143" s="145"/>
      <c r="AA143" s="145"/>
      <c r="AB143" s="145"/>
      <c r="AC143" s="145"/>
      <c r="AD143" s="145"/>
      <c r="AE143" s="145"/>
      <c r="AF143" s="145"/>
      <c r="AG143" s="145"/>
      <c r="AH143" s="145"/>
      <c r="AI143" s="145"/>
      <c r="AJ143" s="145"/>
    </row>
    <row r="144" spans="2:36" x14ac:dyDescent="0.25">
      <c r="B144" s="3" t="str">
        <f t="shared" si="74"/>
        <v>Essential</v>
      </c>
      <c r="C144" s="3" t="str">
        <f t="shared" si="71"/>
        <v>Small business</v>
      </c>
      <c r="D144" s="3" t="str">
        <f t="shared" si="72"/>
        <v>without CL</v>
      </c>
      <c r="F144" s="131"/>
      <c r="G144" s="5" t="s">
        <v>80</v>
      </c>
      <c r="H144" s="130"/>
      <c r="I144" s="130"/>
      <c r="J144" s="130">
        <f>SUM(J142:J143)</f>
        <v>1808.1213464285713</v>
      </c>
      <c r="K144" s="145"/>
      <c r="L144" s="152"/>
      <c r="M144" s="145">
        <f>IF(OR(J144=0,Q144=""),"",Q144/J144-1)</f>
        <v>7.6344344032196254E-2</v>
      </c>
      <c r="N144" s="150"/>
      <c r="O144" s="130"/>
      <c r="P144" s="130"/>
      <c r="Q144" s="130">
        <f>SUM(Q142:Q143)</f>
        <v>1946.1611845522721</v>
      </c>
      <c r="R144" s="145"/>
      <c r="S144" s="145"/>
      <c r="T144" s="145"/>
      <c r="U144" s="145"/>
      <c r="V144" s="145"/>
      <c r="W144" s="145"/>
      <c r="X144" s="145"/>
      <c r="Y144" s="145"/>
      <c r="Z144" s="145"/>
      <c r="AA144" s="145"/>
      <c r="AB144" s="145"/>
      <c r="AC144" s="145"/>
      <c r="AD144" s="145"/>
      <c r="AE144" s="145"/>
      <c r="AF144" s="145"/>
      <c r="AG144" s="145"/>
      <c r="AH144" s="145"/>
      <c r="AI144" s="145"/>
      <c r="AJ144" s="145"/>
    </row>
    <row r="145" spans="2:36" x14ac:dyDescent="0.25">
      <c r="F145" s="131"/>
      <c r="H145" s="128"/>
      <c r="I145" s="128"/>
      <c r="J145" s="128"/>
      <c r="K145" s="143"/>
      <c r="L145" s="151"/>
      <c r="M145" s="143"/>
      <c r="N145" s="149"/>
      <c r="O145" s="128"/>
      <c r="P145" s="128"/>
      <c r="Q145" s="128"/>
      <c r="R145" s="143"/>
      <c r="S145" s="143"/>
      <c r="T145" s="143"/>
      <c r="U145" s="143"/>
      <c r="V145" s="143"/>
      <c r="W145" s="143"/>
      <c r="X145" s="143"/>
      <c r="Y145" s="143"/>
      <c r="Z145" s="143"/>
      <c r="AA145" s="143"/>
      <c r="AB145" s="143"/>
      <c r="AC145" s="143"/>
      <c r="AD145" s="143"/>
      <c r="AE145" s="143"/>
      <c r="AF145" s="143"/>
      <c r="AG145" s="143"/>
      <c r="AH145" s="143"/>
      <c r="AI145" s="143"/>
      <c r="AJ145" s="143"/>
    </row>
    <row r="146" spans="2:36" x14ac:dyDescent="0.25">
      <c r="B146" s="5" t="s">
        <v>0</v>
      </c>
      <c r="C146" s="5" t="s">
        <v>6</v>
      </c>
      <c r="D146" s="5" t="s">
        <v>127</v>
      </c>
      <c r="F146" s="131"/>
      <c r="H146" s="128"/>
      <c r="I146" s="128"/>
      <c r="J146" s="128"/>
      <c r="K146" s="143"/>
      <c r="L146" s="151"/>
      <c r="M146" s="143"/>
      <c r="N146" s="149"/>
      <c r="O146" s="128"/>
      <c r="P146" s="128"/>
      <c r="Q146" s="128"/>
      <c r="R146" s="143"/>
      <c r="S146" s="143"/>
      <c r="T146" s="143"/>
      <c r="U146" s="143"/>
      <c r="V146" s="143"/>
      <c r="W146" s="143"/>
      <c r="X146" s="143"/>
      <c r="Y146" s="143"/>
      <c r="Z146" s="143"/>
      <c r="AA146" s="143"/>
      <c r="AB146" s="143"/>
      <c r="AC146" s="143"/>
      <c r="AD146" s="143"/>
      <c r="AE146" s="143"/>
      <c r="AF146" s="143"/>
      <c r="AG146" s="143"/>
      <c r="AH146" s="143"/>
      <c r="AI146" s="143"/>
      <c r="AJ146" s="143"/>
    </row>
    <row r="147" spans="2:36" x14ac:dyDescent="0.25">
      <c r="B147" s="3" t="str">
        <f>B146</f>
        <v>Energex</v>
      </c>
      <c r="C147" s="3" t="str">
        <f t="shared" ref="C147:C156" si="78">C146</f>
        <v>Residential</v>
      </c>
      <c r="D147" s="3" t="str">
        <f t="shared" ref="D147:D156" si="79">D146</f>
        <v>without CL</v>
      </c>
      <c r="E147" s="3" t="s">
        <v>19</v>
      </c>
      <c r="F147" s="131">
        <f t="array" ref="F147">IFERROR(INDEX(Usage!$B$5:$P$18,MATCH($B147,Usage!$B$5:$B$18,0),MATCH($C147&amp;$D147&amp;$E147&amp;"Total",Usage!$B$5:$S$5&amp;Usage!$B$6:$S$6&amp;Usage!$B$7:$S$7&amp;Usage!$B$13:$S$13,0)),0)</f>
        <v>4600</v>
      </c>
      <c r="G147" s="3" t="s">
        <v>70</v>
      </c>
      <c r="H147" s="128"/>
      <c r="I147" s="128">
        <f t="array" ref="I147">IFERROR(INDEX('Detail inputs'!$B$3:$K$195,MATCH($B147&amp;$C147&amp;$E147&amp;$G147&amp;I$5,'Detail inputs'!$B$3:$B$195&amp;'Detail inputs'!$D$3:$D$195&amp;'Detail inputs'!$F$3:$F$195&amp;'Detail inputs'!$G$3:$G$195&amp;'Detail inputs'!$H$3:$H$195,0),MATCH(I$4,'Detail inputs'!$B$3:$K$3,0)),0)</f>
        <v>150.59</v>
      </c>
      <c r="J147" s="128">
        <f>IF(AND(H147="",I147=""),"",H147+I147*+Usage!C$38/1000)</f>
        <v>692.71400000000006</v>
      </c>
      <c r="K147" s="143">
        <f>IFERROR(J147/J154,"")</f>
        <v>0.89871049480639009</v>
      </c>
      <c r="L147" s="143"/>
      <c r="M147" s="143">
        <f t="shared" ref="M147:M154" si="80">IF(OR(J147=0,Q147=""),"",Q147/J147-1)</f>
        <v>2.6562188724343905E-4</v>
      </c>
      <c r="N147" s="140"/>
      <c r="O147" s="128"/>
      <c r="P147" s="128">
        <f t="array" ref="P147">IFERROR(INDEX('Detail inputs'!$B$3:$K$195,MATCH($B147&amp;$C147&amp;$E147&amp;$G147&amp;P$5,'Detail inputs'!$B$3:$B$195&amp;'Detail inputs'!$D$3:$D$195&amp;'Detail inputs'!$F$3:$F$195&amp;'Detail inputs'!$G$3:$G$195&amp;'Detail inputs'!$H$3:$H$195,0),MATCH(P$4,'Detail inputs'!$B$3:$K$3,0)),0)</f>
        <v>150.63</v>
      </c>
      <c r="Q147" s="128">
        <f>IF(AND(O147="",P147=""),"",O147+P147*$F147/1000)</f>
        <v>692.89800000000002</v>
      </c>
      <c r="R147" s="143">
        <f>IFERROR(Q147/Q154,"")</f>
        <v>0.89986014004964188</v>
      </c>
      <c r="S147" s="143"/>
      <c r="T147" s="378"/>
      <c r="U147" s="143"/>
      <c r="V147" s="143"/>
      <c r="W147" s="143"/>
      <c r="X147" s="143"/>
      <c r="Y147" s="143"/>
      <c r="Z147" s="143"/>
      <c r="AA147" s="143"/>
      <c r="AB147" s="143"/>
      <c r="AC147" s="143"/>
      <c r="AD147" s="143"/>
      <c r="AE147" s="143"/>
      <c r="AF147" s="143"/>
      <c r="AG147" s="143"/>
      <c r="AH147" s="143"/>
      <c r="AI147" s="143"/>
      <c r="AJ147" s="143"/>
    </row>
    <row r="148" spans="2:36" x14ac:dyDescent="0.25">
      <c r="B148" s="3" t="str">
        <f t="shared" ref="B148:B156" si="81">B147</f>
        <v>Energex</v>
      </c>
      <c r="C148" s="3" t="str">
        <f t="shared" si="78"/>
        <v>Residential</v>
      </c>
      <c r="D148" s="3" t="str">
        <f t="shared" si="79"/>
        <v>without CL</v>
      </c>
      <c r="E148" s="3" t="s">
        <v>19</v>
      </c>
      <c r="F148" s="131">
        <f t="array" ref="F148">IFERROR(INDEX(Usage!$B$5:$P$18,MATCH($B148,Usage!$B$5:$B$18,0),MATCH($C148&amp;$D148&amp;$E148&amp;"Total",Usage!$B$5:$S$5&amp;Usage!$B$6:$S$6&amp;Usage!$B$7:$S$7&amp;Usage!$B$13:$S$13,0)),0)</f>
        <v>4600</v>
      </c>
      <c r="G148" s="3" t="s">
        <v>71</v>
      </c>
      <c r="H148" s="128"/>
      <c r="I148" s="128">
        <f t="array" ref="I148">IFERROR(INDEX('Detail inputs'!$B$3:$K$195,MATCH($B148&amp;$G148&amp;I$5,'Detail inputs'!$B$3:$B$195&amp;'Detail inputs'!$G$3:$G$195&amp;'Detail inputs'!$H$3:$H$195,0),MATCH(I$4,'Detail inputs'!$B$3:$K$3,0)),0)</f>
        <v>0.21</v>
      </c>
      <c r="J148" s="128">
        <f>IF(AND(H148="",I148=""),"",H148+I148*+Usage!C$38/1000)</f>
        <v>0.96599999999999997</v>
      </c>
      <c r="K148" s="143">
        <f>IFERROR(J148/J154,"")</f>
        <v>1.2532651830091102E-3</v>
      </c>
      <c r="L148" s="143"/>
      <c r="M148" s="143">
        <f t="shared" si="80"/>
        <v>2.5005388920205189</v>
      </c>
      <c r="N148" s="140"/>
      <c r="O148" s="128"/>
      <c r="P148" s="128">
        <f t="array" ref="P148">IFERROR(INDEX('Detail inputs'!$B$3:$K$195,MATCH($B148&amp;$G148&amp;P$5,'Detail inputs'!$B$3:$B$195&amp;'Detail inputs'!$G$3:$G$195&amp;'Detail inputs'!$H$3:$H$195,0),MATCH(P$4,'Detail inputs'!$B$3:$K$3,0)),0)</f>
        <v>0.73511316732430898</v>
      </c>
      <c r="Q148" s="128">
        <f t="shared" ref="Q148:Q152" si="82">IF(AND(O148="",P148=""),"",O148+P148*$F148/1000)</f>
        <v>3.3815205696918214</v>
      </c>
      <c r="R148" s="143">
        <f>IFERROR(Q148/Q154,"")</f>
        <v>4.3915490785420468E-3</v>
      </c>
      <c r="S148" s="143"/>
      <c r="T148" s="143"/>
      <c r="U148" s="143"/>
      <c r="V148" s="143"/>
      <c r="W148" s="143"/>
      <c r="X148" s="143"/>
      <c r="Y148" s="143"/>
      <c r="Z148" s="143"/>
      <c r="AA148" s="143"/>
      <c r="AB148" s="143"/>
      <c r="AC148" s="143"/>
      <c r="AD148" s="143"/>
      <c r="AE148" s="143"/>
      <c r="AF148" s="143"/>
      <c r="AG148" s="143"/>
      <c r="AH148" s="143"/>
      <c r="AI148" s="143"/>
      <c r="AJ148" s="143"/>
    </row>
    <row r="149" spans="2:36" x14ac:dyDescent="0.25">
      <c r="B149" s="3" t="str">
        <f t="shared" si="81"/>
        <v>Energex</v>
      </c>
      <c r="C149" s="3" t="str">
        <f t="shared" si="78"/>
        <v>Residential</v>
      </c>
      <c r="D149" s="3" t="str">
        <f t="shared" si="79"/>
        <v>without CL</v>
      </c>
      <c r="E149" s="3" t="s">
        <v>19</v>
      </c>
      <c r="F149" s="131">
        <f t="array" ref="F149">IFERROR(INDEX(Usage!$B$5:$P$18,MATCH($B149,Usage!$B$5:$B$18,0),MATCH($C149&amp;$D149&amp;$E149&amp;"Total",Usage!$B$5:$S$5&amp;Usage!$B$6:$S$6&amp;Usage!$B$7:$S$7&amp;Usage!$B$13:$S$13,0)),0)</f>
        <v>4600</v>
      </c>
      <c r="G149" s="3" t="s">
        <v>78</v>
      </c>
      <c r="H149" s="128" cm="1">
        <f t="array" ref="H149">IFERROR(INDEX('Detail inputs'!$B$3:$K$195,MATCH($B149&amp;$G149&amp;H$5,'Detail inputs'!$B$3:$B$195&amp;'Detail inputs'!$G$3:$G$195&amp;'Detail inputs'!$H$3:$H$195,0),MATCH(H$4,'Detail inputs'!$B$3:$K$3,0)),0)*Days/7</f>
        <v>11.905778571428572</v>
      </c>
      <c r="I149" s="128">
        <f t="array" ref="I149">IFERROR(INDEX('Detail inputs'!$B$3:$K$195,MATCH($B149&amp;$G149&amp;I$5,'Detail inputs'!$B$3:$B$195&amp;'Detail inputs'!$G$3:$G$195&amp;'Detail inputs'!$H$3:$H$195,0),MATCH(I$4,'Detail inputs'!$B$3:$K$3,0)),0)</f>
        <v>0.50409000000000004</v>
      </c>
      <c r="J149" s="128">
        <f>IF(AND(H149="",I149=""),"",H149+I149*+Usage!C$38/1000)</f>
        <v>14.224592571428571</v>
      </c>
      <c r="K149" s="143">
        <f>IFERROR(J149/J154,"")</f>
        <v>1.8454644526150577E-2</v>
      </c>
      <c r="L149" s="143"/>
      <c r="M149" s="143">
        <f t="shared" si="80"/>
        <v>0.15838974309848974</v>
      </c>
      <c r="N149" s="140"/>
      <c r="O149" s="128" cm="1">
        <f t="array" ref="O149">IFERROR(INDEX('Detail inputs'!$B$3:$K$195,MATCH($B149&amp;$G149&amp;O$5,'Detail inputs'!$B$3:$B$195&amp;'Detail inputs'!$G$3:$G$195&amp;'Detail inputs'!$H$3:$H$195,0),MATCH(O$4,'Detail inputs'!$B$3:$K$3,0)),0)*Days/7</f>
        <v>13.835244134497829</v>
      </c>
      <c r="P149" s="128">
        <f t="array" ref="P149">IFERROR(INDEX('Detail inputs'!$B$3:$K$195,MATCH($B149&amp;$G149&amp;P$5,'Detail inputs'!$B$3:$B$195&amp;'Detail inputs'!$G$3:$G$195&amp;'Detail inputs'!$H$3:$H$195,0),MATCH(P$4,'Detail inputs'!$B$3:$K$3,0)),0)</f>
        <v>0.57443</v>
      </c>
      <c r="Q149" s="128">
        <f t="shared" si="82"/>
        <v>16.477622134497828</v>
      </c>
      <c r="R149" s="143">
        <f>IFERROR(Q149/Q154,"")</f>
        <v>2.1399333468467646E-2</v>
      </c>
      <c r="S149" s="143"/>
      <c r="T149" s="143"/>
      <c r="U149" s="143"/>
      <c r="V149" s="143"/>
      <c r="W149" s="143"/>
      <c r="X149" s="143"/>
      <c r="Y149" s="143"/>
      <c r="Z149" s="143"/>
      <c r="AA149" s="143"/>
      <c r="AB149" s="143"/>
      <c r="AC149" s="143"/>
      <c r="AD149" s="143"/>
      <c r="AE149" s="143"/>
      <c r="AF149" s="143"/>
      <c r="AG149" s="143"/>
      <c r="AH149" s="143"/>
      <c r="AI149" s="143"/>
      <c r="AJ149" s="143"/>
    </row>
    <row r="150" spans="2:36" x14ac:dyDescent="0.25">
      <c r="B150" s="3" t="str">
        <f t="shared" si="81"/>
        <v>Energex</v>
      </c>
      <c r="C150" s="3" t="str">
        <f t="shared" si="78"/>
        <v>Residential</v>
      </c>
      <c r="D150" s="3" t="str">
        <f t="shared" si="79"/>
        <v>without CL</v>
      </c>
      <c r="E150" s="3" t="s">
        <v>19</v>
      </c>
      <c r="F150" s="131">
        <f t="array" ref="F150">IFERROR(INDEX(Usage!$B$5:$P$18,MATCH($B150,Usage!$B$5:$B$18,0),MATCH($C150&amp;$D150&amp;$E150&amp;"Total",Usage!$B$5:$S$5&amp;Usage!$B$6:$S$6&amp;Usage!$B$7:$S$7&amp;Usage!$B$13:$S$13,0)),0)</f>
        <v>4600</v>
      </c>
      <c r="G150" s="3" t="s">
        <v>72</v>
      </c>
      <c r="H150" s="128"/>
      <c r="I150" s="128">
        <f t="array" ref="I150">IFERROR(INDEX('Detail inputs'!$B$3:$K$195,MATCH($B150&amp;$G150&amp;I$5,'Detail inputs'!$B$3:$B$195&amp;'Detail inputs'!$G$3:$G$195&amp;'Detail inputs'!$H$3:$H$195,0),MATCH(I$4,'Detail inputs'!$B$3:$K$3,0)),0)</f>
        <v>0</v>
      </c>
      <c r="J150" s="128">
        <f>IF(AND(H150="",I150=""),"",H150+I150*+Usage!C$38/1000)</f>
        <v>0</v>
      </c>
      <c r="K150" s="143">
        <f>IFERROR(J150/J154,"")</f>
        <v>0</v>
      </c>
      <c r="L150" s="143"/>
      <c r="M150" s="143" t="str">
        <f t="shared" si="80"/>
        <v/>
      </c>
      <c r="N150" s="140"/>
      <c r="O150" s="128"/>
      <c r="P150" s="128">
        <f t="array" ref="P150">IFERROR(INDEX('Detail inputs'!$B$3:$K$195,MATCH($B150&amp;$G150&amp;P$5,'Detail inputs'!$B$3:$B$195&amp;'Detail inputs'!$G$3:$G$195&amp;'Detail inputs'!$H$3:$H$195,0),MATCH(P$4,'Detail inputs'!$B$3:$K$3,0)),0)</f>
        <v>0</v>
      </c>
      <c r="Q150" s="128">
        <f t="shared" si="82"/>
        <v>0</v>
      </c>
      <c r="R150" s="143">
        <f>IFERROR(Q150/Q154,"")</f>
        <v>0</v>
      </c>
      <c r="S150" s="143"/>
      <c r="T150" s="143"/>
      <c r="U150" s="143"/>
      <c r="V150" s="143"/>
      <c r="W150" s="143"/>
      <c r="X150" s="143"/>
      <c r="Y150" s="143"/>
      <c r="Z150" s="143"/>
      <c r="AA150" s="143"/>
      <c r="AB150" s="143"/>
      <c r="AC150" s="143"/>
      <c r="AD150" s="143"/>
      <c r="AE150" s="143"/>
      <c r="AF150" s="143"/>
      <c r="AG150" s="143"/>
      <c r="AH150" s="143"/>
      <c r="AI150" s="143"/>
      <c r="AJ150" s="143"/>
    </row>
    <row r="151" spans="2:36" x14ac:dyDescent="0.25">
      <c r="B151" s="3" t="str">
        <f t="shared" si="81"/>
        <v>Energex</v>
      </c>
      <c r="C151" s="3" t="str">
        <f t="shared" si="78"/>
        <v>Residential</v>
      </c>
      <c r="D151" s="3" t="str">
        <f t="shared" si="79"/>
        <v>without CL</v>
      </c>
      <c r="E151" s="3" t="s">
        <v>19</v>
      </c>
      <c r="F151" s="131">
        <f t="array" ref="F151">IFERROR(INDEX(Usage!$B$5:$P$18,MATCH($B151,Usage!$B$5:$B$18,0),MATCH($C151&amp;$D151&amp;$E151&amp;"Total",Usage!$B$5:$S$5&amp;Usage!$B$6:$S$6&amp;Usage!$B$7:$S$7&amp;Usage!$B$13:$S$13,0)),0)</f>
        <v>4600</v>
      </c>
      <c r="G151" s="3" t="str">
        <f>+G139</f>
        <v>June 2022 Event Cost</v>
      </c>
      <c r="H151" s="128"/>
      <c r="I151" s="128">
        <f t="array" ref="I151">IFERROR(INDEX('Detail inputs'!$B$3:$K$195,MATCH($B151&amp;$G151&amp;I$5,'Detail inputs'!$B$3:$B$195&amp;'Detail inputs'!$G$3:$G$195&amp;'Detail inputs'!$H$3:$H$195,0),MATCH(I$4,'Detail inputs'!$B$3:$K$3,0)),0)</f>
        <v>0</v>
      </c>
      <c r="J151" s="128">
        <f>IF(AND(H151="",I151=""),"",H151+I151*+Usage!C$38/1000)</f>
        <v>0</v>
      </c>
      <c r="K151" s="143">
        <f>IFERROR(J151/J155,"")</f>
        <v>0</v>
      </c>
      <c r="L151" s="143"/>
      <c r="M151" s="143" t="str">
        <f t="shared" ref="M151" si="83">IF(OR(J151=0,Q151=""),"",Q151/J151-1)</f>
        <v/>
      </c>
      <c r="N151" s="140"/>
      <c r="O151" s="128"/>
      <c r="P151" s="128">
        <f t="array" ref="P151">IFERROR(INDEX('Detail inputs'!$B$3:$K$195,MATCH($B151&amp;$G151&amp;P$5,'Detail inputs'!$B$3:$B$195&amp;'Detail inputs'!$G$3:$G$195&amp;'Detail inputs'!$H$3:$H$195,0),MATCH(P$4,'Detail inputs'!$B$3:$K$3,0)),0)</f>
        <v>0</v>
      </c>
      <c r="Q151" s="128">
        <f t="shared" ref="Q151" si="84">IF(AND(O151="",P151=""),"",O151+P151*$F151/1000)</f>
        <v>0</v>
      </c>
      <c r="R151" s="143">
        <f>IFERROR(Q151/Q155,"")</f>
        <v>0</v>
      </c>
      <c r="S151" s="143"/>
      <c r="T151" s="143"/>
      <c r="U151" s="143"/>
      <c r="V151" s="143"/>
      <c r="W151" s="143"/>
      <c r="X151" s="143"/>
      <c r="Y151" s="143"/>
      <c r="Z151" s="143"/>
      <c r="AA151" s="143"/>
      <c r="AB151" s="143"/>
      <c r="AC151" s="143"/>
      <c r="AD151" s="143"/>
      <c r="AE151" s="143"/>
      <c r="AF151" s="143"/>
      <c r="AG151" s="143"/>
      <c r="AH151" s="143"/>
      <c r="AI151" s="143"/>
      <c r="AJ151" s="143"/>
    </row>
    <row r="152" spans="2:36" x14ac:dyDescent="0.25">
      <c r="B152" s="3" t="str">
        <f t="shared" si="81"/>
        <v>Energex</v>
      </c>
      <c r="C152" s="3" t="str">
        <f t="shared" si="78"/>
        <v>Residential</v>
      </c>
      <c r="D152" s="3" t="str">
        <f t="shared" si="79"/>
        <v>without CL</v>
      </c>
      <c r="E152" s="3" t="s">
        <v>19</v>
      </c>
      <c r="F152" s="131">
        <f t="array" ref="F152">IFERROR(INDEX(Usage!$B$5:$P$18,MATCH($B152,Usage!$B$5:$B$18,0),MATCH($C152&amp;$D152&amp;$E152&amp;"Total",Usage!$B$5:$S$5&amp;Usage!$B$6:$S$6&amp;Usage!$B$7:$S$7&amp;Usage!$B$13:$S$13,0)),0)</f>
        <v>4600</v>
      </c>
      <c r="G152" s="3" t="s">
        <v>135</v>
      </c>
      <c r="H152" s="128"/>
      <c r="I152" s="128">
        <f t="array" ref="I152">IFERROR(INDEX('Detail inputs'!$B$3:$K$195,MATCH($B152&amp;$G152&amp;I$5,'Detail inputs'!$B$3:$B$195&amp;'Detail inputs'!$G$3:$G$195&amp;'Detail inputs'!$H$3:$H$195,0),MATCH(I$4,'Detail inputs'!$B$3:$K$3,0)),0)</f>
        <v>2.2999999999999998</v>
      </c>
      <c r="J152" s="128">
        <f>IF(AND(H152="",I152=""),"",H152+I152*+Usage!C$38/1000)</f>
        <v>10.58</v>
      </c>
      <c r="K152" s="143">
        <f>IFERROR(J152/J154,"")</f>
        <v>1.3726237718671208E-2</v>
      </c>
      <c r="L152" s="143"/>
      <c r="M152" s="143">
        <f t="shared" si="80"/>
        <v>0.42319970730308265</v>
      </c>
      <c r="N152" s="140"/>
      <c r="O152" s="128"/>
      <c r="P152" s="128">
        <f t="array" ref="P152">IFERROR(INDEX('Detail inputs'!$B$3:$K$195,MATCH($B152&amp;$G152&amp;P$5,'Detail inputs'!$B$3:$B$195&amp;'Detail inputs'!$G$3:$G$195&amp;'Detail inputs'!$H$3:$H$195,0),MATCH(P$4,'Detail inputs'!$B$3:$K$3,0)),0)</f>
        <v>3.27335932679709</v>
      </c>
      <c r="Q152" s="128">
        <f t="shared" si="82"/>
        <v>15.057452903266615</v>
      </c>
      <c r="R152" s="143">
        <f>IFERROR(Q152/Q154,"")</f>
        <v>1.9554972995050327E-2</v>
      </c>
      <c r="S152" s="143"/>
      <c r="T152" s="143"/>
      <c r="U152" s="143"/>
      <c r="V152" s="143"/>
      <c r="W152" s="143"/>
      <c r="X152" s="143"/>
      <c r="Y152" s="143"/>
      <c r="Z152" s="143"/>
      <c r="AA152" s="143"/>
      <c r="AB152" s="143"/>
      <c r="AC152" s="143"/>
      <c r="AD152" s="143"/>
      <c r="AE152" s="143"/>
      <c r="AF152" s="143"/>
      <c r="AG152" s="143"/>
      <c r="AH152" s="143"/>
      <c r="AI152" s="143"/>
      <c r="AJ152" s="143"/>
    </row>
    <row r="153" spans="2:36" x14ac:dyDescent="0.25">
      <c r="B153" s="3" t="str">
        <f t="shared" si="81"/>
        <v>Energex</v>
      </c>
      <c r="C153" s="3" t="str">
        <f t="shared" si="78"/>
        <v>Residential</v>
      </c>
      <c r="D153" s="3" t="str">
        <f t="shared" si="79"/>
        <v>without CL</v>
      </c>
      <c r="E153" s="3" t="s">
        <v>19</v>
      </c>
      <c r="F153" s="131">
        <f t="array" ref="F153">IFERROR(INDEX(Usage!$B$5:$P$18,MATCH($B153,Usage!$B$5:$B$18,0),MATCH($C153&amp;$D153&amp;$E153&amp;"Total",Usage!$B$5:$S$5&amp;Usage!$B$6:$S$6&amp;Usage!$B$7:$S$7&amp;Usage!$B$13:$S$13,0)),0)</f>
        <v>4600</v>
      </c>
      <c r="G153" s="3" t="s">
        <v>73</v>
      </c>
      <c r="H153" s="128"/>
      <c r="I153" s="128" cm="1">
        <f t="array" ref="I153">IFERROR(INDEX('Detail inputs'!$B$3:$K$195,MATCH($B153&amp;$C153&amp;$E153&amp;$G153&amp;I$5,'Detail inputs'!$B$3:$B$195&amp;'Detail inputs'!$D$3:$D$195&amp;'Detail inputs'!$F$3:$F$195&amp;'Detail inputs'!$G$3:$G$195&amp;'Detail inputs'!$H$3:$H$195,0),MATCH(I$4,'Detail inputs'!$B$3:$K$3,0)),0)*SUM(I147:I152)</f>
        <v>11.36670266</v>
      </c>
      <c r="J153" s="128">
        <f>IF(AND(H153="",I153=""),"",H153+I153*+Usage!C$38/1000)</f>
        <v>52.286832235999995</v>
      </c>
      <c r="K153" s="143">
        <f>IFERROR(J153/J154,"")</f>
        <v>6.7835679473309707E-2</v>
      </c>
      <c r="L153" s="143"/>
      <c r="M153" s="143">
        <f t="shared" si="80"/>
        <v>-0.19307159765764992</v>
      </c>
      <c r="N153" s="140"/>
      <c r="O153" s="128"/>
      <c r="P153" s="128" cm="1">
        <f t="array" ref="P153">IFERROR(INDEX('Detail inputs'!$B$3:$K$195,MATCH($B153&amp;$C153&amp;$E153&amp;$G153&amp;P$5,'Detail inputs'!$B$3:$B$195&amp;'Detail inputs'!$D$3:$D$195&amp;'Detail inputs'!$F$3:$F$195&amp;'Detail inputs'!$G$3:$G$195&amp;'Detail inputs'!$H$3:$H$195,0),MATCH(P$4,'Detail inputs'!$B$3:$K$3,0)),0)*SUM(P147:P152)</f>
        <v>9.1721152173343405</v>
      </c>
      <c r="Q153" s="128">
        <f>IF(AND(O153="",P153=""),"",O153+P153*$F153/1000)</f>
        <v>42.191729999737966</v>
      </c>
      <c r="R153" s="143">
        <f>IFERROR(Q153/Q154,"")</f>
        <v>5.4794004408298021E-2</v>
      </c>
      <c r="S153" s="143"/>
      <c r="T153" s="143"/>
      <c r="U153" s="143"/>
      <c r="V153" s="143"/>
      <c r="W153" s="143"/>
      <c r="X153" s="143"/>
      <c r="Y153" s="143"/>
      <c r="Z153" s="143"/>
      <c r="AA153" s="143"/>
      <c r="AB153" s="143"/>
      <c r="AC153" s="143"/>
      <c r="AD153" s="143"/>
      <c r="AE153" s="143"/>
      <c r="AF153" s="143"/>
      <c r="AG153" s="143"/>
      <c r="AH153" s="143"/>
      <c r="AI153" s="143"/>
      <c r="AJ153" s="143"/>
    </row>
    <row r="154" spans="2:36" x14ac:dyDescent="0.25">
      <c r="B154" s="3" t="str">
        <f t="shared" si="81"/>
        <v>Energex</v>
      </c>
      <c r="C154" s="3" t="str">
        <f t="shared" si="78"/>
        <v>Residential</v>
      </c>
      <c r="D154" s="3" t="str">
        <f t="shared" si="79"/>
        <v>without CL</v>
      </c>
      <c r="E154" s="3" t="s">
        <v>19</v>
      </c>
      <c r="F154" s="131">
        <f t="array" ref="F154">IFERROR(INDEX(Usage!$B$5:$P$18,MATCH($B154,Usage!$B$5:$B$18,0),MATCH($C154&amp;$D154&amp;$E154&amp;"Total",Usage!$B$5:$S$5&amp;Usage!$B$6:$S$6&amp;Usage!$B$7:$S$7&amp;Usage!$B$13:$S$13,0)),0)</f>
        <v>4600</v>
      </c>
      <c r="G154" s="5" t="s">
        <v>55</v>
      </c>
      <c r="H154" s="130">
        <f>SUM(H149:H153)</f>
        <v>11.905778571428572</v>
      </c>
      <c r="I154" s="130">
        <v>164.97409000000002</v>
      </c>
      <c r="J154" s="130">
        <f>IF(AND(H154="",I154=""),"",H154+I154*+Usage!C$38/1000)</f>
        <v>770.78659257142863</v>
      </c>
      <c r="K154" s="145"/>
      <c r="L154" s="152"/>
      <c r="M154" s="145">
        <f t="shared" si="80"/>
        <v>-1.0122996063427481E-3</v>
      </c>
      <c r="N154" s="150"/>
      <c r="O154" s="130">
        <f>SUM(O149:O153)</f>
        <v>13.835244134497829</v>
      </c>
      <c r="P154" s="130">
        <f>SUM(P147:P153)</f>
        <v>164.38501771145573</v>
      </c>
      <c r="Q154" s="130">
        <f t="shared" ref="Q154" si="85">IF(AND(O154="",P154=""),"",O154+P154*$F154/1000)</f>
        <v>770.0063256071943</v>
      </c>
      <c r="R154" s="145"/>
      <c r="S154" s="145"/>
      <c r="T154" s="145"/>
      <c r="U154" s="145"/>
      <c r="V154" s="145"/>
      <c r="W154" s="145"/>
      <c r="X154" s="145"/>
      <c r="Y154" s="145"/>
      <c r="Z154" s="145"/>
      <c r="AA154" s="145"/>
      <c r="AB154" s="145"/>
      <c r="AC154" s="145"/>
      <c r="AD154" s="145"/>
      <c r="AE154" s="145"/>
      <c r="AF154" s="145"/>
      <c r="AG154" s="145"/>
      <c r="AH154" s="145"/>
      <c r="AI154" s="145"/>
      <c r="AJ154" s="145"/>
    </row>
    <row r="155" spans="2:36" x14ac:dyDescent="0.25">
      <c r="B155" s="3" t="str">
        <f t="shared" si="81"/>
        <v>Energex</v>
      </c>
      <c r="C155" s="3" t="str">
        <f t="shared" si="78"/>
        <v>Residential</v>
      </c>
      <c r="D155" s="3" t="str">
        <f t="shared" si="79"/>
        <v>without CL</v>
      </c>
      <c r="F155" s="131"/>
      <c r="G155" s="3" t="s">
        <v>38</v>
      </c>
      <c r="H155" s="128"/>
      <c r="I155" s="128"/>
      <c r="J155" s="128">
        <f>J154*GST</f>
        <v>77.078659257142874</v>
      </c>
      <c r="K155" s="144"/>
      <c r="L155" s="151"/>
      <c r="M155" s="144"/>
      <c r="N155" s="149"/>
      <c r="O155" s="128"/>
      <c r="P155" s="128"/>
      <c r="Q155" s="128">
        <f>Q154*GST</f>
        <v>77.000632560719438</v>
      </c>
      <c r="R155" s="145"/>
      <c r="S155" s="145"/>
      <c r="T155" s="145"/>
      <c r="U155" s="145"/>
      <c r="V155" s="145"/>
      <c r="W155" s="145"/>
      <c r="X155" s="145"/>
      <c r="Y155" s="145"/>
      <c r="Z155" s="145"/>
      <c r="AA155" s="145"/>
      <c r="AB155" s="145"/>
      <c r="AC155" s="145"/>
      <c r="AD155" s="145"/>
      <c r="AE155" s="145"/>
      <c r="AF155" s="145"/>
      <c r="AG155" s="145"/>
      <c r="AH155" s="145"/>
      <c r="AI155" s="145"/>
      <c r="AJ155" s="145"/>
    </row>
    <row r="156" spans="2:36" x14ac:dyDescent="0.25">
      <c r="B156" s="3" t="str">
        <f t="shared" si="81"/>
        <v>Energex</v>
      </c>
      <c r="C156" s="3" t="str">
        <f t="shared" si="78"/>
        <v>Residential</v>
      </c>
      <c r="D156" s="3" t="str">
        <f t="shared" si="79"/>
        <v>without CL</v>
      </c>
      <c r="F156" s="131"/>
      <c r="G156" s="5" t="s">
        <v>80</v>
      </c>
      <c r="H156" s="130"/>
      <c r="I156" s="130"/>
      <c r="J156" s="130">
        <f>SUM(J154:J155)</f>
        <v>847.86525182857145</v>
      </c>
      <c r="K156" s="145"/>
      <c r="L156" s="152"/>
      <c r="M156" s="145">
        <f>IF(OR(J156=0,Q156=""),"",Q156/J156-1)</f>
        <v>-1.0122996063427481E-3</v>
      </c>
      <c r="N156" s="150"/>
      <c r="O156" s="130"/>
      <c r="P156" s="130"/>
      <c r="Q156" s="130">
        <f>SUM(Q154:Q155)</f>
        <v>847.00695816791369</v>
      </c>
      <c r="R156" s="145"/>
      <c r="S156" s="145"/>
      <c r="T156" s="145"/>
      <c r="U156" s="145"/>
      <c r="V156" s="145"/>
      <c r="W156" s="145"/>
      <c r="X156" s="145"/>
      <c r="Y156" s="145"/>
      <c r="Z156" s="145"/>
      <c r="AA156" s="145"/>
      <c r="AB156" s="145"/>
      <c r="AC156" s="145"/>
      <c r="AD156" s="145"/>
      <c r="AE156" s="145"/>
      <c r="AF156" s="145"/>
      <c r="AG156" s="145"/>
      <c r="AH156" s="145"/>
      <c r="AI156" s="145"/>
      <c r="AJ156" s="145"/>
    </row>
    <row r="157" spans="2:36" x14ac:dyDescent="0.25">
      <c r="F157" s="131"/>
      <c r="H157" s="128"/>
      <c r="I157" s="128"/>
      <c r="J157" s="128"/>
      <c r="K157" s="143"/>
      <c r="L157" s="151"/>
      <c r="M157" s="143"/>
      <c r="N157" s="149"/>
      <c r="O157" s="128"/>
      <c r="P157" s="128"/>
      <c r="Q157" s="128"/>
      <c r="R157" s="143"/>
      <c r="S157" s="143"/>
      <c r="T157" s="143"/>
      <c r="U157" s="143"/>
      <c r="V157" s="143"/>
      <c r="W157" s="143"/>
      <c r="X157" s="143"/>
      <c r="Y157" s="143"/>
      <c r="Z157" s="143"/>
      <c r="AA157" s="143"/>
      <c r="AB157" s="143"/>
      <c r="AC157" s="143"/>
      <c r="AD157" s="143"/>
      <c r="AE157" s="143"/>
      <c r="AF157" s="143"/>
      <c r="AG157" s="143"/>
      <c r="AH157" s="143"/>
      <c r="AI157" s="143"/>
      <c r="AJ157" s="143"/>
    </row>
    <row r="158" spans="2:36" x14ac:dyDescent="0.25">
      <c r="B158" s="5" t="s">
        <v>0</v>
      </c>
      <c r="C158" s="5" t="s">
        <v>6</v>
      </c>
      <c r="D158" s="5" t="s">
        <v>128</v>
      </c>
      <c r="F158" s="131"/>
      <c r="H158" s="128"/>
      <c r="I158" s="128"/>
      <c r="J158" s="128"/>
      <c r="K158" s="143"/>
      <c r="L158" s="151"/>
      <c r="M158" s="143"/>
      <c r="N158" s="149"/>
      <c r="O158" s="128"/>
      <c r="P158" s="128"/>
      <c r="Q158" s="128"/>
      <c r="R158" s="143"/>
      <c r="S158" s="143"/>
      <c r="T158" s="143"/>
      <c r="U158" s="143"/>
      <c r="V158" s="143"/>
      <c r="W158" s="143"/>
      <c r="X158" s="143"/>
      <c r="Y158" s="143"/>
      <c r="Z158" s="143"/>
      <c r="AA158" s="143"/>
      <c r="AB158" s="143"/>
      <c r="AC158" s="143"/>
      <c r="AD158" s="143"/>
      <c r="AE158" s="143"/>
      <c r="AF158" s="143"/>
      <c r="AG158" s="143"/>
      <c r="AH158" s="143"/>
      <c r="AI158" s="143"/>
      <c r="AJ158" s="143"/>
    </row>
    <row r="159" spans="2:36" x14ac:dyDescent="0.25">
      <c r="B159" s="3" t="str">
        <f>B158</f>
        <v>Energex</v>
      </c>
      <c r="C159" s="3" t="str">
        <f t="shared" ref="C159:C178" si="86">C158</f>
        <v>Residential</v>
      </c>
      <c r="D159" s="3" t="str">
        <f t="shared" ref="D159:D178" si="87">D158</f>
        <v>with CL</v>
      </c>
      <c r="E159" s="3" t="s">
        <v>19</v>
      </c>
      <c r="F159" s="131">
        <f t="array" ref="F159">IFERROR(INDEX(Usage!$B$5:$P$18,MATCH($B159,Usage!$B$5:$B$18,0),MATCH($C159&amp;$D159&amp;$E159&amp;"Total",Usage!$B$5:$S$5&amp;Usage!$B$6:$S$6&amp;Usage!$B$7:$S$7&amp;Usage!$B$13:$S$13,0)),0)</f>
        <v>4400</v>
      </c>
      <c r="G159" s="5" t="s">
        <v>55</v>
      </c>
      <c r="H159" s="130">
        <f>+H154</f>
        <v>11.905778571428572</v>
      </c>
      <c r="I159" s="130">
        <v>164.97409000000002</v>
      </c>
      <c r="J159" s="130">
        <f>IF(AND(H159="",I159=""),"",H159+I159*+Usage!E38/1000)</f>
        <v>737.79177457142862</v>
      </c>
      <c r="K159" s="145"/>
      <c r="L159" s="152"/>
      <c r="M159" s="145">
        <f t="shared" ref="M159:M169" si="88">IF(OR(J159=0,Q159=""),"",Q159/J159-1)</f>
        <v>-8.9788545949875953E-4</v>
      </c>
      <c r="N159" s="150"/>
      <c r="O159" s="130">
        <f>+O154</f>
        <v>13.835244134497829</v>
      </c>
      <c r="P159" s="130">
        <f>P154</f>
        <v>164.38501771145573</v>
      </c>
      <c r="Q159" s="130">
        <f t="shared" ref="Q159:Q167" si="89">IF(AND(O159="",P159=""),"",O159+P159*$F159/1000)</f>
        <v>737.12932206490314</v>
      </c>
      <c r="R159" s="145"/>
      <c r="S159" s="145"/>
      <c r="T159" s="378"/>
      <c r="U159" s="145"/>
      <c r="V159" s="145"/>
      <c r="W159" s="145"/>
      <c r="X159" s="145"/>
      <c r="Y159" s="145"/>
      <c r="Z159" s="145"/>
      <c r="AA159" s="145"/>
      <c r="AB159" s="145"/>
      <c r="AC159" s="145"/>
      <c r="AD159" s="145"/>
      <c r="AE159" s="145"/>
      <c r="AF159" s="145"/>
      <c r="AG159" s="145"/>
      <c r="AH159" s="145"/>
      <c r="AI159" s="145"/>
      <c r="AJ159" s="145"/>
    </row>
    <row r="160" spans="2:36" x14ac:dyDescent="0.25">
      <c r="B160" s="3" t="str">
        <f t="shared" ref="B160:B178" si="90">B159</f>
        <v>Energex</v>
      </c>
      <c r="C160" s="3" t="str">
        <f t="shared" si="86"/>
        <v>Residential</v>
      </c>
      <c r="D160" s="3" t="str">
        <f t="shared" si="87"/>
        <v>with CL</v>
      </c>
      <c r="E160" s="3" t="s">
        <v>14</v>
      </c>
      <c r="F160" s="131">
        <f t="array" ref="F160">IFERROR(INDEX(Usage!$B$5:$P$18,MATCH($B160,Usage!$B$5:$B$18,0),MATCH($C160&amp;$D160&amp;$E160,Usage!$B$5:$S$5&amp;Usage!$B$6:$S$6&amp;Usage!$B$7:$S$7,0)),0)</f>
        <v>551</v>
      </c>
      <c r="G160" s="3" t="s">
        <v>70</v>
      </c>
      <c r="H160" s="128"/>
      <c r="I160" s="128">
        <f t="array" ref="I160">IFERROR(INDEX('Detail inputs'!$B$3:$K$195,MATCH($B160&amp;$C160&amp;$E160&amp;$G160&amp;I$5,'Detail inputs'!$B$3:$B$195&amp;'Detail inputs'!$D$3:$D$195&amp;'Detail inputs'!$F$3:$F$195&amp;'Detail inputs'!$G$3:$G$195&amp;'Detail inputs'!$H$3:$H$195,0),MATCH(I$4,'Detail inputs'!$B$3:$K$3,0)),0)</f>
        <v>93.98</v>
      </c>
      <c r="J160" s="128">
        <f>IF(AND(H160="",I160=""),"",H160+I160*+Usage!H$38/1000)</f>
        <v>51.782980000000002</v>
      </c>
      <c r="K160" s="143">
        <f>IFERROR(J160/J167,"")</f>
        <v>0.9021437096306768</v>
      </c>
      <c r="L160" s="143"/>
      <c r="M160" s="143">
        <f t="shared" si="88"/>
        <v>8.7571823792296222E-2</v>
      </c>
      <c r="N160" s="140"/>
      <c r="O160" s="128"/>
      <c r="P160" s="128">
        <f t="array" ref="P160">IFERROR(INDEX('Detail inputs'!$B$3:$K$195,MATCH($B160&amp;$C160&amp;$E160&amp;$G160&amp;P$5,'Detail inputs'!$B$3:$B$195&amp;'Detail inputs'!$D$3:$D$195&amp;'Detail inputs'!$F$3:$F$195&amp;'Detail inputs'!$G$3:$G$195&amp;'Detail inputs'!$H$3:$H$195,0),MATCH(P$4,'Detail inputs'!$B$3:$K$3,0)),0)</f>
        <v>102.21</v>
      </c>
      <c r="Q160" s="128">
        <f t="shared" si="89"/>
        <v>56.317709999999998</v>
      </c>
      <c r="R160" s="143">
        <f>IFERROR(Q160/Q167,"")</f>
        <v>0.9036839845341641</v>
      </c>
      <c r="S160" s="143"/>
      <c r="T160" s="378"/>
      <c r="U160" s="143"/>
      <c r="V160" s="143"/>
      <c r="W160" s="143"/>
      <c r="X160" s="143"/>
      <c r="Y160" s="143"/>
      <c r="Z160" s="143"/>
      <c r="AA160" s="143"/>
      <c r="AB160" s="143"/>
      <c r="AC160" s="143"/>
      <c r="AD160" s="143"/>
      <c r="AE160" s="143"/>
      <c r="AF160" s="143"/>
      <c r="AG160" s="143"/>
      <c r="AH160" s="143"/>
      <c r="AI160" s="143"/>
      <c r="AJ160" s="143"/>
    </row>
    <row r="161" spans="2:36" x14ac:dyDescent="0.25">
      <c r="B161" s="3" t="str">
        <f t="shared" si="90"/>
        <v>Energex</v>
      </c>
      <c r="C161" s="3" t="str">
        <f t="shared" si="86"/>
        <v>Residential</v>
      </c>
      <c r="D161" s="3" t="str">
        <f t="shared" si="87"/>
        <v>with CL</v>
      </c>
      <c r="E161" s="3" t="s">
        <v>14</v>
      </c>
      <c r="F161" s="131">
        <f t="array" ref="F161">IFERROR(INDEX(Usage!$B$5:$P$18,MATCH($B161,Usage!$B$5:$B$18,0),MATCH($C161&amp;$D161&amp;$E161,Usage!$B$5:$S$5&amp;Usage!$B$6:$S$6&amp;Usage!$B$7:$S$7,0)),0)</f>
        <v>551</v>
      </c>
      <c r="G161" s="3" t="s">
        <v>71</v>
      </c>
      <c r="H161" s="128"/>
      <c r="I161" s="128">
        <f t="array" ref="I161">IFERROR(INDEX('Detail inputs'!$B$3:$K$195,MATCH($B161&amp;$G161&amp;I$5,'Detail inputs'!$B$3:$B$195&amp;'Detail inputs'!$G$3:$G$195&amp;'Detail inputs'!$H$3:$H$195,0),MATCH(I$4,'Detail inputs'!$B$3:$K$3,0)),0)</f>
        <v>0.21</v>
      </c>
      <c r="J161" s="128">
        <f>IF(AND(H161="",I161=""),"",H161+I161*+Usage!H$38/1000)</f>
        <v>0.11570999999999999</v>
      </c>
      <c r="K161" s="143">
        <f>IFERROR(J161/J167,"")</f>
        <v>2.0158563420136426E-3</v>
      </c>
      <c r="L161" s="143"/>
      <c r="M161" s="143">
        <f t="shared" si="88"/>
        <v>2.5005388920205189</v>
      </c>
      <c r="N161" s="140"/>
      <c r="O161" s="128"/>
      <c r="P161" s="128">
        <f t="array" ref="P161">IFERROR(INDEX('Detail inputs'!$B$3:$K$195,MATCH($B161&amp;$G161&amp;P$5,'Detail inputs'!$B$3:$B$195&amp;'Detail inputs'!$G$3:$G$195&amp;'Detail inputs'!$H$3:$H$195,0),MATCH(P$4,'Detail inputs'!$B$3:$K$3,0)),0)</f>
        <v>0.73511316732430898</v>
      </c>
      <c r="Q161" s="128">
        <f t="shared" si="89"/>
        <v>0.40504735519569424</v>
      </c>
      <c r="R161" s="143">
        <f>IFERROR(Q161/Q167,"")</f>
        <v>6.4994618543308992E-3</v>
      </c>
      <c r="S161" s="143"/>
      <c r="T161" s="143"/>
      <c r="U161" s="143"/>
      <c r="V161" s="143"/>
      <c r="W161" s="143"/>
      <c r="X161" s="143"/>
      <c r="Y161" s="143"/>
      <c r="Z161" s="143"/>
      <c r="AA161" s="143"/>
      <c r="AB161" s="143"/>
      <c r="AC161" s="143"/>
      <c r="AD161" s="143"/>
      <c r="AE161" s="143"/>
      <c r="AF161" s="143"/>
      <c r="AG161" s="143"/>
      <c r="AH161" s="143"/>
      <c r="AI161" s="143"/>
      <c r="AJ161" s="143"/>
    </row>
    <row r="162" spans="2:36" x14ac:dyDescent="0.25">
      <c r="B162" s="3" t="str">
        <f t="shared" si="90"/>
        <v>Energex</v>
      </c>
      <c r="C162" s="3" t="str">
        <f t="shared" si="86"/>
        <v>Residential</v>
      </c>
      <c r="D162" s="3" t="str">
        <f t="shared" si="87"/>
        <v>with CL</v>
      </c>
      <c r="E162" s="3" t="s">
        <v>14</v>
      </c>
      <c r="F162" s="131">
        <f t="array" ref="F162">IFERROR(INDEX(Usage!$B$5:$P$18,MATCH($B162,Usage!$B$5:$B$18,0),MATCH($C162&amp;$D162&amp;$E162,Usage!$B$5:$S$5&amp;Usage!$B$6:$S$6&amp;Usage!$B$7:$S$7,0)),0)</f>
        <v>551</v>
      </c>
      <c r="G162" s="3" t="s">
        <v>78</v>
      </c>
      <c r="H162" s="128"/>
      <c r="I162" s="128">
        <f t="array" ref="I162">IFERROR(INDEX('Detail inputs'!$B$3:$K$195,MATCH($B162&amp;$G162&amp;I$5,'Detail inputs'!$B$3:$B$195&amp;'Detail inputs'!$G$3:$G$195&amp;'Detail inputs'!$H$3:$H$195,0),MATCH(I$4,'Detail inputs'!$B$3:$K$3,0)),0)</f>
        <v>0.50409000000000004</v>
      </c>
      <c r="J162" s="128">
        <f>IF(AND(H162="",I162=""),"",H162+I162*+Usage!H$38/1000)</f>
        <v>0.27775359000000005</v>
      </c>
      <c r="K162" s="143">
        <f>IFERROR(J162/J167,"")</f>
        <v>4.838919159265034E-3</v>
      </c>
      <c r="L162" s="143"/>
      <c r="M162" s="143">
        <f t="shared" si="88"/>
        <v>0.13953857446090945</v>
      </c>
      <c r="N162" s="140"/>
      <c r="O162" s="128"/>
      <c r="P162" s="128">
        <f t="array" ref="P162">IFERROR(INDEX('Detail inputs'!$B$3:$K$195,MATCH($B162&amp;$G162&amp;P$5,'Detail inputs'!$B$3:$B$195&amp;'Detail inputs'!$G$3:$G$195&amp;'Detail inputs'!$H$3:$H$195,0),MATCH(P$4,'Detail inputs'!$B$3:$K$3,0)),0)</f>
        <v>0.57443</v>
      </c>
      <c r="Q162" s="128">
        <f t="shared" si="89"/>
        <v>0.31651092999999997</v>
      </c>
      <c r="R162" s="143">
        <f>IFERROR(Q162/Q167,"")</f>
        <v>5.0787906392325589E-3</v>
      </c>
      <c r="S162" s="143"/>
      <c r="T162" s="143"/>
      <c r="U162" s="143"/>
      <c r="V162" s="143"/>
      <c r="W162" s="143"/>
      <c r="X162" s="143"/>
      <c r="Y162" s="143"/>
      <c r="Z162" s="143"/>
      <c r="AA162" s="143"/>
      <c r="AB162" s="143"/>
      <c r="AC162" s="143"/>
      <c r="AD162" s="143"/>
      <c r="AE162" s="143"/>
      <c r="AF162" s="143"/>
      <c r="AG162" s="143"/>
      <c r="AH162" s="143"/>
      <c r="AI162" s="143"/>
      <c r="AJ162" s="143"/>
    </row>
    <row r="163" spans="2:36" x14ac:dyDescent="0.25">
      <c r="B163" s="3" t="str">
        <f t="shared" si="90"/>
        <v>Energex</v>
      </c>
      <c r="C163" s="3" t="str">
        <f t="shared" si="86"/>
        <v>Residential</v>
      </c>
      <c r="D163" s="3" t="str">
        <f t="shared" si="87"/>
        <v>with CL</v>
      </c>
      <c r="E163" s="3" t="s">
        <v>14</v>
      </c>
      <c r="F163" s="131">
        <f t="array" ref="F163">IFERROR(INDEX(Usage!$B$5:$P$18,MATCH($B163,Usage!$B$5:$B$18,0),MATCH($C163&amp;$D163&amp;$E163,Usage!$B$5:$S$5&amp;Usage!$B$6:$S$6&amp;Usage!$B$7:$S$7,0)),0)</f>
        <v>551</v>
      </c>
      <c r="G163" s="3" t="s">
        <v>72</v>
      </c>
      <c r="H163" s="128"/>
      <c r="I163" s="128">
        <f t="array" ref="I163">IFERROR(INDEX('Detail inputs'!$B$3:$K$195,MATCH($B163&amp;$G163&amp;I$5,'Detail inputs'!$B$3:$B$195&amp;'Detail inputs'!$G$3:$G$195&amp;'Detail inputs'!$H$3:$H$195,0),MATCH(I$4,'Detail inputs'!$B$3:$K$3,0)),0)</f>
        <v>0</v>
      </c>
      <c r="J163" s="128">
        <f>IF(AND(H163="",I163=""),"",H163+I163*+Usage!H$38/1000)</f>
        <v>0</v>
      </c>
      <c r="K163" s="143">
        <f>IFERROR(J163/J167,"")</f>
        <v>0</v>
      </c>
      <c r="L163" s="143"/>
      <c r="M163" s="143" t="str">
        <f t="shared" si="88"/>
        <v/>
      </c>
      <c r="N163" s="140"/>
      <c r="O163" s="128"/>
      <c r="P163" s="128">
        <f t="array" ref="P163">IFERROR(INDEX('Detail inputs'!$B$3:$K$195,MATCH($B163&amp;$G163&amp;P$5,'Detail inputs'!$B$3:$B$195&amp;'Detail inputs'!$G$3:$G$195&amp;'Detail inputs'!$H$3:$H$195,0),MATCH(P$4,'Detail inputs'!$B$3:$K$3,0)),0)</f>
        <v>0</v>
      </c>
      <c r="Q163" s="128">
        <f t="shared" si="89"/>
        <v>0</v>
      </c>
      <c r="R163" s="143">
        <f>IFERROR(Q163/Q167,"")</f>
        <v>0</v>
      </c>
      <c r="S163" s="143"/>
      <c r="T163" s="143"/>
      <c r="U163" s="143"/>
      <c r="V163" s="143"/>
      <c r="W163" s="143"/>
      <c r="X163" s="143"/>
      <c r="Y163" s="143"/>
      <c r="Z163" s="143"/>
      <c r="AA163" s="143"/>
      <c r="AB163" s="143"/>
      <c r="AC163" s="143"/>
      <c r="AD163" s="143"/>
      <c r="AE163" s="143"/>
      <c r="AF163" s="143"/>
      <c r="AG163" s="143"/>
      <c r="AH163" s="143"/>
      <c r="AI163" s="143"/>
      <c r="AJ163" s="143"/>
    </row>
    <row r="164" spans="2:36" x14ac:dyDescent="0.25">
      <c r="B164" s="3" t="str">
        <f t="shared" si="90"/>
        <v>Energex</v>
      </c>
      <c r="C164" s="3" t="str">
        <f t="shared" si="86"/>
        <v>Residential</v>
      </c>
      <c r="D164" s="3" t="str">
        <f t="shared" si="87"/>
        <v>with CL</v>
      </c>
      <c r="E164" s="3" t="s">
        <v>14</v>
      </c>
      <c r="F164" s="131">
        <f t="array" ref="F164">IFERROR(INDEX(Usage!$B$5:$P$18,MATCH($B164,Usage!$B$5:$B$18,0),MATCH($C164&amp;$D164&amp;$E164,Usage!$B$5:$S$5&amp;Usage!$B$6:$S$6&amp;Usage!$B$7:$S$7,0)),0)</f>
        <v>551</v>
      </c>
      <c r="G164" s="3" t="str">
        <f>+G139</f>
        <v>June 2022 Event Cost</v>
      </c>
      <c r="H164" s="128"/>
      <c r="I164" s="128">
        <f t="array" ref="I164">IFERROR(INDEX('Detail inputs'!$B$3:$K$195,MATCH($B164&amp;$G164&amp;I$5,'Detail inputs'!$B$3:$B$195&amp;'Detail inputs'!$G$3:$G$195&amp;'Detail inputs'!$H$3:$H$195,0),MATCH(I$4,'Detail inputs'!$B$3:$K$3,0)),0)</f>
        <v>0</v>
      </c>
      <c r="J164" s="128">
        <f>IF(AND(H164="",I164=""),"",H164+I164*+Usage!H$38/1000)</f>
        <v>0</v>
      </c>
      <c r="K164" s="143">
        <f>IFERROR(J164/J168,"")</f>
        <v>0</v>
      </c>
      <c r="L164" s="143"/>
      <c r="M164" s="143" t="str">
        <f t="shared" ref="M164" si="91">IF(OR(J164=0,Q164=""),"",Q164/J164-1)</f>
        <v/>
      </c>
      <c r="N164" s="140"/>
      <c r="O164" s="128"/>
      <c r="P164" s="128">
        <f t="array" ref="P164">IFERROR(INDEX('Detail inputs'!$B$3:$K$195,MATCH($B164&amp;$G164&amp;P$5,'Detail inputs'!$B$3:$B$195&amp;'Detail inputs'!$G$3:$G$195&amp;'Detail inputs'!$H$3:$H$195,0),MATCH(P$4,'Detail inputs'!$B$3:$K$3,0)),0)</f>
        <v>0</v>
      </c>
      <c r="Q164" s="128">
        <f t="shared" ref="Q164" si="92">IF(AND(O164="",P164=""),"",O164+P164*$F164/1000)</f>
        <v>0</v>
      </c>
      <c r="R164" s="143">
        <f>IFERROR(Q164/Q168,"")</f>
        <v>0</v>
      </c>
      <c r="S164" s="143"/>
      <c r="T164" s="143"/>
      <c r="U164" s="143"/>
      <c r="V164" s="143"/>
      <c r="W164" s="143"/>
      <c r="X164" s="143"/>
      <c r="Y164" s="143"/>
      <c r="Z164" s="143"/>
      <c r="AA164" s="143"/>
      <c r="AB164" s="143"/>
      <c r="AC164" s="143"/>
      <c r="AD164" s="143"/>
      <c r="AE164" s="143"/>
      <c r="AF164" s="143"/>
      <c r="AG164" s="143"/>
      <c r="AH164" s="143"/>
      <c r="AI164" s="143"/>
      <c r="AJ164" s="143"/>
    </row>
    <row r="165" spans="2:36" x14ac:dyDescent="0.25">
      <c r="B165" s="3" t="str">
        <f t="shared" si="90"/>
        <v>Energex</v>
      </c>
      <c r="C165" s="3" t="str">
        <f t="shared" si="86"/>
        <v>Residential</v>
      </c>
      <c r="D165" s="3" t="str">
        <f t="shared" si="87"/>
        <v>with CL</v>
      </c>
      <c r="E165" s="3" t="s">
        <v>14</v>
      </c>
      <c r="F165" s="131">
        <f t="array" ref="F165">IFERROR(INDEX(Usage!$B$5:$P$18,MATCH($B165,Usage!$B$5:$B$18,0),MATCH($C165&amp;$D165&amp;$E165,Usage!$B$5:$S$5&amp;Usage!$B$6:$S$6&amp;Usage!$B$7:$S$7,0)),0)</f>
        <v>551</v>
      </c>
      <c r="G165" s="3" t="s">
        <v>135</v>
      </c>
      <c r="H165" s="128"/>
      <c r="I165" s="128">
        <f t="array" ref="I165">IFERROR(INDEX('Detail inputs'!$B$3:$K$195,MATCH($B165&amp;$G165&amp;I$5,'Detail inputs'!$B$3:$B$195&amp;'Detail inputs'!$G$3:$G$195&amp;'Detail inputs'!$H$3:$H$195,0),MATCH(I$4,'Detail inputs'!$B$3:$K$3,0)),0)</f>
        <v>2.2999999999999998</v>
      </c>
      <c r="J165" s="128">
        <f>IF(AND(H165="",I165=""),"",H165+I165*+Usage!H$38/1000)</f>
        <v>1.2672999999999999</v>
      </c>
      <c r="K165" s="143">
        <f>IFERROR(J165/J167,"")</f>
        <v>2.207842660300656E-2</v>
      </c>
      <c r="L165" s="143"/>
      <c r="M165" s="143">
        <f t="shared" si="88"/>
        <v>0.42319970730308287</v>
      </c>
      <c r="N165" s="140"/>
      <c r="O165" s="128"/>
      <c r="P165" s="128">
        <f t="array" ref="P165">IFERROR(INDEX('Detail inputs'!$B$3:$K$195,MATCH($B165&amp;$G165&amp;P$5,'Detail inputs'!$B$3:$B$195&amp;'Detail inputs'!$G$3:$G$195&amp;'Detail inputs'!$H$3:$H$195,0),MATCH(P$4,'Detail inputs'!$B$3:$K$3,0)),0)</f>
        <v>3.27335932679709</v>
      </c>
      <c r="Q165" s="128">
        <f t="shared" si="89"/>
        <v>1.8036209890651966</v>
      </c>
      <c r="R165" s="143">
        <f>IFERROR(Q165/Q167,"")</f>
        <v>2.8941222964994261E-2</v>
      </c>
      <c r="S165" s="143"/>
      <c r="T165" s="143"/>
      <c r="U165" s="143"/>
      <c r="V165" s="143"/>
      <c r="W165" s="143"/>
      <c r="X165" s="143"/>
      <c r="Y165" s="143"/>
      <c r="Z165" s="143"/>
      <c r="AA165" s="143"/>
      <c r="AB165" s="143"/>
      <c r="AC165" s="143"/>
      <c r="AD165" s="143"/>
      <c r="AE165" s="143"/>
      <c r="AF165" s="143"/>
      <c r="AG165" s="143"/>
      <c r="AH165" s="143"/>
      <c r="AI165" s="143"/>
      <c r="AJ165" s="143"/>
    </row>
    <row r="166" spans="2:36" x14ac:dyDescent="0.25">
      <c r="B166" s="3" t="str">
        <f t="shared" si="90"/>
        <v>Energex</v>
      </c>
      <c r="C166" s="3" t="str">
        <f t="shared" si="86"/>
        <v>Residential</v>
      </c>
      <c r="D166" s="3" t="str">
        <f t="shared" si="87"/>
        <v>with CL</v>
      </c>
      <c r="E166" s="3" t="s">
        <v>14</v>
      </c>
      <c r="F166" s="131">
        <f t="array" ref="F166">IFERROR(INDEX(Usage!$B$5:$P$18,MATCH($B166,Usage!$B$5:$B$18,0),MATCH($C166&amp;$D166&amp;$E166,Usage!$B$5:$S$5&amp;Usage!$B$6:$S$6&amp;Usage!$B$7:$S$7,0)),0)</f>
        <v>551</v>
      </c>
      <c r="G166" s="3" t="s">
        <v>73</v>
      </c>
      <c r="H166" s="128"/>
      <c r="I166" s="128" cm="1">
        <f t="array" ref="I166">IFERROR(INDEX('Detail inputs'!$B$3:$K$195,MATCH($B166&amp;$C166&amp;$E166&amp;$G166&amp;I$5,'Detail inputs'!$B$3:$B$195&amp;'Detail inputs'!$D$3:$D$195&amp;'Detail inputs'!$F$3:$F$195&amp;'Detail inputs'!$G$3:$G$195&amp;'Detail inputs'!$H$3:$H$195,0),MATCH(I$4,'Detail inputs'!$B$3:$K$3,0)),0)*SUM(I160:I165)</f>
        <v>7.1775626599999995</v>
      </c>
      <c r="J166" s="128">
        <f>IF(AND(H166="",I166=""),"",H166+I166*+Usage!H$38/1000)</f>
        <v>3.9548370256599998</v>
      </c>
      <c r="K166" s="143">
        <f>IFERROR(J166/J167,"")</f>
        <v>6.8899691468387189E-2</v>
      </c>
      <c r="L166" s="143"/>
      <c r="M166" s="143">
        <f t="shared" si="88"/>
        <v>-0.12076072615574351</v>
      </c>
      <c r="N166" s="140"/>
      <c r="O166" s="128"/>
      <c r="P166" s="128" cm="1">
        <f t="array" ref="P166">IFERROR(INDEX('Detail inputs'!$B$3:$K$195,MATCH($B166&amp;$C166&amp;$E166&amp;$G166&amp;P$5,'Detail inputs'!$B$3:$B$195&amp;'Detail inputs'!$D$3:$D$195&amp;'Detail inputs'!$F$3:$F$195&amp;'Detail inputs'!$G$3:$G$195&amp;'Detail inputs'!$H$3:$H$195,0),MATCH(P$4,'Detail inputs'!$B$3:$K$3,0)),0)*SUM(P160:P165)</f>
        <v>6.3107949811500506</v>
      </c>
      <c r="Q166" s="128">
        <f t="shared" si="89"/>
        <v>3.4772480346136776</v>
      </c>
      <c r="R166" s="143">
        <f>IFERROR(Q166/Q167,"")</f>
        <v>5.5796540007277982E-2</v>
      </c>
      <c r="S166" s="143"/>
      <c r="T166" s="143"/>
      <c r="U166" s="143"/>
      <c r="V166" s="143"/>
      <c r="W166" s="143"/>
      <c r="X166" s="143"/>
      <c r="Y166" s="143"/>
      <c r="Z166" s="143"/>
      <c r="AA166" s="143"/>
      <c r="AB166" s="143"/>
      <c r="AC166" s="143"/>
      <c r="AD166" s="143"/>
      <c r="AE166" s="143"/>
      <c r="AF166" s="143"/>
      <c r="AG166" s="143"/>
      <c r="AH166" s="143"/>
      <c r="AI166" s="143"/>
      <c r="AJ166" s="143"/>
    </row>
    <row r="167" spans="2:36" x14ac:dyDescent="0.25">
      <c r="B167" s="3" t="str">
        <f t="shared" si="90"/>
        <v>Energex</v>
      </c>
      <c r="C167" s="3" t="str">
        <f t="shared" si="86"/>
        <v>Residential</v>
      </c>
      <c r="D167" s="3" t="str">
        <f t="shared" si="87"/>
        <v>with CL</v>
      </c>
      <c r="E167" s="3" t="s">
        <v>14</v>
      </c>
      <c r="F167" s="131">
        <f t="array" ref="F167">IFERROR(INDEX(Usage!$B$5:$P$18,MATCH($B167,Usage!$B$5:$B$18,0),MATCH($C167&amp;$D167&amp;$E167,Usage!$B$5:$S$5&amp;Usage!$B$6:$S$6&amp;Usage!$B$7:$S$7,0)),0)</f>
        <v>551</v>
      </c>
      <c r="G167" s="5" t="s">
        <v>55</v>
      </c>
      <c r="H167" s="130"/>
      <c r="I167" s="130">
        <v>104.17409000000001</v>
      </c>
      <c r="J167" s="130">
        <f>IF(AND(H167="",I167=""),"",H167+I167*+Usage!H$38/1000)</f>
        <v>57.399923590000007</v>
      </c>
      <c r="K167" s="145"/>
      <c r="L167" s="152"/>
      <c r="M167" s="145">
        <f t="shared" si="88"/>
        <v>8.5718123146278025E-2</v>
      </c>
      <c r="N167" s="150"/>
      <c r="O167" s="130"/>
      <c r="P167" s="130">
        <f>SUM(P160:P166)</f>
        <v>113.10369747527146</v>
      </c>
      <c r="Q167" s="130">
        <f t="shared" si="89"/>
        <v>62.320137308874578</v>
      </c>
      <c r="R167" s="145"/>
      <c r="S167" s="145"/>
      <c r="T167" s="145"/>
      <c r="U167" s="145"/>
      <c r="V167" s="145"/>
      <c r="W167" s="145"/>
      <c r="X167" s="145"/>
      <c r="Y167" s="145"/>
      <c r="Z167" s="145"/>
      <c r="AA167" s="145"/>
      <c r="AB167" s="145"/>
      <c r="AC167" s="145"/>
      <c r="AD167" s="145"/>
      <c r="AE167" s="145"/>
      <c r="AF167" s="145"/>
      <c r="AG167" s="145"/>
      <c r="AH167" s="145"/>
      <c r="AI167" s="145"/>
      <c r="AJ167" s="145"/>
    </row>
    <row r="168" spans="2:36" x14ac:dyDescent="0.25">
      <c r="B168" s="3" t="str">
        <f t="shared" si="90"/>
        <v>Energex</v>
      </c>
      <c r="C168" s="3" t="str">
        <f t="shared" si="86"/>
        <v>Residential</v>
      </c>
      <c r="D168" s="3" t="str">
        <f t="shared" si="87"/>
        <v>with CL</v>
      </c>
      <c r="E168" s="3" t="s">
        <v>15</v>
      </c>
      <c r="F168" s="131">
        <f t="array" ref="F168">IFERROR(INDEX(Usage!$B$5:$P$18,MATCH($B168,Usage!$B$5:$B$18,0),MATCH($C168&amp;$D168&amp;$E168,Usage!$B$5:$S$5&amp;Usage!$B$6:$S$6&amp;Usage!$B$7:$S$7,0)),0)</f>
        <v>1349</v>
      </c>
      <c r="G168" s="3" t="s">
        <v>70</v>
      </c>
      <c r="H168" s="128"/>
      <c r="I168" s="128">
        <f t="array" ref="I168">IFERROR(INDEX('Detail inputs'!$B$3:$K$195,MATCH($B168&amp;$C168&amp;$E168&amp;$G168&amp;I$5,'Detail inputs'!$B$3:$B$195&amp;'Detail inputs'!$D$3:$D$195&amp;'Detail inputs'!$F$3:$F$195&amp;'Detail inputs'!$G$3:$G$195&amp;'Detail inputs'!$H$3:$H$195,0),MATCH(I$4,'Detail inputs'!$B$3:$K$3,0)),0)</f>
        <v>101.83</v>
      </c>
      <c r="J168" s="128">
        <f>IF(AND(H168="",I168=""),"",H168+I168*+Usage!I$38/1000)</f>
        <v>137.36866999999998</v>
      </c>
      <c r="K168" s="144">
        <f>IFERROR(J168/J175,"")</f>
        <v>0.90431883957323389</v>
      </c>
      <c r="L168" s="144"/>
      <c r="M168" s="144">
        <f t="shared" si="88"/>
        <v>6.7195325542571238E-2</v>
      </c>
      <c r="N168" s="141"/>
      <c r="O168" s="128"/>
      <c r="P168" s="128">
        <f t="array" ref="P168">IFERROR(INDEX('Detail inputs'!$B$3:$K$195,MATCH($B168&amp;$C168&amp;$E168&amp;$G168&amp;P$5,'Detail inputs'!$B$3:$B$195&amp;'Detail inputs'!$D$3:$D$195&amp;'Detail inputs'!$F$3:$F$195&amp;'Detail inputs'!$G$3:$G$195&amp;'Detail inputs'!$H$3:$H$195,0),MATCH(P$4,'Detail inputs'!$B$3:$K$3,0)),0)</f>
        <v>108.67250000000001</v>
      </c>
      <c r="Q168" s="128">
        <f t="shared" ref="Q168:Q175" si="93">IF(AND(O168="",P168=""),"",O168+P168*$F168/1000)</f>
        <v>146.59920250000002</v>
      </c>
      <c r="R168" s="144">
        <f>IFERROR(Q168/Q175,"")</f>
        <v>0.90599607830085671</v>
      </c>
      <c r="S168" s="144"/>
      <c r="T168" s="378"/>
      <c r="U168" s="144"/>
      <c r="V168" s="144"/>
      <c r="W168" s="144"/>
      <c r="X168" s="144"/>
      <c r="Y168" s="144"/>
      <c r="Z168" s="144"/>
      <c r="AA168" s="144"/>
      <c r="AB168" s="144"/>
      <c r="AC168" s="144"/>
      <c r="AD168" s="144"/>
      <c r="AE168" s="144"/>
      <c r="AF168" s="144"/>
      <c r="AG168" s="144"/>
      <c r="AH168" s="144"/>
      <c r="AI168" s="144"/>
      <c r="AJ168" s="144"/>
    </row>
    <row r="169" spans="2:36" x14ac:dyDescent="0.25">
      <c r="B169" s="3" t="str">
        <f t="shared" si="90"/>
        <v>Energex</v>
      </c>
      <c r="C169" s="3" t="str">
        <f t="shared" si="86"/>
        <v>Residential</v>
      </c>
      <c r="D169" s="3" t="str">
        <f t="shared" si="87"/>
        <v>with CL</v>
      </c>
      <c r="E169" s="3" t="s">
        <v>15</v>
      </c>
      <c r="F169" s="131">
        <f t="array" ref="F169">IFERROR(INDEX(Usage!$B$5:$P$18,MATCH($B169,Usage!$B$5:$B$18,0),MATCH($C169&amp;$D169&amp;$E169,Usage!$B$5:$S$5&amp;Usage!$B$6:$S$6&amp;Usage!$B$7:$S$7,0)),0)</f>
        <v>1349</v>
      </c>
      <c r="G169" s="3" t="s">
        <v>71</v>
      </c>
      <c r="H169" s="128"/>
      <c r="I169" s="128">
        <f t="array" ref="I169">IFERROR(INDEX('Detail inputs'!$B$3:$K$195,MATCH($B169&amp;$G169&amp;I$5,'Detail inputs'!$B$3:$B$195&amp;'Detail inputs'!$G$3:$G$195&amp;'Detail inputs'!$H$3:$H$195,0),MATCH(I$4,'Detail inputs'!$B$3:$K$3,0)),0)</f>
        <v>0.21</v>
      </c>
      <c r="J169" s="128">
        <f>IF(AND(H169="",I169=""),"",H169+I169*+Usage!I$38/1000)</f>
        <v>0.28328999999999999</v>
      </c>
      <c r="K169" s="144">
        <f>IFERROR(J169/J175,"")</f>
        <v>1.8649411402374462E-3</v>
      </c>
      <c r="L169" s="144"/>
      <c r="M169" s="144">
        <f t="shared" si="88"/>
        <v>2.5005388920205189</v>
      </c>
      <c r="N169" s="141"/>
      <c r="O169" s="128"/>
      <c r="P169" s="128">
        <f t="array" ref="P169">IFERROR(INDEX('Detail inputs'!$B$3:$K$195,MATCH($B169&amp;$G169&amp;P$5,'Detail inputs'!$B$3:$B$195&amp;'Detail inputs'!$G$3:$G$195&amp;'Detail inputs'!$H$3:$H$195,0),MATCH(P$4,'Detail inputs'!$B$3:$K$3,0)),0)</f>
        <v>0.73511316732430898</v>
      </c>
      <c r="Q169" s="128">
        <f t="shared" si="93"/>
        <v>0.99166766272049278</v>
      </c>
      <c r="R169" s="144">
        <f>IFERROR(Q169/Q175,"")</f>
        <v>6.1285941402208039E-3</v>
      </c>
      <c r="S169" s="144"/>
      <c r="T169" s="144"/>
      <c r="U169" s="144"/>
      <c r="V169" s="144"/>
      <c r="W169" s="144"/>
      <c r="X169" s="144"/>
      <c r="Y169" s="144"/>
      <c r="Z169" s="144"/>
      <c r="AA169" s="144"/>
      <c r="AB169" s="144"/>
      <c r="AC169" s="144"/>
      <c r="AD169" s="144"/>
      <c r="AE169" s="144"/>
      <c r="AF169" s="144"/>
      <c r="AG169" s="144"/>
      <c r="AH169" s="144"/>
      <c r="AI169" s="144"/>
      <c r="AJ169" s="144"/>
    </row>
    <row r="170" spans="2:36" x14ac:dyDescent="0.25">
      <c r="B170" s="3" t="str">
        <f t="shared" si="90"/>
        <v>Energex</v>
      </c>
      <c r="C170" s="3" t="str">
        <f t="shared" si="86"/>
        <v>Residential</v>
      </c>
      <c r="D170" s="3" t="str">
        <f t="shared" si="87"/>
        <v>with CL</v>
      </c>
      <c r="E170" s="3" t="s">
        <v>15</v>
      </c>
      <c r="F170" s="131">
        <f t="array" ref="F170">IFERROR(INDEX(Usage!$B$5:$P$18,MATCH($B170,Usage!$B$5:$B$18,0),MATCH($C170&amp;$D170&amp;$E170,Usage!$B$5:$S$5&amp;Usage!$B$6:$S$6&amp;Usage!$B$7:$S$7,0)),0)</f>
        <v>1349</v>
      </c>
      <c r="G170" s="3" t="s">
        <v>78</v>
      </c>
      <c r="H170" s="128"/>
      <c r="I170" s="128">
        <f t="array" ref="I170">IFERROR(INDEX('Detail inputs'!$B$3:$K$195,MATCH($B170&amp;$G170&amp;I$5,'Detail inputs'!$B$3:$B$195&amp;'Detail inputs'!$G$3:$G$195&amp;'Detail inputs'!$H$3:$H$195,0),MATCH(I$4,'Detail inputs'!$B$3:$K$3,0)),0)</f>
        <v>0.50409000000000004</v>
      </c>
      <c r="J170" s="128">
        <f>IF(AND(H170="",I170=""),"",H170+I170*+Usage!I$38/1000)</f>
        <v>0.68001741000000004</v>
      </c>
      <c r="K170" s="144">
        <f>IFERROR(J170/J175,"")</f>
        <v>4.4766579970585444E-3</v>
      </c>
      <c r="L170" s="144"/>
      <c r="M170" s="144">
        <f t="shared" ref="M170:M176" si="94">IF(OR(J170=0,Q170=""),"",Q170/J170-1)</f>
        <v>0.13953857446090967</v>
      </c>
      <c r="N170" s="141"/>
      <c r="O170" s="128"/>
      <c r="P170" s="128">
        <f t="array" ref="P170">IFERROR(INDEX('Detail inputs'!$B$3:$K$195,MATCH($B170&amp;$G170&amp;P$5,'Detail inputs'!$B$3:$B$195&amp;'Detail inputs'!$G$3:$G$195&amp;'Detail inputs'!$H$3:$H$195,0),MATCH(P$4,'Detail inputs'!$B$3:$K$3,0)),0)</f>
        <v>0.57443</v>
      </c>
      <c r="Q170" s="128">
        <f t="shared" si="93"/>
        <v>0.77490607</v>
      </c>
      <c r="R170" s="144">
        <f>IFERROR(Q170/Q175,"")</f>
        <v>4.788988265277426E-3</v>
      </c>
      <c r="S170" s="144"/>
      <c r="T170" s="144"/>
      <c r="U170" s="144"/>
      <c r="V170" s="144"/>
      <c r="W170" s="144"/>
      <c r="X170" s="144"/>
      <c r="Y170" s="144"/>
      <c r="Z170" s="144"/>
      <c r="AA170" s="144"/>
      <c r="AB170" s="144"/>
      <c r="AC170" s="144"/>
      <c r="AD170" s="144"/>
      <c r="AE170" s="144"/>
      <c r="AF170" s="144"/>
      <c r="AG170" s="144"/>
      <c r="AH170" s="144"/>
      <c r="AI170" s="144"/>
      <c r="AJ170" s="144"/>
    </row>
    <row r="171" spans="2:36" x14ac:dyDescent="0.25">
      <c r="B171" s="3" t="str">
        <f t="shared" si="90"/>
        <v>Energex</v>
      </c>
      <c r="C171" s="3" t="str">
        <f t="shared" si="86"/>
        <v>Residential</v>
      </c>
      <c r="D171" s="3" t="str">
        <f t="shared" si="87"/>
        <v>with CL</v>
      </c>
      <c r="E171" s="3" t="s">
        <v>15</v>
      </c>
      <c r="F171" s="131">
        <f t="array" ref="F171">IFERROR(INDEX(Usage!$B$5:$P$18,MATCH($B171,Usage!$B$5:$B$18,0),MATCH($C171&amp;$D171&amp;$E171,Usage!$B$5:$S$5&amp;Usage!$B$6:$S$6&amp;Usage!$B$7:$S$7,0)),0)</f>
        <v>1349</v>
      </c>
      <c r="G171" s="3" t="s">
        <v>72</v>
      </c>
      <c r="H171" s="128"/>
      <c r="I171" s="128">
        <f t="array" ref="I171">IFERROR(INDEX('Detail inputs'!$B$3:$K$195,MATCH($B171&amp;$G171&amp;I$5,'Detail inputs'!$B$3:$B$195&amp;'Detail inputs'!$G$3:$G$195&amp;'Detail inputs'!$H$3:$H$195,0),MATCH(I$4,'Detail inputs'!$B$3:$K$3,0)),0)</f>
        <v>0</v>
      </c>
      <c r="J171" s="128">
        <f>IF(AND(H171="",I171=""),"",H171+I171*+Usage!I$38/1000)</f>
        <v>0</v>
      </c>
      <c r="K171" s="144">
        <f>IFERROR(J171/J175,"")</f>
        <v>0</v>
      </c>
      <c r="L171" s="144"/>
      <c r="M171" s="144" t="str">
        <f t="shared" si="94"/>
        <v/>
      </c>
      <c r="N171" s="141"/>
      <c r="O171" s="128"/>
      <c r="P171" s="128">
        <f t="array" ref="P171">IFERROR(INDEX('Detail inputs'!$B$3:$K$195,MATCH($B171&amp;$G171&amp;P$5,'Detail inputs'!$B$3:$B$195&amp;'Detail inputs'!$G$3:$G$195&amp;'Detail inputs'!$H$3:$H$195,0),MATCH(P$4,'Detail inputs'!$B$3:$K$3,0)),0)</f>
        <v>0</v>
      </c>
      <c r="Q171" s="128">
        <f t="shared" si="93"/>
        <v>0</v>
      </c>
      <c r="R171" s="144">
        <f>IFERROR(Q171/Q175,"")</f>
        <v>0</v>
      </c>
      <c r="S171" s="144"/>
      <c r="T171" s="144"/>
      <c r="U171" s="144"/>
      <c r="V171" s="144"/>
      <c r="W171" s="144"/>
      <c r="X171" s="144"/>
      <c r="Y171" s="144"/>
      <c r="Z171" s="144"/>
      <c r="AA171" s="144"/>
      <c r="AB171" s="144"/>
      <c r="AC171" s="144"/>
      <c r="AD171" s="144"/>
      <c r="AE171" s="144"/>
      <c r="AF171" s="144"/>
      <c r="AG171" s="144"/>
      <c r="AH171" s="144"/>
      <c r="AI171" s="144"/>
      <c r="AJ171" s="144"/>
    </row>
    <row r="172" spans="2:36" x14ac:dyDescent="0.25">
      <c r="B172" s="3" t="str">
        <f t="shared" si="90"/>
        <v>Energex</v>
      </c>
      <c r="C172" s="3" t="str">
        <f t="shared" si="86"/>
        <v>Residential</v>
      </c>
      <c r="D172" s="3" t="str">
        <f t="shared" si="87"/>
        <v>with CL</v>
      </c>
      <c r="E172" s="3" t="s">
        <v>15</v>
      </c>
      <c r="F172" s="131">
        <f t="array" ref="F172">IFERROR(INDEX(Usage!$B$5:$P$18,MATCH($B172,Usage!$B$5:$B$18,0),MATCH($C172&amp;$D172&amp;$E172,Usage!$B$5:$S$5&amp;Usage!$B$6:$S$6&amp;Usage!$B$7:$S$7,0)),0)</f>
        <v>1349</v>
      </c>
      <c r="G172" s="3" t="str">
        <f>+G164</f>
        <v>June 2022 Event Cost</v>
      </c>
      <c r="H172" s="128"/>
      <c r="I172" s="128">
        <f t="array" ref="I172">IFERROR(INDEX('Detail inputs'!$B$3:$K$195,MATCH($B172&amp;$G172&amp;I$5,'Detail inputs'!$B$3:$B$195&amp;'Detail inputs'!$G$3:$G$195&amp;'Detail inputs'!$H$3:$H$195,0),MATCH(I$4,'Detail inputs'!$B$3:$K$3,0)),0)</f>
        <v>0</v>
      </c>
      <c r="J172" s="128">
        <f>IF(AND(H172="",I172=""),"",H172+I172*+Usage!I$38/1000)</f>
        <v>0</v>
      </c>
      <c r="K172" s="144">
        <f>IFERROR(J172/J176,"")</f>
        <v>0</v>
      </c>
      <c r="L172" s="144"/>
      <c r="M172" s="144" t="str">
        <f t="shared" ref="M172" si="95">IF(OR(J172=0,Q172=""),"",Q172/J172-1)</f>
        <v/>
      </c>
      <c r="N172" s="141"/>
      <c r="O172" s="128"/>
      <c r="P172" s="128">
        <f t="array" ref="P172">IFERROR(INDEX('Detail inputs'!$B$3:$K$195,MATCH($B172&amp;$G172&amp;P$5,'Detail inputs'!$B$3:$B$195&amp;'Detail inputs'!$G$3:$G$195&amp;'Detail inputs'!$H$3:$H$195,0),MATCH(P$4,'Detail inputs'!$B$3:$K$3,0)),0)</f>
        <v>0</v>
      </c>
      <c r="Q172" s="128">
        <f t="shared" ref="Q172" si="96">IF(AND(O172="",P172=""),"",O172+P172*$F172/1000)</f>
        <v>0</v>
      </c>
      <c r="R172" s="144">
        <f>IFERROR(Q172/Q176,"")</f>
        <v>0</v>
      </c>
      <c r="S172" s="144"/>
      <c r="T172" s="144"/>
      <c r="U172" s="144"/>
      <c r="V172" s="144"/>
      <c r="W172" s="144"/>
      <c r="X172" s="144"/>
      <c r="Y172" s="144"/>
      <c r="Z172" s="144"/>
      <c r="AA172" s="144"/>
      <c r="AB172" s="144"/>
      <c r="AC172" s="144"/>
      <c r="AD172" s="144"/>
      <c r="AE172" s="144"/>
      <c r="AF172" s="144"/>
      <c r="AG172" s="144"/>
      <c r="AH172" s="144"/>
      <c r="AI172" s="144"/>
      <c r="AJ172" s="144"/>
    </row>
    <row r="173" spans="2:36" x14ac:dyDescent="0.25">
      <c r="B173" s="3" t="str">
        <f t="shared" si="90"/>
        <v>Energex</v>
      </c>
      <c r="C173" s="3" t="str">
        <f t="shared" si="86"/>
        <v>Residential</v>
      </c>
      <c r="D173" s="3" t="str">
        <f t="shared" si="87"/>
        <v>with CL</v>
      </c>
      <c r="E173" s="3" t="s">
        <v>15</v>
      </c>
      <c r="F173" s="131">
        <f t="array" ref="F173">IFERROR(INDEX(Usage!$B$5:$P$18,MATCH($B173,Usage!$B$5:$B$18,0),MATCH($C173&amp;$D173&amp;$E173,Usage!$B$5:$S$5&amp;Usage!$B$6:$S$6&amp;Usage!$B$7:$S$7,0)),0)</f>
        <v>1349</v>
      </c>
      <c r="G173" s="3" t="s">
        <v>135</v>
      </c>
      <c r="H173" s="128"/>
      <c r="I173" s="128">
        <f t="array" ref="I173">IFERROR(INDEX('Detail inputs'!$B$3:$K$195,MATCH($B173&amp;$G173&amp;I$5,'Detail inputs'!$B$3:$B$195&amp;'Detail inputs'!$G$3:$G$195&amp;'Detail inputs'!$H$3:$H$195,0),MATCH(I$4,'Detail inputs'!$B$3:$K$3,0)),0)</f>
        <v>2.2999999999999998</v>
      </c>
      <c r="J173" s="128">
        <f>IF(AND(H173="",I173=""),"",H173+I173*+Usage!I$38/1000)</f>
        <v>3.1027</v>
      </c>
      <c r="K173" s="144">
        <f>IFERROR(J173/J175,"")</f>
        <v>2.0425545821648221E-2</v>
      </c>
      <c r="L173" s="144"/>
      <c r="M173" s="144">
        <f t="shared" si="94"/>
        <v>0.42319970730308265</v>
      </c>
      <c r="N173" s="141"/>
      <c r="O173" s="128"/>
      <c r="P173" s="128">
        <f t="array" ref="P173">IFERROR(INDEX('Detail inputs'!$B$3:$K$195,MATCH($B173&amp;$G173&amp;P$5,'Detail inputs'!$B$3:$B$195&amp;'Detail inputs'!$G$3:$G$195&amp;'Detail inputs'!$H$3:$H$195,0),MATCH(P$4,'Detail inputs'!$B$3:$K$3,0)),0)</f>
        <v>3.27335932679709</v>
      </c>
      <c r="Q173" s="128">
        <f t="shared" si="93"/>
        <v>4.4157617318492743</v>
      </c>
      <c r="R173" s="144">
        <f>IFERROR(Q173/Q175,"")</f>
        <v>2.7289799286366795E-2</v>
      </c>
      <c r="S173" s="144"/>
      <c r="T173" s="144"/>
      <c r="U173" s="144"/>
      <c r="V173" s="144"/>
      <c r="W173" s="144"/>
      <c r="X173" s="144"/>
      <c r="Y173" s="144"/>
      <c r="Z173" s="144"/>
      <c r="AA173" s="144"/>
      <c r="AB173" s="144"/>
      <c r="AC173" s="144"/>
      <c r="AD173" s="144"/>
      <c r="AE173" s="144"/>
      <c r="AF173" s="144"/>
      <c r="AG173" s="144"/>
      <c r="AH173" s="144"/>
      <c r="AI173" s="144"/>
      <c r="AJ173" s="144"/>
    </row>
    <row r="174" spans="2:36" x14ac:dyDescent="0.25">
      <c r="B174" s="3" t="str">
        <f t="shared" si="90"/>
        <v>Energex</v>
      </c>
      <c r="C174" s="3" t="str">
        <f t="shared" si="86"/>
        <v>Residential</v>
      </c>
      <c r="D174" s="3" t="str">
        <f t="shared" si="87"/>
        <v>with CL</v>
      </c>
      <c r="E174" s="3" t="s">
        <v>15</v>
      </c>
      <c r="F174" s="131">
        <f t="array" ref="F174">IFERROR(INDEX(Usage!$B$5:$P$18,MATCH($B174,Usage!$B$5:$B$18,0),MATCH($C174&amp;$D174&amp;$E174,Usage!$B$5:$S$5&amp;Usage!$B$6:$S$6&amp;Usage!$B$7:$S$7,0)),0)</f>
        <v>1349</v>
      </c>
      <c r="G174" s="3" t="s">
        <v>73</v>
      </c>
      <c r="H174" s="128"/>
      <c r="I174" s="128" cm="1">
        <f t="array" ref="I174">IFERROR(INDEX('Detail inputs'!$B$3:$K$195,MATCH($B174&amp;$C174&amp;$E174&amp;$G174&amp;I$5,'Detail inputs'!$B$3:$B$195&amp;'Detail inputs'!$D$3:$D$195&amp;'Detail inputs'!$F$3:$F$195&amp;'Detail inputs'!$G$3:$G$195&amp;'Detail inputs'!$H$3:$H$195,0),MATCH(I$4,'Detail inputs'!$B$3:$K$3,0)),0)*SUM(I168:I173)</f>
        <v>7.7584626599999993</v>
      </c>
      <c r="J174" s="128">
        <f>IF(AND(H174="",I174=""),"",H174+I174*+Usage!I$38/1000)</f>
        <v>10.466166128339999</v>
      </c>
      <c r="K174" s="144">
        <f>IFERROR(J174/J175,"")</f>
        <v>6.8900362855381189E-2</v>
      </c>
      <c r="L174" s="144"/>
      <c r="M174" s="144">
        <f t="shared" si="94"/>
        <v>-0.137369251002462</v>
      </c>
      <c r="N174" s="141"/>
      <c r="O174" s="128"/>
      <c r="P174" s="128" cm="1">
        <f t="array" ref="P174">IFERROR(INDEX('Detail inputs'!$B$3:$K$195,MATCH($B174&amp;$C174&amp;$E174&amp;$G174&amp;P$5,'Detail inputs'!$B$3:$B$195&amp;'Detail inputs'!$D$3:$D$195&amp;'Detail inputs'!$F$3:$F$195&amp;'Detail inputs'!$G$3:$G$195&amp;'Detail inputs'!$H$3:$H$195,0),MATCH(P$4,'Detail inputs'!$B$3:$K$3,0)),0)*SUM(P168:P173)</f>
        <v>6.6926884554652313</v>
      </c>
      <c r="Q174" s="128">
        <f t="shared" si="93"/>
        <v>9.028436726422596</v>
      </c>
      <c r="R174" s="144">
        <f>IFERROR(Q174/Q175,"")</f>
        <v>5.5796540007277982E-2</v>
      </c>
      <c r="S174" s="144"/>
      <c r="T174" s="144"/>
      <c r="U174" s="144"/>
      <c r="V174" s="144"/>
      <c r="W174" s="144"/>
      <c r="X174" s="144"/>
      <c r="Y174" s="144"/>
      <c r="Z174" s="144"/>
      <c r="AA174" s="144"/>
      <c r="AB174" s="144"/>
      <c r="AC174" s="144"/>
      <c r="AD174" s="144"/>
      <c r="AE174" s="144"/>
      <c r="AF174" s="144"/>
      <c r="AG174" s="144"/>
      <c r="AH174" s="144"/>
      <c r="AI174" s="144"/>
      <c r="AJ174" s="144"/>
    </row>
    <row r="175" spans="2:36" x14ac:dyDescent="0.25">
      <c r="B175" s="3" t="str">
        <f t="shared" si="90"/>
        <v>Energex</v>
      </c>
      <c r="C175" s="3" t="str">
        <f t="shared" si="86"/>
        <v>Residential</v>
      </c>
      <c r="D175" s="3" t="str">
        <f t="shared" si="87"/>
        <v>with CL</v>
      </c>
      <c r="E175" s="3" t="s">
        <v>15</v>
      </c>
      <c r="F175" s="131">
        <f t="array" ref="F175">IFERROR(INDEX(Usage!$B$5:$P$18,MATCH($B175,Usage!$B$5:$B$18,0),MATCH($C175&amp;$D175&amp;$E175,Usage!$B$5:$S$5&amp;Usage!$B$6:$S$6&amp;Usage!$B$7:$S$7,0)),0)</f>
        <v>1349</v>
      </c>
      <c r="G175" s="5" t="s">
        <v>55</v>
      </c>
      <c r="H175" s="130"/>
      <c r="I175" s="130">
        <v>112.60409</v>
      </c>
      <c r="J175" s="130">
        <f>IF(AND(H175="",I175=""),"",H175+I175*+Usage!I$38/1000)</f>
        <v>151.90291740999999</v>
      </c>
      <c r="K175" s="145"/>
      <c r="L175" s="152"/>
      <c r="M175" s="145">
        <f t="shared" si="94"/>
        <v>6.5219664308700409E-2</v>
      </c>
      <c r="N175" s="150"/>
      <c r="O175" s="130"/>
      <c r="P175" s="130">
        <f>SUM(P168:P174)</f>
        <v>119.94809094958666</v>
      </c>
      <c r="Q175" s="130">
        <f t="shared" si="93"/>
        <v>161.80997469099242</v>
      </c>
      <c r="R175" s="145"/>
      <c r="S175" s="145"/>
      <c r="T175" s="145"/>
      <c r="U175" s="145"/>
      <c r="V175" s="145"/>
      <c r="W175" s="145"/>
      <c r="X175" s="145"/>
      <c r="Y175" s="145"/>
      <c r="Z175" s="145"/>
      <c r="AA175" s="145"/>
      <c r="AB175" s="145"/>
      <c r="AC175" s="145"/>
      <c r="AD175" s="145"/>
      <c r="AE175" s="145"/>
      <c r="AF175" s="145"/>
      <c r="AG175" s="145"/>
      <c r="AH175" s="145"/>
      <c r="AI175" s="145"/>
      <c r="AJ175" s="145"/>
    </row>
    <row r="176" spans="2:36" x14ac:dyDescent="0.25">
      <c r="B176" s="3" t="str">
        <f t="shared" si="90"/>
        <v>Energex</v>
      </c>
      <c r="C176" s="3" t="str">
        <f t="shared" si="86"/>
        <v>Residential</v>
      </c>
      <c r="D176" s="3" t="str">
        <f t="shared" si="87"/>
        <v>with CL</v>
      </c>
      <c r="E176" s="3" t="s">
        <v>55</v>
      </c>
      <c r="F176" s="131">
        <f t="array" ref="F176">IFERROR(INDEX(Usage!$B$5:$P$18,MATCH($B176,Usage!$B$5:$B$18,0),MATCH($C176&amp;$D176&amp;$E176,Usage!$B$5:$S$5&amp;Usage!$B$6:$S$6&amp;Usage!$B$7:$S$7,0)),0)</f>
        <v>6300</v>
      </c>
      <c r="G176" s="5" t="s">
        <v>55</v>
      </c>
      <c r="H176" s="130"/>
      <c r="I176" s="130"/>
      <c r="J176" s="130">
        <f>J159+J167+J175</f>
        <v>947.09461557142856</v>
      </c>
      <c r="K176" s="145"/>
      <c r="L176" s="152"/>
      <c r="M176" s="145">
        <f t="shared" si="94"/>
        <v>1.4956075412587255E-2</v>
      </c>
      <c r="N176" s="150"/>
      <c r="O176" s="130"/>
      <c r="P176" s="130"/>
      <c r="Q176" s="130">
        <f>Q159+Q167+Q175</f>
        <v>961.25943406477018</v>
      </c>
      <c r="R176" s="145"/>
      <c r="S176" s="145"/>
      <c r="T176" s="145"/>
      <c r="U176" s="145"/>
      <c r="V176" s="145"/>
      <c r="W176" s="145"/>
      <c r="X176" s="145"/>
      <c r="Y176" s="145"/>
      <c r="Z176" s="145"/>
      <c r="AA176" s="145"/>
      <c r="AB176" s="145"/>
      <c r="AC176" s="145"/>
      <c r="AD176" s="145"/>
      <c r="AE176" s="145"/>
      <c r="AF176" s="145"/>
      <c r="AG176" s="145"/>
      <c r="AH176" s="145"/>
      <c r="AI176" s="145"/>
      <c r="AJ176" s="145"/>
    </row>
    <row r="177" spans="2:36" x14ac:dyDescent="0.25">
      <c r="B177" s="3" t="str">
        <f t="shared" si="90"/>
        <v>Energex</v>
      </c>
      <c r="C177" s="3" t="str">
        <f t="shared" si="86"/>
        <v>Residential</v>
      </c>
      <c r="D177" s="3" t="str">
        <f t="shared" si="87"/>
        <v>with CL</v>
      </c>
      <c r="F177" s="131"/>
      <c r="G177" s="3" t="s">
        <v>38</v>
      </c>
      <c r="H177" s="128"/>
      <c r="I177" s="128"/>
      <c r="J177" s="128">
        <f>J176*GST</f>
        <v>94.709461557142859</v>
      </c>
      <c r="K177" s="144"/>
      <c r="L177" s="151"/>
      <c r="M177" s="144"/>
      <c r="N177" s="149"/>
      <c r="O177" s="128"/>
      <c r="P177" s="128"/>
      <c r="Q177" s="128">
        <f>Q176*GST</f>
        <v>96.12594340647702</v>
      </c>
      <c r="R177" s="145"/>
      <c r="S177" s="145"/>
      <c r="T177" s="145"/>
      <c r="U177" s="145"/>
      <c r="V177" s="145"/>
      <c r="W177" s="145"/>
      <c r="X177" s="145"/>
      <c r="Y177" s="145"/>
      <c r="Z177" s="145"/>
      <c r="AA177" s="145"/>
      <c r="AB177" s="145"/>
      <c r="AC177" s="145"/>
      <c r="AD177" s="145"/>
      <c r="AE177" s="145"/>
      <c r="AF177" s="145"/>
      <c r="AG177" s="145"/>
      <c r="AH177" s="145"/>
      <c r="AI177" s="145"/>
      <c r="AJ177" s="145"/>
    </row>
    <row r="178" spans="2:36" x14ac:dyDescent="0.25">
      <c r="B178" s="3" t="str">
        <f t="shared" si="90"/>
        <v>Energex</v>
      </c>
      <c r="C178" s="3" t="str">
        <f t="shared" si="86"/>
        <v>Residential</v>
      </c>
      <c r="D178" s="3" t="str">
        <f t="shared" si="87"/>
        <v>with CL</v>
      </c>
      <c r="F178" s="131"/>
      <c r="G178" s="5" t="s">
        <v>80</v>
      </c>
      <c r="H178" s="130"/>
      <c r="I178" s="130"/>
      <c r="J178" s="130">
        <f>SUM(J176:J177)</f>
        <v>1041.8040771285714</v>
      </c>
      <c r="K178" s="145"/>
      <c r="L178" s="152"/>
      <c r="M178" s="145">
        <f>IF(OR(J178=0,Q178=""),"",Q178/J178-1)</f>
        <v>1.4956075412587255E-2</v>
      </c>
      <c r="N178" s="150"/>
      <c r="O178" s="130"/>
      <c r="P178" s="130"/>
      <c r="Q178" s="130">
        <f>SUM(Q176:Q177)</f>
        <v>1057.3853774712472</v>
      </c>
      <c r="R178" s="145"/>
      <c r="S178" s="145"/>
      <c r="T178" s="145"/>
      <c r="U178" s="145"/>
      <c r="V178" s="145"/>
      <c r="W178" s="145"/>
      <c r="X178" s="145"/>
      <c r="Y178" s="145"/>
      <c r="Z178" s="145"/>
      <c r="AA178" s="145"/>
      <c r="AB178" s="145"/>
      <c r="AC178" s="145"/>
      <c r="AD178" s="145"/>
      <c r="AE178" s="145"/>
      <c r="AF178" s="145"/>
      <c r="AG178" s="145"/>
      <c r="AH178" s="145"/>
      <c r="AI178" s="145"/>
      <c r="AJ178" s="145"/>
    </row>
    <row r="179" spans="2:36" x14ac:dyDescent="0.25">
      <c r="F179" s="131"/>
      <c r="H179" s="128"/>
      <c r="I179" s="128"/>
      <c r="J179" s="128"/>
      <c r="K179" s="143"/>
      <c r="L179" s="151"/>
      <c r="M179" s="143"/>
      <c r="N179" s="149"/>
      <c r="O179" s="128"/>
      <c r="P179" s="128"/>
      <c r="Q179" s="128"/>
      <c r="R179" s="143"/>
      <c r="S179" s="143"/>
      <c r="T179" s="143"/>
      <c r="U179" s="143"/>
      <c r="V179" s="143"/>
      <c r="W179" s="143"/>
      <c r="X179" s="143"/>
      <c r="Y179" s="143"/>
      <c r="Z179" s="143"/>
      <c r="AA179" s="143"/>
      <c r="AB179" s="143"/>
      <c r="AC179" s="143"/>
      <c r="AD179" s="143"/>
      <c r="AE179" s="143"/>
      <c r="AF179" s="143"/>
      <c r="AG179" s="143"/>
      <c r="AH179" s="143"/>
      <c r="AI179" s="143"/>
      <c r="AJ179" s="143"/>
    </row>
    <row r="180" spans="2:36" x14ac:dyDescent="0.25">
      <c r="B180" s="5" t="s">
        <v>0</v>
      </c>
      <c r="C180" s="5" t="s">
        <v>13</v>
      </c>
      <c r="D180" s="5" t="s">
        <v>127</v>
      </c>
      <c r="F180" s="131"/>
      <c r="H180" s="128"/>
      <c r="I180" s="128"/>
      <c r="J180" s="128"/>
      <c r="K180" s="143"/>
      <c r="L180" s="151"/>
      <c r="M180" s="143"/>
      <c r="N180" s="149"/>
      <c r="O180" s="128"/>
      <c r="P180" s="128"/>
      <c r="Q180" s="128"/>
      <c r="R180" s="143"/>
      <c r="S180" s="143"/>
      <c r="T180" s="143"/>
      <c r="U180" s="143"/>
      <c r="V180" s="143"/>
      <c r="W180" s="143"/>
      <c r="X180" s="143"/>
      <c r="Y180" s="143"/>
      <c r="Z180" s="143"/>
      <c r="AA180" s="143"/>
      <c r="AB180" s="143"/>
      <c r="AC180" s="143"/>
      <c r="AD180" s="143"/>
      <c r="AE180" s="143"/>
      <c r="AF180" s="143"/>
      <c r="AG180" s="143"/>
      <c r="AH180" s="143"/>
      <c r="AI180" s="143"/>
      <c r="AJ180" s="143"/>
    </row>
    <row r="181" spans="2:36" x14ac:dyDescent="0.25">
      <c r="B181" s="3" t="str">
        <f>B180</f>
        <v>Energex</v>
      </c>
      <c r="C181" s="3" t="str">
        <f t="shared" ref="C181:C190" si="97">C180</f>
        <v>Small business</v>
      </c>
      <c r="D181" s="3" t="str">
        <f t="shared" ref="D181:D190" si="98">D180</f>
        <v>without CL</v>
      </c>
      <c r="E181" s="3" t="s">
        <v>19</v>
      </c>
      <c r="F181" s="131">
        <f t="array" ref="F181">IFERROR(INDEX(Usage!$B$5:$P$18,MATCH($B181,Usage!$B$5:$B$18,0),MATCH($C181&amp;$D181&amp;$E181,Usage!$B$5:$S$5&amp;Usage!$B$6:$S$6&amp;Usage!$B$7:$S$7,0)),0)</f>
        <v>10000</v>
      </c>
      <c r="G181" s="3" t="s">
        <v>70</v>
      </c>
      <c r="H181" s="128"/>
      <c r="I181" s="128">
        <f t="array" ref="I181">IFERROR(INDEX('Detail inputs'!$B$3:$K$195,MATCH($B181&amp;$C181&amp;$E181&amp;$G181&amp;I$5,'Detail inputs'!$B$3:$B$195&amp;'Detail inputs'!$D$3:$D$195&amp;'Detail inputs'!$F$3:$F$195&amp;'Detail inputs'!$G$3:$G$195&amp;'Detail inputs'!$H$3:$H$195,0),MATCH(I$4,'Detail inputs'!$B$3:$K$3,0)),0)</f>
        <v>150.59</v>
      </c>
      <c r="J181" s="128">
        <f>IF(AND(H181="",I181=""),"",H181+I181*+Usage!M$38/1000)</f>
        <v>1505.9</v>
      </c>
      <c r="K181" s="143">
        <f>IFERROR(J181/J188,"")</f>
        <v>0.90626967779616718</v>
      </c>
      <c r="L181" s="143"/>
      <c r="M181" s="143">
        <f t="shared" ref="M181:M188" si="99">IF(OR(J181=0,Q181=""),"",Q181/J181-1)</f>
        <v>2.6562188724343905E-4</v>
      </c>
      <c r="N181" s="140"/>
      <c r="O181" s="128"/>
      <c r="P181" s="128">
        <f t="array" ref="P181">IFERROR(INDEX('Detail inputs'!$B$3:$K$195,MATCH($B181&amp;$C181&amp;$E181&amp;$G181&amp;P$5,'Detail inputs'!$B$3:$B$195&amp;'Detail inputs'!$D$3:$D$195&amp;'Detail inputs'!$F$3:$F$195&amp;'Detail inputs'!$G$3:$G$195&amp;'Detail inputs'!$H$3:$H$195,0),MATCH(P$4,'Detail inputs'!$B$3:$K$3,0)),0)</f>
        <v>150.63</v>
      </c>
      <c r="Q181" s="128">
        <f>IF(AND(O181="",P181=""),"",O181+P181*$F181/1000)</f>
        <v>1506.3</v>
      </c>
      <c r="R181" s="143">
        <f>IFERROR(Q181/Q188,"")</f>
        <v>0.90867662868447796</v>
      </c>
      <c r="S181" s="143"/>
      <c r="T181" s="378"/>
      <c r="U181" s="143"/>
      <c r="V181" s="143"/>
      <c r="W181" s="143"/>
      <c r="X181" s="143"/>
      <c r="Y181" s="143"/>
      <c r="Z181" s="143"/>
      <c r="AA181" s="143"/>
      <c r="AB181" s="143"/>
      <c r="AC181" s="143"/>
      <c r="AD181" s="143"/>
      <c r="AE181" s="143"/>
      <c r="AF181" s="143"/>
      <c r="AG181" s="143"/>
      <c r="AH181" s="143"/>
      <c r="AI181" s="143"/>
      <c r="AJ181" s="143"/>
    </row>
    <row r="182" spans="2:36" x14ac:dyDescent="0.25">
      <c r="B182" s="3" t="str">
        <f t="shared" ref="B182:B190" si="100">B181</f>
        <v>Energex</v>
      </c>
      <c r="C182" s="3" t="str">
        <f t="shared" si="97"/>
        <v>Small business</v>
      </c>
      <c r="D182" s="3" t="str">
        <f t="shared" si="98"/>
        <v>without CL</v>
      </c>
      <c r="E182" s="3" t="s">
        <v>19</v>
      </c>
      <c r="F182" s="131">
        <f t="array" ref="F182">IFERROR(INDEX(Usage!$B$5:$P$18,MATCH($B182,Usage!$B$5:$B$18,0),MATCH($C182&amp;$D182&amp;$E182,Usage!$B$5:$S$5&amp;Usage!$B$6:$S$6&amp;Usage!$B$7:$S$7,0)),0)</f>
        <v>10000</v>
      </c>
      <c r="G182" s="3" t="s">
        <v>71</v>
      </c>
      <c r="H182" s="128"/>
      <c r="I182" s="128">
        <f t="array" ref="I182">IFERROR(INDEX('Detail inputs'!$B$3:$K$195,MATCH($B182&amp;$G182&amp;I$5,'Detail inputs'!$B$3:$B$195&amp;'Detail inputs'!$G$3:$G$195&amp;'Detail inputs'!$H$3:$H$195,0),MATCH(I$4,'Detail inputs'!$B$3:$K$3,0)),0)</f>
        <v>0.21</v>
      </c>
      <c r="J182" s="128">
        <f>IF(AND(H182="",I182=""),"",H182+I182*+Usage!M$38/1000)</f>
        <v>2.1</v>
      </c>
      <c r="K182" s="143">
        <f>IFERROR(J182/J188,"")</f>
        <v>1.2638065763808692E-3</v>
      </c>
      <c r="L182" s="143"/>
      <c r="M182" s="143">
        <f t="shared" si="99"/>
        <v>2.5005388920205185</v>
      </c>
      <c r="N182" s="140"/>
      <c r="O182" s="128"/>
      <c r="P182" s="128">
        <f t="array" ref="P182">IFERROR(INDEX('Detail inputs'!$B$3:$K$195,MATCH($B182&amp;$G182&amp;P$5,'Detail inputs'!$B$3:$B$195&amp;'Detail inputs'!$G$3:$G$195&amp;'Detail inputs'!$H$3:$H$195,0),MATCH(P$4,'Detail inputs'!$B$3:$K$3,0)),0)</f>
        <v>0.73511316732430898</v>
      </c>
      <c r="Q182" s="128">
        <f t="shared" ref="Q182:Q188" si="101">IF(AND(O182="",P182=""),"",O182+P182*$F182/1000)</f>
        <v>7.3511316732430894</v>
      </c>
      <c r="R182" s="143">
        <f>IFERROR(Q182/Q188,"")</f>
        <v>4.4345758121610672E-3</v>
      </c>
      <c r="S182" s="143"/>
      <c r="T182" s="143"/>
      <c r="U182" s="143"/>
      <c r="V182" s="143"/>
      <c r="W182" s="143"/>
      <c r="X182" s="143"/>
      <c r="Y182" s="143"/>
      <c r="Z182" s="143"/>
      <c r="AA182" s="143"/>
      <c r="AB182" s="143"/>
      <c r="AC182" s="143"/>
      <c r="AD182" s="143"/>
      <c r="AE182" s="143"/>
      <c r="AF182" s="143"/>
      <c r="AG182" s="143"/>
      <c r="AH182" s="143"/>
      <c r="AI182" s="143"/>
      <c r="AJ182" s="143"/>
    </row>
    <row r="183" spans="2:36" x14ac:dyDescent="0.25">
      <c r="B183" s="3" t="str">
        <f t="shared" si="100"/>
        <v>Energex</v>
      </c>
      <c r="C183" s="3" t="str">
        <f t="shared" si="97"/>
        <v>Small business</v>
      </c>
      <c r="D183" s="3" t="str">
        <f t="shared" si="98"/>
        <v>without CL</v>
      </c>
      <c r="E183" s="3" t="s">
        <v>19</v>
      </c>
      <c r="F183" s="131">
        <f t="array" ref="F183">IFERROR(INDEX(Usage!$B$5:$P$18,MATCH($B183,Usage!$B$5:$B$18,0),MATCH($C183&amp;$D183&amp;$E183,Usage!$B$5:$S$5&amp;Usage!$B$6:$S$6&amp;Usage!$B$7:$S$7,0)),0)</f>
        <v>10000</v>
      </c>
      <c r="G183" s="3" t="s">
        <v>78</v>
      </c>
      <c r="H183" s="128" cm="1">
        <f t="array" ref="H183">IFERROR(INDEX('Detail inputs'!$B$3:$K$195,MATCH($B183&amp;$G183&amp;H$5,'Detail inputs'!$B$3:$B$195&amp;'Detail inputs'!$G$3:$G$195&amp;'Detail inputs'!$H$3:$H$195,0),MATCH(H$4,'Detail inputs'!$B$3:$K$3,0)),0)*Days/7</f>
        <v>11.905778571428572</v>
      </c>
      <c r="I183" s="128">
        <f t="array" ref="I183">IFERROR(INDEX('Detail inputs'!$B$3:$K$195,MATCH($B183&amp;$G183&amp;I$5,'Detail inputs'!$B$3:$B$195&amp;'Detail inputs'!$G$3:$G$195&amp;'Detail inputs'!$H$3:$H$195,0),MATCH(I$4,'Detail inputs'!$B$3:$K$3,0)),0)</f>
        <v>0.50409000000000004</v>
      </c>
      <c r="J183" s="128">
        <f>IF(AND(H183="",I183=""),"",H183+I183*+Usage!M$38/1000)</f>
        <v>16.946678571428571</v>
      </c>
      <c r="K183" s="143">
        <f>IFERROR(J183/J188,"")</f>
        <v>1.0198725631611515E-2</v>
      </c>
      <c r="L183" s="143"/>
      <c r="M183" s="143">
        <f t="shared" si="99"/>
        <v>0.15536174548729376</v>
      </c>
      <c r="N183" s="140"/>
      <c r="O183" s="128" cm="1">
        <f t="array" ref="O183">IFERROR(INDEX('Detail inputs'!$B$3:$K$195,MATCH($B183&amp;$G183&amp;O$5,'Detail inputs'!$B$3:$B$195&amp;'Detail inputs'!$G$3:$G$195&amp;'Detail inputs'!$H$3:$H$195,0),MATCH(O$4,'Detail inputs'!$B$3:$K$3,0)),0)*Days/7</f>
        <v>13.835244134497829</v>
      </c>
      <c r="P183" s="128">
        <f t="array" ref="P183">IFERROR(INDEX('Detail inputs'!$B$3:$K$195,MATCH($B183&amp;$G183&amp;P$5,'Detail inputs'!$B$3:$B$195&amp;'Detail inputs'!$G$3:$G$195&amp;'Detail inputs'!$H$3:$H$195,0),MATCH(P$4,'Detail inputs'!$B$3:$K$3,0)),0)</f>
        <v>0.57443</v>
      </c>
      <c r="Q183" s="128">
        <f t="shared" si="101"/>
        <v>19.57954413449783</v>
      </c>
      <c r="R183" s="143">
        <f>IFERROR(Q183/Q188,"")</f>
        <v>1.1811374995229657E-2</v>
      </c>
      <c r="S183" s="143"/>
      <c r="T183" s="143"/>
      <c r="U183" s="143"/>
      <c r="V183" s="143"/>
      <c r="W183" s="143"/>
      <c r="X183" s="143"/>
      <c r="Y183" s="143"/>
      <c r="Z183" s="143"/>
      <c r="AA183" s="143"/>
      <c r="AB183" s="143"/>
      <c r="AC183" s="143"/>
      <c r="AD183" s="143"/>
      <c r="AE183" s="143"/>
      <c r="AF183" s="143"/>
      <c r="AG183" s="143"/>
      <c r="AH183" s="143"/>
      <c r="AI183" s="143"/>
      <c r="AJ183" s="143"/>
    </row>
    <row r="184" spans="2:36" x14ac:dyDescent="0.25">
      <c r="B184" s="3" t="str">
        <f t="shared" si="100"/>
        <v>Energex</v>
      </c>
      <c r="C184" s="3" t="str">
        <f t="shared" si="97"/>
        <v>Small business</v>
      </c>
      <c r="D184" s="3" t="str">
        <f t="shared" si="98"/>
        <v>without CL</v>
      </c>
      <c r="E184" s="3" t="s">
        <v>19</v>
      </c>
      <c r="F184" s="131">
        <f t="array" ref="F184">IFERROR(INDEX(Usage!$B$5:$P$18,MATCH($B184,Usage!$B$5:$B$18,0),MATCH($C184&amp;$D184&amp;$E184,Usage!$B$5:$S$5&amp;Usage!$B$6:$S$6&amp;Usage!$B$7:$S$7,0)),0)</f>
        <v>10000</v>
      </c>
      <c r="G184" s="3" t="s">
        <v>72</v>
      </c>
      <c r="H184" s="128"/>
      <c r="I184" s="128">
        <f t="array" ref="I184">IFERROR(INDEX('Detail inputs'!$B$3:$K$195,MATCH($B184&amp;$G184&amp;I$5,'Detail inputs'!$B$3:$B$195&amp;'Detail inputs'!$G$3:$G$195&amp;'Detail inputs'!$H$3:$H$195,0),MATCH(I$4,'Detail inputs'!$B$3:$K$3,0)),0)</f>
        <v>0</v>
      </c>
      <c r="J184" s="128">
        <f>IF(AND(H184="",I184=""),"",H184+I184*+Usage!M$38/1000)</f>
        <v>0</v>
      </c>
      <c r="K184" s="143">
        <f>IFERROR(J184/J188,"")</f>
        <v>0</v>
      </c>
      <c r="L184" s="143"/>
      <c r="M184" s="143" t="str">
        <f t="shared" si="99"/>
        <v/>
      </c>
      <c r="N184" s="140"/>
      <c r="O184" s="128"/>
      <c r="P184" s="128">
        <f t="array" ref="P184">IFERROR(INDEX('Detail inputs'!$B$3:$K$195,MATCH($B184&amp;$G184&amp;P$5,'Detail inputs'!$B$3:$B$195&amp;'Detail inputs'!$G$3:$G$195&amp;'Detail inputs'!$H$3:$H$195,0),MATCH(P$4,'Detail inputs'!$B$3:$K$3,0)),0)</f>
        <v>0</v>
      </c>
      <c r="Q184" s="128">
        <f t="shared" si="101"/>
        <v>0</v>
      </c>
      <c r="R184" s="143">
        <f>IFERROR(Q184/Q188,"")</f>
        <v>0</v>
      </c>
      <c r="S184" s="143"/>
      <c r="T184" s="143"/>
      <c r="U184" s="143"/>
      <c r="V184" s="143"/>
      <c r="W184" s="143"/>
      <c r="X184" s="143"/>
      <c r="Y184" s="143"/>
      <c r="Z184" s="143"/>
      <c r="AA184" s="143"/>
      <c r="AB184" s="143"/>
      <c r="AC184" s="143"/>
      <c r="AD184" s="143"/>
      <c r="AE184" s="143"/>
      <c r="AF184" s="143"/>
      <c r="AG184" s="143"/>
      <c r="AH184" s="143"/>
      <c r="AI184" s="143"/>
      <c r="AJ184" s="143"/>
    </row>
    <row r="185" spans="2:36" x14ac:dyDescent="0.25">
      <c r="B185" s="3" t="str">
        <f t="shared" si="100"/>
        <v>Energex</v>
      </c>
      <c r="C185" s="3" t="str">
        <f t="shared" si="97"/>
        <v>Small business</v>
      </c>
      <c r="D185" s="3" t="str">
        <f t="shared" si="98"/>
        <v>without CL</v>
      </c>
      <c r="E185" s="3" t="s">
        <v>19</v>
      </c>
      <c r="F185" s="131">
        <f t="array" ref="F185">IFERROR(INDEX(Usage!$B$5:$P$18,MATCH($B185,Usage!$B$5:$B$18,0),MATCH($C185&amp;$D185&amp;$E185,Usage!$B$5:$S$5&amp;Usage!$B$6:$S$6&amp;Usage!$B$7:$S$7,0)),0)</f>
        <v>10000</v>
      </c>
      <c r="G185" s="3" t="str">
        <f>+G172</f>
        <v>June 2022 Event Cost</v>
      </c>
      <c r="H185" s="128"/>
      <c r="I185" s="128">
        <f t="array" ref="I185">IFERROR(INDEX('Detail inputs'!$B$3:$K$195,MATCH($B185&amp;$G185&amp;I$5,'Detail inputs'!$B$3:$B$195&amp;'Detail inputs'!$G$3:$G$195&amp;'Detail inputs'!$H$3:$H$195,0),MATCH(I$4,'Detail inputs'!$B$3:$K$3,0)),0)</f>
        <v>0</v>
      </c>
      <c r="J185" s="128">
        <f>IF(AND(H185="",I185=""),"",H185+I185*+Usage!M$38/1000)</f>
        <v>0</v>
      </c>
      <c r="K185" s="143">
        <f>IFERROR(J185/J189,"")</f>
        <v>0</v>
      </c>
      <c r="L185" s="143"/>
      <c r="M185" s="143" t="str">
        <f t="shared" ref="M185" si="102">IF(OR(J185=0,Q185=""),"",Q185/J185-1)</f>
        <v/>
      </c>
      <c r="N185" s="140"/>
      <c r="O185" s="128"/>
      <c r="P185" s="128">
        <f t="array" ref="P185">IFERROR(INDEX('Detail inputs'!$B$3:$K$195,MATCH($B185&amp;$G185&amp;P$5,'Detail inputs'!$B$3:$B$195&amp;'Detail inputs'!$G$3:$G$195&amp;'Detail inputs'!$H$3:$H$195,0),MATCH(P$4,'Detail inputs'!$B$3:$K$3,0)),0)</f>
        <v>0</v>
      </c>
      <c r="Q185" s="128">
        <f t="shared" ref="Q185" si="103">IF(AND(O185="",P185=""),"",O185+P185*$F185/1000)</f>
        <v>0</v>
      </c>
      <c r="R185" s="143">
        <f>IFERROR(Q185/Q189,"")</f>
        <v>0</v>
      </c>
      <c r="S185" s="143"/>
      <c r="T185" s="143"/>
      <c r="U185" s="143"/>
      <c r="V185" s="143"/>
      <c r="W185" s="143"/>
      <c r="X185" s="143"/>
      <c r="Y185" s="143"/>
      <c r="Z185" s="143"/>
      <c r="AA185" s="143"/>
      <c r="AB185" s="143"/>
      <c r="AC185" s="143"/>
      <c r="AD185" s="143"/>
      <c r="AE185" s="143"/>
      <c r="AF185" s="143"/>
      <c r="AG185" s="143"/>
      <c r="AH185" s="143"/>
      <c r="AI185" s="143"/>
      <c r="AJ185" s="143"/>
    </row>
    <row r="186" spans="2:36" x14ac:dyDescent="0.25">
      <c r="B186" s="3" t="str">
        <f t="shared" si="100"/>
        <v>Energex</v>
      </c>
      <c r="C186" s="3" t="str">
        <f t="shared" si="97"/>
        <v>Small business</v>
      </c>
      <c r="D186" s="3" t="str">
        <f t="shared" si="98"/>
        <v>without CL</v>
      </c>
      <c r="E186" s="3" t="s">
        <v>19</v>
      </c>
      <c r="F186" s="131">
        <f t="array" ref="F186">IFERROR(INDEX(Usage!$B$5:$P$18,MATCH($B186,Usage!$B$5:$B$18,0),MATCH($C186&amp;$D186&amp;$E186,Usage!$B$5:$S$5&amp;Usage!$B$6:$S$6&amp;Usage!$B$7:$S$7,0)),0)</f>
        <v>10000</v>
      </c>
      <c r="G186" s="3" t="s">
        <v>135</v>
      </c>
      <c r="H186" s="128"/>
      <c r="I186" s="128">
        <f t="array" ref="I186">IFERROR(INDEX('Detail inputs'!$B$3:$K$195,MATCH($B186&amp;$G186&amp;I$5,'Detail inputs'!$B$3:$B$195&amp;'Detail inputs'!$G$3:$G$195&amp;'Detail inputs'!$H$3:$H$195,0),MATCH(I$4,'Detail inputs'!$B$3:$K$3,0)),0)</f>
        <v>2.2999999999999998</v>
      </c>
      <c r="J186" s="128">
        <f>IF(AND(H186="",I186=""),"",H186+I186*+Usage!M$38/1000)</f>
        <v>23</v>
      </c>
      <c r="K186" s="143">
        <f>IFERROR(J186/J188,"")</f>
        <v>1.3841691074647614E-2</v>
      </c>
      <c r="L186" s="143"/>
      <c r="M186" s="143">
        <f t="shared" si="99"/>
        <v>0.42319970730308265</v>
      </c>
      <c r="N186" s="140"/>
      <c r="O186" s="128"/>
      <c r="P186" s="128">
        <f t="array" ref="P186">IFERROR(INDEX('Detail inputs'!$B$3:$K$195,MATCH($B186&amp;$G186&amp;P$5,'Detail inputs'!$B$3:$B$195&amp;'Detail inputs'!$G$3:$G$195&amp;'Detail inputs'!$H$3:$H$195,0),MATCH(P$4,'Detail inputs'!$B$3:$K$3,0)),0)</f>
        <v>3.27335932679709</v>
      </c>
      <c r="Q186" s="128">
        <f t="shared" si="101"/>
        <v>32.733593267970903</v>
      </c>
      <c r="R186" s="143">
        <f>IFERROR(Q186/Q188,"")</f>
        <v>1.9746565209764803E-2</v>
      </c>
      <c r="S186" s="143"/>
      <c r="T186" s="143"/>
      <c r="U186" s="143"/>
      <c r="V186" s="143"/>
      <c r="W186" s="143"/>
      <c r="X186" s="143"/>
      <c r="Y186" s="143"/>
      <c r="Z186" s="143"/>
      <c r="AA186" s="143"/>
      <c r="AB186" s="143"/>
      <c r="AC186" s="143"/>
      <c r="AD186" s="143"/>
      <c r="AE186" s="143"/>
      <c r="AF186" s="143"/>
      <c r="AG186" s="143"/>
      <c r="AH186" s="143"/>
      <c r="AI186" s="143"/>
      <c r="AJ186" s="143"/>
    </row>
    <row r="187" spans="2:36" x14ac:dyDescent="0.25">
      <c r="B187" s="3" t="str">
        <f t="shared" si="100"/>
        <v>Energex</v>
      </c>
      <c r="C187" s="3" t="str">
        <f t="shared" si="97"/>
        <v>Small business</v>
      </c>
      <c r="D187" s="3" t="str">
        <f t="shared" si="98"/>
        <v>without CL</v>
      </c>
      <c r="E187" s="3" t="s">
        <v>19</v>
      </c>
      <c r="F187" s="131">
        <f t="array" ref="F187">IFERROR(INDEX(Usage!$B$5:$P$18,MATCH($B187,Usage!$B$5:$B$18,0),MATCH($C187&amp;$D187&amp;$E187,Usage!$B$5:$S$5&amp;Usage!$B$6:$S$6&amp;Usage!$B$7:$S$7,0)),0)</f>
        <v>10000</v>
      </c>
      <c r="G187" s="3" t="s">
        <v>73</v>
      </c>
      <c r="H187" s="128"/>
      <c r="I187" s="128" cm="1">
        <f t="array" ref="I187">IFERROR(INDEX('Detail inputs'!$B$3:$K$195,MATCH($B187&amp;$C187&amp;$E187&amp;$G187&amp;I$5,'Detail inputs'!$B$3:$B$195&amp;'Detail inputs'!$D$3:$D$195&amp;'Detail inputs'!$F$3:$F$195&amp;'Detail inputs'!$G$3:$G$195&amp;'Detail inputs'!$H$3:$H$195,0),MATCH(I$4,'Detail inputs'!$B$3:$K$3,0)),0)*SUM(I181:I186)</f>
        <v>11.36670266</v>
      </c>
      <c r="J187" s="128">
        <f>IF(AND(H187="",I187=""),"",H187+I187*+Usage!M$38/1000)</f>
        <v>113.6670266</v>
      </c>
      <c r="K187" s="143">
        <f>IFERROR(J187/J188,"")</f>
        <v>6.840625511178057E-2</v>
      </c>
      <c r="L187" s="143"/>
      <c r="M187" s="143">
        <f t="shared" si="99"/>
        <v>-0.19307159765764992</v>
      </c>
      <c r="N187" s="140"/>
      <c r="O187" s="128"/>
      <c r="P187" s="128" cm="1">
        <f t="array" ref="P187">IFERROR(INDEX('Detail inputs'!$B$3:$K$195,MATCH($B187&amp;$C187&amp;$E187&amp;$G187&amp;P$5,'Detail inputs'!$B$3:$B$195&amp;'Detail inputs'!$D$3:$D$195&amp;'Detail inputs'!$F$3:$F$195&amp;'Detail inputs'!$G$3:$G$195&amp;'Detail inputs'!$H$3:$H$195,0),MATCH(P$4,'Detail inputs'!$B$3:$K$3,0)),0)*SUM(P181:P186)</f>
        <v>9.1721152173343405</v>
      </c>
      <c r="Q187" s="128">
        <f t="shared" si="101"/>
        <v>91.721152173343413</v>
      </c>
      <c r="R187" s="143">
        <f>IFERROR(Q187/Q188,"")</f>
        <v>5.5330855298366642E-2</v>
      </c>
      <c r="S187" s="143"/>
      <c r="T187" s="143"/>
      <c r="U187" s="143"/>
      <c r="V187" s="143"/>
      <c r="W187" s="143"/>
      <c r="X187" s="143"/>
      <c r="Y187" s="143"/>
      <c r="Z187" s="143"/>
      <c r="AA187" s="143"/>
      <c r="AB187" s="143"/>
      <c r="AC187" s="143"/>
      <c r="AD187" s="143"/>
      <c r="AE187" s="143"/>
      <c r="AF187" s="143"/>
      <c r="AG187" s="143"/>
      <c r="AH187" s="143"/>
      <c r="AI187" s="143"/>
      <c r="AJ187" s="143"/>
    </row>
    <row r="188" spans="2:36" x14ac:dyDescent="0.25">
      <c r="B188" s="3" t="str">
        <f t="shared" si="100"/>
        <v>Energex</v>
      </c>
      <c r="C188" s="3" t="str">
        <f t="shared" si="97"/>
        <v>Small business</v>
      </c>
      <c r="D188" s="3" t="str">
        <f t="shared" si="98"/>
        <v>without CL</v>
      </c>
      <c r="E188" s="3" t="s">
        <v>19</v>
      </c>
      <c r="F188" s="131">
        <f t="array" ref="F188">IFERROR(INDEX(Usage!$B$5:$P$18,MATCH($B188,Usage!$B$5:$B$18,0),MATCH($C188&amp;$D188&amp;$E188,Usage!$B$5:$S$5&amp;Usage!$B$6:$S$6&amp;Usage!$B$7:$S$7,0)),0)</f>
        <v>10000</v>
      </c>
      <c r="G188" s="5" t="s">
        <v>55</v>
      </c>
      <c r="H188" s="130">
        <f>SUM(H183:H187)</f>
        <v>11.905778571428572</v>
      </c>
      <c r="I188" s="130">
        <v>164.97409000000002</v>
      </c>
      <c r="J188" s="130">
        <f>IF(AND(H188="",I188=""),"",H188+I188*+Usage!M$38/1000)</f>
        <v>1661.6466785714288</v>
      </c>
      <c r="K188" s="145"/>
      <c r="L188" s="152"/>
      <c r="M188" s="145">
        <f t="shared" si="99"/>
        <v>-2.383934787977493E-3</v>
      </c>
      <c r="N188" s="150"/>
      <c r="O188" s="130">
        <f>SUM(O183:O187)</f>
        <v>13.835244134497829</v>
      </c>
      <c r="P188" s="130">
        <f>SUM(P181:P187)</f>
        <v>164.38501771145573</v>
      </c>
      <c r="Q188" s="130">
        <f t="shared" si="101"/>
        <v>1657.685421249055</v>
      </c>
      <c r="R188" s="145"/>
      <c r="S188" s="145"/>
      <c r="T188" s="145"/>
      <c r="U188" s="145"/>
      <c r="V188" s="145"/>
      <c r="W188" s="145"/>
      <c r="X188" s="145"/>
      <c r="Y188" s="145"/>
      <c r="Z188" s="145"/>
      <c r="AA188" s="145"/>
      <c r="AB188" s="145"/>
      <c r="AC188" s="145"/>
      <c r="AD188" s="145"/>
      <c r="AE188" s="145"/>
      <c r="AF188" s="145"/>
      <c r="AG188" s="145"/>
      <c r="AH188" s="145"/>
      <c r="AI188" s="145"/>
      <c r="AJ188" s="145"/>
    </row>
    <row r="189" spans="2:36" x14ac:dyDescent="0.25">
      <c r="B189" s="3" t="str">
        <f t="shared" si="100"/>
        <v>Energex</v>
      </c>
      <c r="C189" s="3" t="str">
        <f t="shared" si="97"/>
        <v>Small business</v>
      </c>
      <c r="D189" s="3" t="str">
        <f t="shared" si="98"/>
        <v>without CL</v>
      </c>
      <c r="F189" s="131"/>
      <c r="G189" s="3" t="s">
        <v>38</v>
      </c>
      <c r="H189" s="128"/>
      <c r="I189" s="128"/>
      <c r="J189" s="128">
        <f>J188*GST</f>
        <v>166.16466785714289</v>
      </c>
      <c r="K189" s="144"/>
      <c r="L189" s="151"/>
      <c r="M189" s="144"/>
      <c r="N189" s="149"/>
      <c r="O189" s="128"/>
      <c r="P189" s="128"/>
      <c r="Q189" s="128">
        <f>Q188*GST</f>
        <v>165.76854212490551</v>
      </c>
      <c r="R189" s="145"/>
      <c r="S189" s="145"/>
      <c r="T189" s="145"/>
      <c r="U189" s="145"/>
      <c r="V189" s="145"/>
      <c r="W189" s="145"/>
      <c r="X189" s="145"/>
      <c r="Y189" s="145"/>
      <c r="Z189" s="145"/>
      <c r="AA189" s="145"/>
      <c r="AB189" s="145"/>
      <c r="AC189" s="145"/>
      <c r="AD189" s="145"/>
      <c r="AE189" s="145"/>
      <c r="AF189" s="145"/>
      <c r="AG189" s="145"/>
      <c r="AH189" s="145"/>
      <c r="AI189" s="145"/>
      <c r="AJ189" s="145"/>
    </row>
    <row r="190" spans="2:36" x14ac:dyDescent="0.25">
      <c r="B190" s="3" t="str">
        <f t="shared" si="100"/>
        <v>Energex</v>
      </c>
      <c r="C190" s="3" t="str">
        <f t="shared" si="97"/>
        <v>Small business</v>
      </c>
      <c r="D190" s="3" t="str">
        <f t="shared" si="98"/>
        <v>without CL</v>
      </c>
      <c r="F190" s="131"/>
      <c r="G190" s="5" t="s">
        <v>80</v>
      </c>
      <c r="H190" s="130"/>
      <c r="I190" s="130"/>
      <c r="J190" s="130">
        <f>SUM(J188:J189)</f>
        <v>1827.8113464285716</v>
      </c>
      <c r="K190" s="145"/>
      <c r="L190" s="152"/>
      <c r="M190" s="145">
        <f>IF(OR(J190=0,Q190=""),"",Q190/J190-1)</f>
        <v>-2.383934787977493E-3</v>
      </c>
      <c r="N190" s="150"/>
      <c r="O190" s="130"/>
      <c r="P190" s="128"/>
      <c r="Q190" s="130">
        <f>SUM(Q188:Q189)</f>
        <v>1823.4539633739605</v>
      </c>
      <c r="R190" s="145"/>
      <c r="S190" s="145"/>
      <c r="T190" s="145"/>
      <c r="U190" s="145"/>
      <c r="V190" s="145"/>
      <c r="W190" s="145"/>
      <c r="X190" s="145"/>
      <c r="Y190" s="145"/>
      <c r="Z190" s="145"/>
      <c r="AA190" s="145"/>
      <c r="AB190" s="145"/>
      <c r="AC190" s="145"/>
      <c r="AD190" s="145"/>
      <c r="AE190" s="145"/>
      <c r="AF190" s="145"/>
      <c r="AG190" s="145"/>
      <c r="AH190" s="145"/>
      <c r="AI190" s="145"/>
      <c r="AJ190" s="145"/>
    </row>
    <row r="191" spans="2:36" x14ac:dyDescent="0.25">
      <c r="F191" s="131"/>
      <c r="H191" s="128"/>
      <c r="I191" s="128"/>
      <c r="J191" s="128"/>
      <c r="K191" s="143"/>
      <c r="L191" s="151"/>
      <c r="M191" s="143"/>
      <c r="N191" s="149"/>
      <c r="O191" s="128"/>
      <c r="P191" s="128"/>
      <c r="Q191" s="128"/>
      <c r="R191" s="143"/>
      <c r="S191" s="143"/>
      <c r="T191" s="143"/>
      <c r="U191" s="143"/>
      <c r="V191" s="143"/>
      <c r="W191" s="143"/>
      <c r="X191" s="143"/>
      <c r="Y191" s="143"/>
      <c r="Z191" s="143"/>
      <c r="AA191" s="143"/>
      <c r="AB191" s="143"/>
      <c r="AC191" s="143"/>
      <c r="AD191" s="143"/>
      <c r="AE191" s="143"/>
      <c r="AF191" s="143"/>
      <c r="AG191" s="143"/>
      <c r="AH191" s="143"/>
      <c r="AI191" s="143"/>
      <c r="AJ191" s="143"/>
    </row>
    <row r="192" spans="2:36" x14ac:dyDescent="0.25">
      <c r="B192" s="5" t="s">
        <v>5</v>
      </c>
      <c r="C192" s="5" t="s">
        <v>6</v>
      </c>
      <c r="D192" s="5" t="s">
        <v>127</v>
      </c>
      <c r="F192" s="131"/>
      <c r="H192" s="128"/>
      <c r="I192" s="128"/>
      <c r="J192" s="128"/>
      <c r="K192" s="143"/>
      <c r="L192" s="151"/>
      <c r="M192" s="143"/>
      <c r="N192" s="149"/>
      <c r="O192" s="128"/>
      <c r="P192" s="128"/>
      <c r="Q192" s="128"/>
      <c r="R192" s="143"/>
      <c r="S192" s="143"/>
      <c r="T192" s="143"/>
      <c r="U192" s="143"/>
      <c r="V192" s="143"/>
      <c r="W192" s="143"/>
      <c r="X192" s="143"/>
      <c r="Y192" s="143"/>
      <c r="Z192" s="143"/>
      <c r="AA192" s="143"/>
      <c r="AB192" s="143"/>
      <c r="AC192" s="143"/>
      <c r="AD192" s="143"/>
      <c r="AE192" s="143"/>
      <c r="AF192" s="143"/>
      <c r="AG192" s="143"/>
      <c r="AH192" s="143"/>
      <c r="AI192" s="143"/>
      <c r="AJ192" s="143"/>
    </row>
    <row r="193" spans="2:36" x14ac:dyDescent="0.25">
      <c r="B193" s="3" t="str">
        <f>B192</f>
        <v>SAPN</v>
      </c>
      <c r="C193" s="3" t="str">
        <f t="shared" ref="C193:C203" si="104">C192</f>
        <v>Residential</v>
      </c>
      <c r="D193" s="3" t="str">
        <f t="shared" ref="D193:D203" si="105">D192</f>
        <v>without CL</v>
      </c>
      <c r="E193" s="3" t="s">
        <v>19</v>
      </c>
      <c r="F193" s="131">
        <f t="array" ref="F193">IFERROR(INDEX(Usage!$B$5:$P$18,MATCH($B193,Usage!$B$5:$B$18,0),MATCH($C193&amp;$D193&amp;$E193&amp;"Total",Usage!$B$5:$S$5&amp;Usage!$B$6:$S$6&amp;Usage!$B$7:$S$7&amp;Usage!$B$13:$S$13,0)),0)</f>
        <v>4000</v>
      </c>
      <c r="G193" s="3" t="s">
        <v>70</v>
      </c>
      <c r="H193" s="128"/>
      <c r="I193" s="128">
        <f t="array" ref="I193">IFERROR(INDEX('Detail inputs'!$B$3:$K$195,MATCH($B193&amp;$C193&amp;$E193&amp;$G193&amp;I$5,'Detail inputs'!$B$3:$B$195&amp;'Detail inputs'!$D$3:$D$195&amp;'Detail inputs'!$F$3:$F$195&amp;'Detail inputs'!$G$3:$G$195&amp;'Detail inputs'!$H$3:$H$195,0),MATCH(I$4,'Detail inputs'!$B$3:$K$3,0)),0)</f>
        <v>149.07</v>
      </c>
      <c r="J193" s="128">
        <f>IF(AND(H193="",I193=""),"",H193+I193*+Usage!C$40/1000)</f>
        <v>596.28</v>
      </c>
      <c r="K193" s="143">
        <f>IFERROR(J193/J201,"")</f>
        <v>0.81400952763403278</v>
      </c>
      <c r="L193" s="143"/>
      <c r="M193" s="143">
        <f t="shared" ref="M193:M201" si="106">IF(OR(J193=0,Q193=""),"",Q193/J193-1)</f>
        <v>0.12802710136177642</v>
      </c>
      <c r="N193" s="140"/>
      <c r="O193" s="128"/>
      <c r="P193" s="128">
        <f t="array" ref="P193">IFERROR(INDEX('Detail inputs'!$B$3:$K$195,MATCH($B193&amp;$C193&amp;$E193&amp;$G193&amp;P$5,'Detail inputs'!$B$3:$B$195&amp;'Detail inputs'!$D$3:$D$195&amp;'Detail inputs'!$F$3:$F$195&amp;'Detail inputs'!$G$3:$G$195&amp;'Detail inputs'!$H$3:$H$195,0),MATCH(P$4,'Detail inputs'!$B$3:$K$3,0)),0)</f>
        <v>168.155</v>
      </c>
      <c r="Q193" s="128">
        <f>IF(AND(O193="",P193=""),"",O193+P193*$F193/1000)</f>
        <v>672.62</v>
      </c>
      <c r="R193" s="143">
        <f>IFERROR(Q193/Q201,"")</f>
        <v>0.86153076535916928</v>
      </c>
      <c r="S193" s="143"/>
      <c r="T193" s="378"/>
      <c r="U193" s="143"/>
      <c r="V193" s="143"/>
      <c r="W193" s="143"/>
      <c r="X193" s="143"/>
      <c r="Y193" s="143"/>
      <c r="Z193" s="143"/>
      <c r="AA193" s="143"/>
      <c r="AB193" s="143"/>
      <c r="AC193" s="143"/>
      <c r="AD193" s="143"/>
      <c r="AE193" s="143"/>
      <c r="AF193" s="143"/>
      <c r="AG193" s="143"/>
      <c r="AH193" s="143"/>
      <c r="AI193" s="143"/>
      <c r="AJ193" s="143"/>
    </row>
    <row r="194" spans="2:36" x14ac:dyDescent="0.25">
      <c r="B194" s="3" t="str">
        <f t="shared" ref="B194:B203" si="107">B193</f>
        <v>SAPN</v>
      </c>
      <c r="C194" s="3" t="str">
        <f t="shared" si="104"/>
        <v>Residential</v>
      </c>
      <c r="D194" s="3" t="str">
        <f t="shared" si="105"/>
        <v>without CL</v>
      </c>
      <c r="E194" s="3" t="s">
        <v>19</v>
      </c>
      <c r="F194" s="131">
        <f t="array" ref="F194">IFERROR(INDEX(Usage!$B$5:$P$18,MATCH($B194,Usage!$B$5:$B$18,0),MATCH($C194&amp;$D194&amp;$E194&amp;"Total",Usage!$B$5:$S$5&amp;Usage!$B$6:$S$6&amp;Usage!$B$7:$S$7&amp;Usage!$B$13:$S$13,0)),0)</f>
        <v>4000</v>
      </c>
      <c r="G194" s="3" t="s">
        <v>71</v>
      </c>
      <c r="H194" s="128"/>
      <c r="I194" s="128">
        <f t="array" ref="I194">IFERROR(INDEX('Detail inputs'!$B$3:$K$195,MATCH($B194&amp;$G194&amp;I$5,'Detail inputs'!$B$3:$B$195&amp;'Detail inputs'!$G$3:$G$195&amp;'Detail inputs'!$H$3:$H$195,0),MATCH(I$4,'Detail inputs'!$B$3:$K$3,0)),0)</f>
        <v>0.97</v>
      </c>
      <c r="J194" s="128">
        <f>IF(AND(H194="",I194=""),"",H194+I194*+Usage!C$40/1000)</f>
        <v>3.88</v>
      </c>
      <c r="K194" s="143">
        <f>IFERROR(J194/J201,"")</f>
        <v>5.2967682417992346E-3</v>
      </c>
      <c r="L194" s="143"/>
      <c r="M194" s="143">
        <f t="shared" si="106"/>
        <v>-0.39658750644031915</v>
      </c>
      <c r="N194" s="140"/>
      <c r="O194" s="128"/>
      <c r="P194" s="128">
        <f t="array" ref="P194">IFERROR(INDEX('Detail inputs'!$B$3:$K$195,MATCH($B194&amp;$G194&amp;P$5,'Detail inputs'!$B$3:$B$195&amp;'Detail inputs'!$G$3:$G$195&amp;'Detail inputs'!$H$3:$H$195,0),MATCH(P$4,'Detail inputs'!$B$3:$K$3,0)),0)</f>
        <v>0.58531011875289041</v>
      </c>
      <c r="Q194" s="128">
        <f t="shared" ref="Q194:Q198" si="108">IF(AND(O194="",P194=""),"",O194+P194*$F194/1000)</f>
        <v>2.3412404750115616</v>
      </c>
      <c r="R194" s="143">
        <f>IFERROR(Q194/Q201,"")</f>
        <v>2.9987967921360882E-3</v>
      </c>
      <c r="S194" s="143"/>
      <c r="T194" s="143"/>
      <c r="U194" s="143"/>
      <c r="V194" s="143"/>
      <c r="W194" s="143"/>
      <c r="X194" s="143"/>
      <c r="Y194" s="143"/>
      <c r="Z194" s="143"/>
      <c r="AA194" s="143"/>
      <c r="AB194" s="143"/>
      <c r="AC194" s="143"/>
      <c r="AD194" s="143"/>
      <c r="AE194" s="143"/>
      <c r="AF194" s="143"/>
      <c r="AG194" s="143"/>
      <c r="AH194" s="143"/>
      <c r="AI194" s="143"/>
      <c r="AJ194" s="143"/>
    </row>
    <row r="195" spans="2:36" x14ac:dyDescent="0.25">
      <c r="B195" s="3" t="str">
        <f t="shared" si="107"/>
        <v>SAPN</v>
      </c>
      <c r="C195" s="3" t="str">
        <f t="shared" si="104"/>
        <v>Residential</v>
      </c>
      <c r="D195" s="3" t="str">
        <f t="shared" si="105"/>
        <v>without CL</v>
      </c>
      <c r="E195" s="3" t="s">
        <v>19</v>
      </c>
      <c r="F195" s="131">
        <f t="array" ref="F195">IFERROR(INDEX(Usage!$B$5:$P$18,MATCH($B195,Usage!$B$5:$B$18,0),MATCH($C195&amp;$D195&amp;$E195&amp;"Total",Usage!$B$5:$S$5&amp;Usage!$B$6:$S$6&amp;Usage!$B$7:$S$7&amp;Usage!$B$13:$S$13,0)),0)</f>
        <v>4000</v>
      </c>
      <c r="G195" s="3" t="s">
        <v>78</v>
      </c>
      <c r="H195" s="128" cm="1">
        <f t="array" ref="H195">IFERROR(INDEX('Detail inputs'!$B$3:$K$195,MATCH($B195&amp;$G195&amp;H$5,'Detail inputs'!$B$3:$B$195&amp;'Detail inputs'!$G$3:$G$195&amp;'Detail inputs'!$H$3:$H$195,0),MATCH(H$4,'Detail inputs'!$B$3:$K$3,0)),0)*Days/7</f>
        <v>11.905778571428572</v>
      </c>
      <c r="I195" s="128">
        <f t="array" ref="I195">IFERROR(INDEX('Detail inputs'!$B$3:$K$195,MATCH($B195&amp;$G195&amp;I$5,'Detail inputs'!$B$3:$B$195&amp;'Detail inputs'!$G$3:$G$195&amp;'Detail inputs'!$H$3:$H$195,0),MATCH(I$4,'Detail inputs'!$B$3:$K$3,0)),0)</f>
        <v>0.50409000000000004</v>
      </c>
      <c r="J195" s="128">
        <f>IF(AND(H195="",I195=""),"",H195+I195*+Usage!C$40/1000)</f>
        <v>13.922138571428572</v>
      </c>
      <c r="K195" s="143">
        <f>IFERROR(J195/J201,"")</f>
        <v>1.9005758103884284E-2</v>
      </c>
      <c r="L195" s="143"/>
      <c r="M195" s="143">
        <f t="shared" si="106"/>
        <v>0.15879927869748256</v>
      </c>
      <c r="N195" s="140"/>
      <c r="O195" s="128" cm="1">
        <f t="array" ref="O195">IFERROR(INDEX('Detail inputs'!$B$3:$K$195,MATCH($B195&amp;$G195&amp;O$5,'Detail inputs'!$B$3:$B$195&amp;'Detail inputs'!$G$3:$G$195&amp;'Detail inputs'!$H$3:$H$195,0),MATCH(O$4,'Detail inputs'!$B$3:$K$3,0)),0)*Days/7</f>
        <v>13.835244134497829</v>
      </c>
      <c r="P195" s="128">
        <f t="array" ref="P195">IFERROR(INDEX('Detail inputs'!$B$3:$K$195,MATCH($B195&amp;$G195&amp;P$5,'Detail inputs'!$B$3:$B$195&amp;'Detail inputs'!$G$3:$G$195&amp;'Detail inputs'!$H$3:$H$195,0),MATCH(P$4,'Detail inputs'!$B$3:$K$3,0)),0)</f>
        <v>0.57443</v>
      </c>
      <c r="Q195" s="128">
        <f t="shared" si="108"/>
        <v>16.132964134497829</v>
      </c>
      <c r="R195" s="143">
        <f>IFERROR(Q195/Q201,"")</f>
        <v>2.0664037552118496E-2</v>
      </c>
      <c r="S195" s="143"/>
      <c r="T195" s="143"/>
      <c r="U195" s="143"/>
      <c r="V195" s="143"/>
      <c r="W195" s="143"/>
      <c r="X195" s="143"/>
      <c r="Y195" s="143"/>
      <c r="Z195" s="143"/>
      <c r="AA195" s="143"/>
      <c r="AB195" s="143"/>
      <c r="AC195" s="143"/>
      <c r="AD195" s="143"/>
      <c r="AE195" s="143"/>
      <c r="AF195" s="143"/>
      <c r="AG195" s="143"/>
      <c r="AH195" s="143"/>
      <c r="AI195" s="143"/>
      <c r="AJ195" s="143"/>
    </row>
    <row r="196" spans="2:36" x14ac:dyDescent="0.25">
      <c r="B196" s="3" t="str">
        <f t="shared" si="107"/>
        <v>SAPN</v>
      </c>
      <c r="C196" s="3" t="str">
        <f t="shared" si="104"/>
        <v>Residential</v>
      </c>
      <c r="D196" s="3" t="str">
        <f t="shared" si="105"/>
        <v>without CL</v>
      </c>
      <c r="E196" s="3" t="s">
        <v>19</v>
      </c>
      <c r="F196" s="131">
        <f t="array" ref="F196">IFERROR(INDEX(Usage!$B$5:$P$18,MATCH($B196,Usage!$B$5:$B$18,0),MATCH($C196&amp;$D196&amp;$E196&amp;"Total",Usage!$B$5:$S$5&amp;Usage!$B$6:$S$6&amp;Usage!$B$7:$S$7&amp;Usage!$B$13:$S$13,0)),0)</f>
        <v>4000</v>
      </c>
      <c r="G196" s="3" t="s">
        <v>72</v>
      </c>
      <c r="H196" s="128"/>
      <c r="I196" s="128">
        <f t="array" ref="I196">IFERROR(INDEX('Detail inputs'!$B$3:$K$195,MATCH($B196&amp;$G196&amp;I$5,'Detail inputs'!$B$3:$B$195&amp;'Detail inputs'!$G$3:$G$195&amp;'Detail inputs'!$H$3:$H$195,0),MATCH(I$4,'Detail inputs'!$B$3:$K$3,0)),0)</f>
        <v>0</v>
      </c>
      <c r="J196" s="128">
        <f>IF(AND(H196="",I196=""),"",H196+I196*+Usage!C$40/1000)</f>
        <v>0</v>
      </c>
      <c r="K196" s="143">
        <f>IFERROR(J196/J201,"")</f>
        <v>0</v>
      </c>
      <c r="L196" s="143"/>
      <c r="M196" s="143" t="str">
        <f t="shared" si="106"/>
        <v/>
      </c>
      <c r="N196" s="140"/>
      <c r="O196" s="128"/>
      <c r="P196" s="128">
        <f t="array" ref="P196">IFERROR(INDEX('Detail inputs'!$B$3:$K$195,MATCH($B196&amp;$G196&amp;P$5,'Detail inputs'!$B$3:$B$195&amp;'Detail inputs'!$G$3:$G$195&amp;'Detail inputs'!$H$3:$H$195,0),MATCH(P$4,'Detail inputs'!$B$3:$K$3,0)),0)</f>
        <v>6.7563101629320773E-3</v>
      </c>
      <c r="Q196" s="128">
        <f t="shared" si="108"/>
        <v>2.7025240651728309E-2</v>
      </c>
      <c r="R196" s="143">
        <f>IFERROR(Q196/Q201,"")</f>
        <v>3.4615497996936196E-5</v>
      </c>
      <c r="S196" s="143"/>
      <c r="T196" s="143"/>
      <c r="U196" s="143"/>
      <c r="V196" s="143"/>
      <c r="W196" s="143"/>
      <c r="X196" s="143"/>
      <c r="Y196" s="143"/>
      <c r="Z196" s="143"/>
      <c r="AA196" s="143"/>
      <c r="AB196" s="143"/>
      <c r="AC196" s="143"/>
      <c r="AD196" s="143"/>
      <c r="AE196" s="143"/>
      <c r="AF196" s="143"/>
      <c r="AG196" s="143"/>
      <c r="AH196" s="143"/>
      <c r="AI196" s="143"/>
      <c r="AJ196" s="143"/>
    </row>
    <row r="197" spans="2:36" x14ac:dyDescent="0.25">
      <c r="B197" s="3" t="str">
        <f t="shared" si="107"/>
        <v>SAPN</v>
      </c>
      <c r="C197" s="3" t="str">
        <f t="shared" si="104"/>
        <v>Residential</v>
      </c>
      <c r="D197" s="3" t="str">
        <f t="shared" si="105"/>
        <v>without CL</v>
      </c>
      <c r="E197" s="3" t="s">
        <v>19</v>
      </c>
      <c r="F197" s="131">
        <f t="array" ref="F197">IFERROR(INDEX(Usage!$B$5:$P$18,MATCH($B197,Usage!$B$5:$B$18,0),MATCH($C197&amp;$D197&amp;$E197&amp;"Total",Usage!$B$5:$S$5&amp;Usage!$B$6:$S$6&amp;Usage!$B$7:$S$7&amp;Usage!$B$13:$S$13,0)),0)</f>
        <v>4000</v>
      </c>
      <c r="G197" s="3" t="str">
        <f>+G185</f>
        <v>June 2022 Event Cost</v>
      </c>
      <c r="H197" s="128"/>
      <c r="I197" s="128">
        <f t="array" ref="I197">IFERROR(INDEX('Detail inputs'!$B$3:$K$195,MATCH($B197&amp;$G197&amp;I$5,'Detail inputs'!$B$3:$B$195&amp;'Detail inputs'!$G$3:$G$195&amp;'Detail inputs'!$H$3:$H$195,0),MATCH(I$4,'Detail inputs'!$B$3:$K$3,0)),0)</f>
        <v>0</v>
      </c>
      <c r="J197" s="128">
        <f>IF(AND(H197="",I197=""),"",H197+I197*+Usage!C$40/1000)</f>
        <v>0</v>
      </c>
      <c r="K197" s="143">
        <f>IFERROR(J197/J202,"")</f>
        <v>0</v>
      </c>
      <c r="L197" s="143"/>
      <c r="M197" s="143" t="str">
        <f t="shared" ref="M197" si="109">IF(OR(J197=0,Q197=""),"",Q197/J197-1)</f>
        <v/>
      </c>
      <c r="N197" s="140"/>
      <c r="O197" s="128"/>
      <c r="P197" s="128">
        <f t="array" ref="P197">IFERROR(INDEX('Detail inputs'!$B$3:$K$195,MATCH($B197&amp;$G197&amp;P$5,'Detail inputs'!$B$3:$B$195&amp;'Detail inputs'!$G$3:$G$195&amp;'Detail inputs'!$H$3:$H$195,0),MATCH(P$4,'Detail inputs'!$B$3:$K$3,0)),0)</f>
        <v>5.0625427163511004E-2</v>
      </c>
      <c r="Q197" s="128">
        <f t="shared" ref="Q197" si="110">IF(AND(O197="",P197=""),"",O197+P197*$F197/1000)</f>
        <v>0.20250170865404402</v>
      </c>
      <c r="R197" s="143">
        <f>IFERROR(Q197/Q202,"")</f>
        <v>2.5937595082402847E-3</v>
      </c>
      <c r="S197" s="143"/>
      <c r="T197" s="143"/>
      <c r="U197" s="143"/>
      <c r="V197" s="143"/>
      <c r="W197" s="143"/>
      <c r="X197" s="143"/>
      <c r="Y197" s="143"/>
      <c r="Z197" s="143"/>
      <c r="AA197" s="143"/>
      <c r="AB197" s="143"/>
      <c r="AC197" s="143"/>
      <c r="AD197" s="143"/>
      <c r="AE197" s="143"/>
      <c r="AF197" s="143"/>
      <c r="AG197" s="143"/>
      <c r="AH197" s="143"/>
      <c r="AI197" s="143"/>
      <c r="AJ197" s="143"/>
    </row>
    <row r="198" spans="2:36" x14ac:dyDescent="0.25">
      <c r="B198" s="3" t="str">
        <f t="shared" si="107"/>
        <v>SAPN</v>
      </c>
      <c r="C198" s="3" t="str">
        <f t="shared" si="104"/>
        <v>Residential</v>
      </c>
      <c r="D198" s="3" t="str">
        <f t="shared" si="105"/>
        <v>without CL</v>
      </c>
      <c r="E198" s="3" t="s">
        <v>19</v>
      </c>
      <c r="F198" s="131">
        <f t="array" ref="F198">IFERROR(INDEX(Usage!$B$5:$P$18,MATCH($B198,Usage!$B$5:$B$18,0),MATCH($C198&amp;$D198&amp;$E198&amp;"Total",Usage!$B$5:$S$5&amp;Usage!$B$6:$S$6&amp;Usage!$B$7:$S$7&amp;Usage!$B$13:$S$13,0)),0)</f>
        <v>4000</v>
      </c>
      <c r="G198" s="3" t="s">
        <v>135</v>
      </c>
      <c r="H198" s="128"/>
      <c r="I198" s="128">
        <f t="array" ref="I198">IFERROR(INDEX('Detail inputs'!$B$3:$K$195,MATCH($B198&amp;$G198&amp;I$5,'Detail inputs'!$B$3:$B$195&amp;'Detail inputs'!$G$3:$G$195&amp;'Detail inputs'!$H$3:$H$195,0),MATCH(I$4,'Detail inputs'!$B$3:$K$3,0)),0)</f>
        <v>3.32</v>
      </c>
      <c r="J198" s="128">
        <f>IF(AND(H198="",I198=""),"",H198+I198*+Usage!C$40/1000)</f>
        <v>13.28</v>
      </c>
      <c r="K198" s="143">
        <f>IFERROR(J198/J201,"")</f>
        <v>1.812914491007573E-2</v>
      </c>
      <c r="L198" s="143"/>
      <c r="M198" s="143">
        <f t="shared" si="106"/>
        <v>0.11228096704546631</v>
      </c>
      <c r="N198" s="140"/>
      <c r="O198" s="128"/>
      <c r="P198" s="128">
        <f t="array" ref="P198">IFERROR(INDEX('Detail inputs'!$B$3:$K$195,MATCH($B198&amp;$G198&amp;P$5,'Detail inputs'!$B$3:$B$195&amp;'Detail inputs'!$G$3:$G$195&amp;'Detail inputs'!$H$3:$H$195,0),MATCH(P$4,'Detail inputs'!$B$3:$K$3,0)),0)</f>
        <v>3.6927728105909479</v>
      </c>
      <c r="Q198" s="128">
        <f t="shared" si="108"/>
        <v>14.771091242363791</v>
      </c>
      <c r="R198" s="143">
        <f>IFERROR(Q198/Q201,"")</f>
        <v>1.8919671647027743E-2</v>
      </c>
      <c r="S198" s="143"/>
      <c r="T198" s="143"/>
      <c r="U198" s="143"/>
      <c r="V198" s="143"/>
      <c r="W198" s="143"/>
      <c r="X198" s="143"/>
      <c r="Y198" s="143"/>
      <c r="Z198" s="143"/>
      <c r="AA198" s="143"/>
      <c r="AB198" s="143"/>
      <c r="AC198" s="143"/>
      <c r="AD198" s="143"/>
      <c r="AE198" s="143"/>
      <c r="AF198" s="143"/>
      <c r="AG198" s="143"/>
      <c r="AH198" s="143"/>
      <c r="AI198" s="143"/>
      <c r="AJ198" s="143"/>
    </row>
    <row r="199" spans="2:36" x14ac:dyDescent="0.25">
      <c r="B199" s="3" t="str">
        <f t="shared" si="107"/>
        <v>SAPN</v>
      </c>
      <c r="C199" s="3" t="str">
        <f t="shared" si="104"/>
        <v>Residential</v>
      </c>
      <c r="D199" s="3" t="str">
        <f t="shared" si="105"/>
        <v>without CL</v>
      </c>
      <c r="E199" s="3" t="s">
        <v>19</v>
      </c>
      <c r="F199" s="131">
        <f t="array" ref="F199">IFERROR(INDEX(Usage!$B$5:$P$18,MATCH($B199,Usage!$B$5:$B$18,0),MATCH($C199&amp;$D199&amp;$E199&amp;"Total",Usage!$B$5:$S$5&amp;Usage!$B$6:$S$6&amp;Usage!$B$7:$S$7&amp;Usage!$B$13:$S$13,0)),0)</f>
        <v>4000</v>
      </c>
      <c r="G199" s="3" t="s">
        <v>166</v>
      </c>
      <c r="H199" s="128"/>
      <c r="I199" s="128">
        <f t="array" ref="I199">IFERROR(INDEX('Detail inputs'!$B$3:$K$195,MATCH($B199&amp;$G199&amp;I$5,'Detail inputs'!$B$3:$B$195&amp;'Detail inputs'!$G$3:$G$195&amp;'Detail inputs'!$H$3:$H$195,0),MATCH(I$4,'Detail inputs'!$B$3:$K$3,0)),0)</f>
        <v>8.44</v>
      </c>
      <c r="J199" s="128">
        <f>IF(AND(H199="",I199=""),"",H199+I199*+Usage!C$40/1000)</f>
        <v>33.76</v>
      </c>
      <c r="K199" s="143">
        <f>IFERROR(J199/J201,"")</f>
        <v>4.6087344289469624E-2</v>
      </c>
      <c r="L199" s="143"/>
      <c r="M199" s="143">
        <f t="shared" ref="M199" si="111">IF(OR(J199=0,Q199=""),"",Q199/J199-1)</f>
        <v>-0.32312967788615188</v>
      </c>
      <c r="N199" s="140"/>
      <c r="O199" s="128"/>
      <c r="P199" s="128" cm="1">
        <f t="array" ref="P199">IFERROR(INDEX('Detail inputs'!$B$3:$K$195,MATCH($B199&amp;$G199&amp;P$5,'Detail inputs'!$B$3:$B$195&amp;'Detail inputs'!$G$3:$G$195&amp;'Detail inputs'!$H$3:$H$195,0),MATCH(P$4,'Detail inputs'!$B$3:$K$3,0)),0)</f>
        <v>5.712785518640878</v>
      </c>
      <c r="Q199" s="128">
        <f>IF(AND(O199="",P199=""),"",O199+P199*$F199/1000)</f>
        <v>22.851142074563512</v>
      </c>
      <c r="R199" s="143">
        <f>IFERROR(Q199/Q201,"")</f>
        <v>2.9269070085382261E-2</v>
      </c>
      <c r="S199" s="143"/>
      <c r="T199" s="143"/>
      <c r="U199" s="143"/>
      <c r="V199" s="143"/>
      <c r="W199" s="143"/>
      <c r="X199" s="143"/>
      <c r="Y199" s="143"/>
      <c r="Z199" s="143"/>
      <c r="AA199" s="143"/>
      <c r="AB199" s="143"/>
      <c r="AC199" s="143"/>
      <c r="AD199" s="143"/>
      <c r="AE199" s="143"/>
      <c r="AF199" s="143"/>
      <c r="AG199" s="143"/>
      <c r="AH199" s="143"/>
      <c r="AI199" s="143"/>
      <c r="AJ199" s="143"/>
    </row>
    <row r="200" spans="2:36" x14ac:dyDescent="0.25">
      <c r="B200" s="3" t="str">
        <f t="shared" si="107"/>
        <v>SAPN</v>
      </c>
      <c r="C200" s="3" t="str">
        <f t="shared" si="104"/>
        <v>Residential</v>
      </c>
      <c r="D200" s="3" t="str">
        <f t="shared" si="105"/>
        <v>without CL</v>
      </c>
      <c r="E200" s="3" t="s">
        <v>19</v>
      </c>
      <c r="F200" s="131">
        <f t="array" ref="F200">IFERROR(INDEX(Usage!$B$5:$P$18,MATCH($B200,Usage!$B$5:$B$18,0),MATCH($C200&amp;$D200&amp;$E200&amp;"Total",Usage!$B$5:$S$5&amp;Usage!$B$6:$S$6&amp;Usage!$B$7:$S$7&amp;Usage!$B$13:$S$13,0)),0)</f>
        <v>4000</v>
      </c>
      <c r="G200" s="3" t="s">
        <v>73</v>
      </c>
      <c r="H200" s="128"/>
      <c r="I200" s="128" cm="1">
        <f t="array" ref="I200">IFERROR(INDEX('Detail inputs'!$B$3:$K$195,MATCH($B200&amp;$C200&amp;$E200&amp;$G200&amp;I$5,'Detail inputs'!$B$3:$B$195&amp;'Detail inputs'!$D$3:$D$195&amp;'Detail inputs'!$F$3:$F$195&amp;'Detail inputs'!$G$3:$G$195&amp;'Detail inputs'!$H$3:$H$195,0),MATCH(I$4,'Detail inputs'!$B$3:$K$3,0)),0)*SUM(I193:I199)</f>
        <v>17.853449899999998</v>
      </c>
      <c r="J200" s="128">
        <f>IF(AND(H200="",I200=""),"",H200+I200*+Usage!C$40/1000)</f>
        <v>71.41379959999999</v>
      </c>
      <c r="K200" s="143">
        <f>IFERROR(J200/J201,"")</f>
        <v>9.7490295295746085E-2</v>
      </c>
      <c r="L200" s="143"/>
      <c r="M200" s="143">
        <f t="shared" si="106"/>
        <v>-0.27492091790038786</v>
      </c>
      <c r="N200" s="140"/>
      <c r="O200" s="128"/>
      <c r="P200" s="128" cm="1">
        <f t="array" ref="P200">IFERROR(INDEX('Detail inputs'!$B$3:$K$195,MATCH($B200&amp;$C200&amp;$E200&amp;$G200&amp;P$5,'Detail inputs'!$B$3:$B$195&amp;'Detail inputs'!$D$3:$D$195&amp;'Detail inputs'!$F$3:$F$195&amp;'Detail inputs'!$G$3:$G$195&amp;'Detail inputs'!$H$3:$H$195,0),MATCH(P$4,'Detail inputs'!$B$3:$K$3,0)),0)*SUM(P193:P199)</f>
        <v>12.94516306580341</v>
      </c>
      <c r="Q200" s="128">
        <f>IF(AND(O200="",P200=""),"",O200+P200*$F200/1000)</f>
        <v>51.780652263213639</v>
      </c>
      <c r="R200" s="143">
        <f>IFERROR(Q200/Q201,"")</f>
        <v>6.6323667115345139E-2</v>
      </c>
      <c r="S200" s="143"/>
      <c r="T200" s="143"/>
      <c r="U200" s="143"/>
      <c r="V200" s="143"/>
      <c r="W200" s="143"/>
      <c r="X200" s="143"/>
      <c r="Y200" s="143"/>
      <c r="Z200" s="143"/>
      <c r="AA200" s="143"/>
      <c r="AB200" s="143"/>
      <c r="AC200" s="143"/>
      <c r="AD200" s="143"/>
      <c r="AE200" s="143"/>
      <c r="AF200" s="143"/>
      <c r="AG200" s="143"/>
      <c r="AH200" s="143"/>
      <c r="AI200" s="143"/>
      <c r="AJ200" s="143"/>
    </row>
    <row r="201" spans="2:36" x14ac:dyDescent="0.25">
      <c r="B201" s="3" t="str">
        <f t="shared" si="107"/>
        <v>SAPN</v>
      </c>
      <c r="C201" s="3" t="str">
        <f t="shared" si="104"/>
        <v>Residential</v>
      </c>
      <c r="D201" s="3" t="str">
        <f t="shared" si="105"/>
        <v>without CL</v>
      </c>
      <c r="E201" s="3" t="s">
        <v>19</v>
      </c>
      <c r="F201" s="131">
        <f t="array" ref="F201">IFERROR(INDEX(Usage!$B$5:$P$18,MATCH($B201,Usage!$B$5:$B$18,0),MATCH($C201&amp;$D201&amp;$E201&amp;"Total",Usage!$B$5:$S$5&amp;Usage!$B$6:$S$6&amp;Usage!$B$7:$S$7&amp;Usage!$B$13:$S$13,0)),0)</f>
        <v>4000</v>
      </c>
      <c r="G201" s="5" t="s">
        <v>55</v>
      </c>
      <c r="H201" s="130">
        <f>SUM(H195:H200)</f>
        <v>11.905778571428572</v>
      </c>
      <c r="I201" s="130">
        <v>180.15408999999997</v>
      </c>
      <c r="J201" s="130">
        <f>IF(AND(H201="",I201=""),"",H201+I201*+Usage!C$40/1000)</f>
        <v>732.5221385714284</v>
      </c>
      <c r="K201" s="145"/>
      <c r="L201" s="152"/>
      <c r="M201" s="145">
        <f t="shared" si="106"/>
        <v>6.5806172986848654E-2</v>
      </c>
      <c r="N201" s="150"/>
      <c r="O201" s="130">
        <f>SUM(O195:O200)</f>
        <v>13.835244134497829</v>
      </c>
      <c r="P201" s="130">
        <f>SUM(P193:P200)</f>
        <v>191.72284325111457</v>
      </c>
      <c r="Q201" s="130">
        <f t="shared" ref="Q201" si="112">IF(AND(O201="",P201=""),"",O201+P201*$F201/1000)</f>
        <v>780.72661713895616</v>
      </c>
      <c r="R201" s="145"/>
      <c r="S201" s="145"/>
      <c r="T201" s="145"/>
      <c r="U201" s="145"/>
      <c r="V201" s="145"/>
      <c r="W201" s="145"/>
      <c r="X201" s="145"/>
      <c r="Y201" s="145"/>
      <c r="Z201" s="145"/>
      <c r="AA201" s="145"/>
      <c r="AB201" s="145"/>
      <c r="AC201" s="145"/>
      <c r="AD201" s="145"/>
      <c r="AE201" s="145"/>
      <c r="AF201" s="145"/>
      <c r="AG201" s="145"/>
      <c r="AH201" s="145"/>
      <c r="AI201" s="145"/>
      <c r="AJ201" s="145"/>
    </row>
    <row r="202" spans="2:36" x14ac:dyDescent="0.25">
      <c r="B202" s="3" t="str">
        <f t="shared" si="107"/>
        <v>SAPN</v>
      </c>
      <c r="C202" s="3" t="str">
        <f t="shared" si="104"/>
        <v>Residential</v>
      </c>
      <c r="D202" s="3" t="str">
        <f t="shared" si="105"/>
        <v>without CL</v>
      </c>
      <c r="F202" s="131"/>
      <c r="G202" s="3" t="s">
        <v>38</v>
      </c>
      <c r="H202" s="128"/>
      <c r="I202" s="128"/>
      <c r="J202" s="128">
        <f>J201*GST</f>
        <v>73.252213857142848</v>
      </c>
      <c r="K202" s="144"/>
      <c r="L202" s="151"/>
      <c r="M202" s="144"/>
      <c r="N202" s="149"/>
      <c r="O202" s="128"/>
      <c r="P202" s="128"/>
      <c r="Q202" s="128">
        <f>Q201*GST</f>
        <v>78.072661713895627</v>
      </c>
      <c r="R202" s="145"/>
      <c r="S202" s="145"/>
      <c r="T202" s="145"/>
      <c r="U202" s="145"/>
      <c r="V202" s="145"/>
      <c r="W202" s="145"/>
      <c r="X202" s="145"/>
      <c r="Y202" s="145"/>
      <c r="Z202" s="145"/>
      <c r="AA202" s="145"/>
      <c r="AB202" s="145"/>
      <c r="AC202" s="145"/>
      <c r="AD202" s="145"/>
      <c r="AE202" s="145"/>
      <c r="AF202" s="145"/>
      <c r="AG202" s="145"/>
      <c r="AH202" s="145"/>
      <c r="AI202" s="145"/>
      <c r="AJ202" s="145"/>
    </row>
    <row r="203" spans="2:36" x14ac:dyDescent="0.25">
      <c r="B203" s="3" t="str">
        <f t="shared" si="107"/>
        <v>SAPN</v>
      </c>
      <c r="C203" s="3" t="str">
        <f t="shared" si="104"/>
        <v>Residential</v>
      </c>
      <c r="D203" s="3" t="str">
        <f t="shared" si="105"/>
        <v>without CL</v>
      </c>
      <c r="F203" s="131"/>
      <c r="G203" s="5" t="s">
        <v>80</v>
      </c>
      <c r="H203" s="130"/>
      <c r="I203" s="130"/>
      <c r="J203" s="130">
        <f>SUM(J201:J202)</f>
        <v>805.77435242857121</v>
      </c>
      <c r="K203" s="145"/>
      <c r="L203" s="152"/>
      <c r="M203" s="145">
        <f>IF(OR(J203=0,Q203=""),"",Q203/J203-1)</f>
        <v>6.5806172986848654E-2</v>
      </c>
      <c r="N203" s="150"/>
      <c r="O203" s="130"/>
      <c r="P203" s="130"/>
      <c r="Q203" s="130">
        <f>SUM(Q201:Q202)</f>
        <v>858.79927885285178</v>
      </c>
      <c r="R203" s="145"/>
      <c r="S203" s="145"/>
      <c r="T203" s="145"/>
      <c r="U203" s="145"/>
      <c r="V203" s="145"/>
      <c r="W203" s="145"/>
      <c r="X203" s="145"/>
      <c r="Y203" s="145"/>
      <c r="Z203" s="145"/>
      <c r="AA203" s="145"/>
      <c r="AB203" s="145"/>
      <c r="AC203" s="145"/>
      <c r="AD203" s="145"/>
      <c r="AE203" s="145"/>
      <c r="AF203" s="145"/>
      <c r="AG203" s="145"/>
      <c r="AH203" s="145"/>
      <c r="AI203" s="145"/>
      <c r="AJ203" s="145"/>
    </row>
    <row r="204" spans="2:36" x14ac:dyDescent="0.25">
      <c r="F204" s="131"/>
      <c r="H204" s="128"/>
      <c r="I204" s="128"/>
      <c r="J204" s="128"/>
      <c r="K204" s="143"/>
      <c r="L204" s="151"/>
      <c r="M204" s="143"/>
      <c r="N204" s="149"/>
      <c r="O204" s="128"/>
      <c r="P204" s="128"/>
      <c r="Q204" s="128"/>
      <c r="R204" s="143"/>
      <c r="S204" s="143"/>
      <c r="T204" s="143"/>
      <c r="U204" s="143"/>
      <c r="V204" s="143"/>
      <c r="W204" s="143"/>
      <c r="X204" s="143"/>
      <c r="Y204" s="143"/>
      <c r="Z204" s="143"/>
      <c r="AA204" s="143"/>
      <c r="AB204" s="143"/>
      <c r="AC204" s="143"/>
      <c r="AD204" s="143"/>
      <c r="AE204" s="143"/>
      <c r="AF204" s="143"/>
      <c r="AG204" s="143"/>
      <c r="AH204" s="143"/>
      <c r="AI204" s="143"/>
      <c r="AJ204" s="143"/>
    </row>
    <row r="205" spans="2:36" x14ac:dyDescent="0.25">
      <c r="B205" s="5" t="s">
        <v>5</v>
      </c>
      <c r="C205" s="5" t="s">
        <v>6</v>
      </c>
      <c r="D205" s="5" t="s">
        <v>128</v>
      </c>
      <c r="F205" s="131"/>
      <c r="H205" s="128"/>
      <c r="I205" s="128"/>
      <c r="J205" s="128"/>
      <c r="K205" s="143"/>
      <c r="L205" s="151"/>
      <c r="M205" s="143"/>
      <c r="N205" s="149"/>
      <c r="O205" s="128"/>
      <c r="P205" s="128"/>
      <c r="Q205" s="128"/>
      <c r="R205" s="143"/>
      <c r="S205" s="143"/>
      <c r="T205" s="143"/>
      <c r="U205" s="143"/>
      <c r="V205" s="143"/>
      <c r="W205" s="143"/>
      <c r="X205" s="143"/>
      <c r="Y205" s="143"/>
      <c r="Z205" s="143"/>
      <c r="AA205" s="143"/>
      <c r="AB205" s="143"/>
      <c r="AC205" s="143"/>
      <c r="AD205" s="143"/>
      <c r="AE205" s="143"/>
      <c r="AF205" s="143"/>
      <c r="AG205" s="143"/>
      <c r="AH205" s="143"/>
      <c r="AI205" s="143"/>
      <c r="AJ205" s="143"/>
    </row>
    <row r="206" spans="2:36" x14ac:dyDescent="0.25">
      <c r="B206" s="3" t="str">
        <f>B205</f>
        <v>SAPN</v>
      </c>
      <c r="C206" s="3" t="str">
        <f t="shared" ref="C206:C218" si="113">C205</f>
        <v>Residential</v>
      </c>
      <c r="D206" s="3" t="str">
        <f t="shared" ref="D206:D218" si="114">D205</f>
        <v>with CL</v>
      </c>
      <c r="E206" s="3" t="s">
        <v>19</v>
      </c>
      <c r="F206" s="131">
        <f t="array" ref="F206">IFERROR(INDEX(Usage!$B$5:$P$18,MATCH($B206,Usage!$B$5:$B$18,0),MATCH($C206&amp;$D206&amp;$E206&amp;"Total",Usage!$B$5:$S$5&amp;Usage!$B$6:$S$6&amp;Usage!$B$7:$S$7&amp;Usage!$B$13:$S$13,0)),0)</f>
        <v>4200</v>
      </c>
      <c r="G206" s="5" t="s">
        <v>55</v>
      </c>
      <c r="H206" s="130">
        <f>+H201</f>
        <v>11.905778571428572</v>
      </c>
      <c r="I206" s="130">
        <v>180.15408999999997</v>
      </c>
      <c r="J206" s="130">
        <f>IF(AND(H206="",I206=""),"",H206+I206*+Usage!E$40/1000)</f>
        <v>768.55295657142835</v>
      </c>
      <c r="K206" s="145"/>
      <c r="L206" s="152"/>
      <c r="M206" s="145">
        <f>IF(OR(J206=0,Q206=""),"",Q206/J206-1)</f>
        <v>6.5731617822558874E-2</v>
      </c>
      <c r="N206" s="150"/>
      <c r="O206" s="130">
        <f>+O201</f>
        <v>13.835244134497829</v>
      </c>
      <c r="P206" s="130">
        <f>P201</f>
        <v>191.72284325111457</v>
      </c>
      <c r="Q206" s="130">
        <f>IF(AND(O206="",P206=""),"",O206+P206*$F206/1000)</f>
        <v>819.07118578917914</v>
      </c>
      <c r="R206" s="143"/>
      <c r="S206" s="143"/>
      <c r="T206" s="143"/>
      <c r="U206" s="143"/>
      <c r="V206" s="143"/>
      <c r="W206" s="143"/>
      <c r="X206" s="143"/>
      <c r="Y206" s="143"/>
      <c r="Z206" s="143"/>
      <c r="AA206" s="143"/>
      <c r="AB206" s="143"/>
      <c r="AC206" s="143"/>
      <c r="AD206" s="143"/>
      <c r="AE206" s="143"/>
      <c r="AF206" s="143"/>
      <c r="AG206" s="143"/>
      <c r="AH206" s="143"/>
      <c r="AI206" s="143"/>
      <c r="AJ206" s="143"/>
    </row>
    <row r="207" spans="2:36" x14ac:dyDescent="0.25">
      <c r="B207" s="3" t="str">
        <f t="shared" ref="B207:B218" si="115">B206</f>
        <v>SAPN</v>
      </c>
      <c r="C207" s="3" t="str">
        <f t="shared" si="113"/>
        <v>Residential</v>
      </c>
      <c r="D207" s="3" t="str">
        <f t="shared" si="114"/>
        <v>with CL</v>
      </c>
      <c r="E207" s="3" t="s">
        <v>14</v>
      </c>
      <c r="F207" s="131">
        <f t="array" ref="F207">IFERROR(INDEX(Usage!$B$5:$P$18,MATCH($B207,Usage!$B$5:$B$18,0),MATCH($C207&amp;$D207&amp;$E207,Usage!$B$5:$S$5&amp;Usage!$B$6:$S$6&amp;Usage!$B$7:$S$7,0)),0)</f>
        <v>1800</v>
      </c>
      <c r="G207" s="3" t="s">
        <v>70</v>
      </c>
      <c r="H207" s="128"/>
      <c r="I207" s="128">
        <f t="array" ref="I207">IFERROR(INDEX('Detail inputs'!$B$3:$K$195,MATCH($B207&amp;$C207&amp;$E207&amp;$G207&amp;I$5,'Detail inputs'!$B$3:$B$195&amp;'Detail inputs'!$D$3:$D$195&amp;'Detail inputs'!$F$3:$F$195&amp;'Detail inputs'!$G$3:$G$195&amp;'Detail inputs'!$H$3:$H$195,0),MATCH(I$4,'Detail inputs'!$B$3:$K$3,0)),0)</f>
        <v>89.89</v>
      </c>
      <c r="J207" s="128">
        <f>IF(AND(H207="",I207=""),"",H207+I207*+Usage!H$40/1000)</f>
        <v>161.80199999999999</v>
      </c>
      <c r="K207" s="143">
        <f>IFERROR(J207/J215,"")</f>
        <v>0.78531179516650151</v>
      </c>
      <c r="L207" s="143"/>
      <c r="M207" s="143">
        <f t="shared" ref="M207:M216" si="116">IF(OR(J207=0,Q207=""),"",Q207/J207-1)</f>
        <v>0.12865724774724674</v>
      </c>
      <c r="N207" s="140"/>
      <c r="O207" s="128"/>
      <c r="P207" s="128">
        <f t="array" ref="P207">IFERROR(INDEX('Detail inputs'!$B$3:$K$195,MATCH($B207&amp;$C207&amp;$E207&amp;$G207&amp;P$5,'Detail inputs'!$B$3:$B$195&amp;'Detail inputs'!$D$3:$D$195&amp;'Detail inputs'!$F$3:$F$195&amp;'Detail inputs'!$G$3:$G$195&amp;'Detail inputs'!$H$3:$H$195,0),MATCH(P$4,'Detail inputs'!$B$3:$K$3,0)),0)</f>
        <v>101.455</v>
      </c>
      <c r="Q207" s="128">
        <f>IF(AND(O207="",P207=""),"",O207+P207*$F207/1000)</f>
        <v>182.619</v>
      </c>
      <c r="R207" s="143">
        <f>IFERROR(Q207/Q215,"")</f>
        <v>0.84409972465888561</v>
      </c>
      <c r="S207" s="143"/>
      <c r="T207" s="378"/>
      <c r="U207" s="143"/>
      <c r="V207" s="143"/>
      <c r="W207" s="143"/>
      <c r="X207" s="143"/>
      <c r="Y207" s="143"/>
      <c r="Z207" s="143"/>
      <c r="AA207" s="143"/>
      <c r="AB207" s="143"/>
      <c r="AC207" s="143"/>
      <c r="AD207" s="143"/>
      <c r="AE207" s="143"/>
      <c r="AF207" s="143"/>
      <c r="AG207" s="143"/>
      <c r="AH207" s="143"/>
      <c r="AI207" s="143"/>
      <c r="AJ207" s="143"/>
    </row>
    <row r="208" spans="2:36" x14ac:dyDescent="0.25">
      <c r="B208" s="3" t="str">
        <f t="shared" si="115"/>
        <v>SAPN</v>
      </c>
      <c r="C208" s="3" t="str">
        <f t="shared" si="113"/>
        <v>Residential</v>
      </c>
      <c r="D208" s="3" t="str">
        <f t="shared" si="114"/>
        <v>with CL</v>
      </c>
      <c r="E208" s="3" t="s">
        <v>14</v>
      </c>
      <c r="F208" s="131">
        <f t="array" ref="F208">IFERROR(INDEX(Usage!$B$5:$P$18,MATCH($B208,Usage!$B$5:$B$18,0),MATCH($C208&amp;$D208&amp;$E208,Usage!$B$5:$S$5&amp;Usage!$B$6:$S$6&amp;Usage!$B$7:$S$7,0)),0)</f>
        <v>1800</v>
      </c>
      <c r="G208" s="3" t="s">
        <v>71</v>
      </c>
      <c r="H208" s="128"/>
      <c r="I208" s="128">
        <f t="array" ref="I208">IFERROR(INDEX('Detail inputs'!$B$3:$K$195,MATCH($B208&amp;$G208&amp;I$5,'Detail inputs'!$B$3:$B$195&amp;'Detail inputs'!$G$3:$G$195&amp;'Detail inputs'!$H$3:$H$195,0),MATCH(I$4,'Detail inputs'!$B$3:$K$3,0)),0)</f>
        <v>0.97</v>
      </c>
      <c r="J208" s="128">
        <f>IF(AND(H208="",I208=""),"",H208+I208*+Usage!H$40/1000)</f>
        <v>1.746</v>
      </c>
      <c r="K208" s="143">
        <f>IFERROR(J208/J215,"")</f>
        <v>8.4742734599121874E-3</v>
      </c>
      <c r="L208" s="143"/>
      <c r="M208" s="143">
        <f t="shared" si="116"/>
        <v>-0.39658750644031904</v>
      </c>
      <c r="N208" s="140"/>
      <c r="O208" s="128"/>
      <c r="P208" s="128">
        <f t="array" ref="P208">IFERROR(INDEX('Detail inputs'!$B$3:$K$195,MATCH($B208&amp;$G208&amp;P$5,'Detail inputs'!$B$3:$B$195&amp;'Detail inputs'!$G$3:$G$195&amp;'Detail inputs'!$H$3:$H$195,0),MATCH(P$4,'Detail inputs'!$B$3:$K$3,0)),0)</f>
        <v>0.58531011875289041</v>
      </c>
      <c r="Q208" s="128">
        <f t="shared" ref="Q208:Q214" si="117">IF(AND(O208="",P208=""),"",O208+P208*$F208/1000)</f>
        <v>1.0535582137552029</v>
      </c>
      <c r="R208" s="143">
        <f>IFERROR(Q208/Q215,"")</f>
        <v>4.8697462922416288E-3</v>
      </c>
      <c r="S208" s="143"/>
      <c r="T208" s="143"/>
      <c r="U208" s="143"/>
      <c r="V208" s="143"/>
      <c r="W208" s="143"/>
      <c r="X208" s="143"/>
      <c r="Y208" s="143"/>
      <c r="Z208" s="143"/>
      <c r="AA208" s="143"/>
      <c r="AB208" s="143"/>
      <c r="AC208" s="143"/>
      <c r="AD208" s="143"/>
      <c r="AE208" s="143"/>
      <c r="AF208" s="143"/>
      <c r="AG208" s="143"/>
      <c r="AH208" s="143"/>
      <c r="AI208" s="143"/>
      <c r="AJ208" s="143"/>
    </row>
    <row r="209" spans="2:36" x14ac:dyDescent="0.25">
      <c r="B209" s="3" t="str">
        <f t="shared" si="115"/>
        <v>SAPN</v>
      </c>
      <c r="C209" s="3" t="str">
        <f t="shared" si="113"/>
        <v>Residential</v>
      </c>
      <c r="D209" s="3" t="str">
        <f t="shared" si="114"/>
        <v>with CL</v>
      </c>
      <c r="E209" s="3" t="s">
        <v>14</v>
      </c>
      <c r="F209" s="131">
        <f t="array" ref="F209">IFERROR(INDEX(Usage!$B$5:$P$18,MATCH($B209,Usage!$B$5:$B$18,0),MATCH($C209&amp;$D209&amp;$E209,Usage!$B$5:$S$5&amp;Usage!$B$6:$S$6&amp;Usage!$B$7:$S$7,0)),0)</f>
        <v>1800</v>
      </c>
      <c r="G209" s="3" t="s">
        <v>78</v>
      </c>
      <c r="H209" s="128"/>
      <c r="I209" s="128">
        <f t="array" ref="I209">IFERROR(INDEX('Detail inputs'!$B$3:$K$195,MATCH($B209&amp;$G209&amp;I$5,'Detail inputs'!$B$3:$B$195&amp;'Detail inputs'!$G$3:$G$195&amp;'Detail inputs'!$H$3:$H$195,0),MATCH(I$4,'Detail inputs'!$B$3:$K$3,0)),0)</f>
        <v>0.50409000000000004</v>
      </c>
      <c r="J209" s="128">
        <f>IF(AND(H209="",I209=""),"",H209+I209*+Usage!H$40/1000)</f>
        <v>0.90736200000000011</v>
      </c>
      <c r="K209" s="143">
        <f>IFERROR(J209/J215,"")</f>
        <v>4.4039139261929225E-3</v>
      </c>
      <c r="L209" s="143"/>
      <c r="M209" s="143">
        <f t="shared" si="116"/>
        <v>0.13953857446090967</v>
      </c>
      <c r="N209" s="140"/>
      <c r="O209" s="128"/>
      <c r="P209" s="128">
        <f t="array" ref="P209">IFERROR(INDEX('Detail inputs'!$B$3:$K$195,MATCH($B209&amp;$G209&amp;P$5,'Detail inputs'!$B$3:$B$195&amp;'Detail inputs'!$G$3:$G$195&amp;'Detail inputs'!$H$3:$H$195,0),MATCH(P$4,'Detail inputs'!$B$3:$K$3,0)),0)</f>
        <v>0.57443</v>
      </c>
      <c r="Q209" s="128">
        <f t="shared" si="117"/>
        <v>1.0339739999999999</v>
      </c>
      <c r="R209" s="143">
        <f>IFERROR(Q209/Q215,"")</f>
        <v>4.779224334294058E-3</v>
      </c>
      <c r="S209" s="143"/>
      <c r="T209" s="143"/>
      <c r="U209" s="143"/>
      <c r="V209" s="143"/>
      <c r="W209" s="143"/>
      <c r="X209" s="143"/>
      <c r="Y209" s="143"/>
      <c r="Z209" s="143"/>
      <c r="AA209" s="143"/>
      <c r="AB209" s="143"/>
      <c r="AC209" s="143"/>
      <c r="AD209" s="143"/>
      <c r="AE209" s="143"/>
      <c r="AF209" s="143"/>
      <c r="AG209" s="143"/>
      <c r="AH209" s="143"/>
      <c r="AI209" s="143"/>
      <c r="AJ209" s="143"/>
    </row>
    <row r="210" spans="2:36" x14ac:dyDescent="0.25">
      <c r="B210" s="3" t="str">
        <f t="shared" si="115"/>
        <v>SAPN</v>
      </c>
      <c r="C210" s="3" t="str">
        <f t="shared" si="113"/>
        <v>Residential</v>
      </c>
      <c r="D210" s="3" t="str">
        <f t="shared" si="114"/>
        <v>with CL</v>
      </c>
      <c r="E210" s="3" t="s">
        <v>14</v>
      </c>
      <c r="F210" s="131">
        <f t="array" ref="F210">IFERROR(INDEX(Usage!$B$5:$P$18,MATCH($B210,Usage!$B$5:$B$18,0),MATCH($C210&amp;$D210&amp;$E210,Usage!$B$5:$S$5&amp;Usage!$B$6:$S$6&amp;Usage!$B$7:$S$7,0)),0)</f>
        <v>1800</v>
      </c>
      <c r="G210" s="3" t="s">
        <v>72</v>
      </c>
      <c r="H210" s="128"/>
      <c r="I210" s="128">
        <f t="array" ref="I210">IFERROR(INDEX('Detail inputs'!$B$3:$K$195,MATCH($B210&amp;$G210&amp;I$5,'Detail inputs'!$B$3:$B$195&amp;'Detail inputs'!$G$3:$G$195&amp;'Detail inputs'!$H$3:$H$195,0),MATCH(I$4,'Detail inputs'!$B$3:$K$3,0)),0)</f>
        <v>0</v>
      </c>
      <c r="J210" s="128">
        <f>IF(AND(H210="",I210=""),"",H210+I210*+Usage!H$40/1000)</f>
        <v>0</v>
      </c>
      <c r="K210" s="143">
        <f>IFERROR(J210/J215,"")</f>
        <v>0</v>
      </c>
      <c r="L210" s="143"/>
      <c r="M210" s="143" t="str">
        <f t="shared" si="116"/>
        <v/>
      </c>
      <c r="N210" s="140"/>
      <c r="O210" s="128"/>
      <c r="P210" s="128">
        <f t="array" ref="P210">IFERROR(INDEX('Detail inputs'!$B$3:$K$195,MATCH($B210&amp;$G210&amp;P$5,'Detail inputs'!$B$3:$B$195&amp;'Detail inputs'!$G$3:$G$195&amp;'Detail inputs'!$H$3:$H$195,0),MATCH(P$4,'Detail inputs'!$B$3:$K$3,0)),0)</f>
        <v>6.7563101629320773E-3</v>
      </c>
      <c r="Q210" s="128">
        <f t="shared" si="117"/>
        <v>1.2161358293277739E-2</v>
      </c>
      <c r="R210" s="143">
        <f>IFERROR(Q210/Q215,"")</f>
        <v>5.6212109292208337E-5</v>
      </c>
      <c r="S210" s="143"/>
      <c r="T210" s="143"/>
      <c r="U210" s="143"/>
      <c r="V210" s="143"/>
      <c r="W210" s="143"/>
      <c r="X210" s="143"/>
      <c r="Y210" s="143"/>
      <c r="Z210" s="143"/>
      <c r="AA210" s="143"/>
      <c r="AB210" s="143"/>
      <c r="AC210" s="143"/>
      <c r="AD210" s="143"/>
      <c r="AE210" s="143"/>
      <c r="AF210" s="143"/>
      <c r="AG210" s="143"/>
      <c r="AH210" s="143"/>
      <c r="AI210" s="143"/>
      <c r="AJ210" s="143"/>
    </row>
    <row r="211" spans="2:36" x14ac:dyDescent="0.25">
      <c r="B211" s="3" t="str">
        <f t="shared" si="115"/>
        <v>SAPN</v>
      </c>
      <c r="C211" s="3" t="str">
        <f t="shared" si="113"/>
        <v>Residential</v>
      </c>
      <c r="D211" s="3" t="str">
        <f t="shared" si="114"/>
        <v>with CL</v>
      </c>
      <c r="E211" s="3" t="s">
        <v>14</v>
      </c>
      <c r="F211" s="131">
        <f t="array" ref="F211">IFERROR(INDEX(Usage!$B$5:$P$18,MATCH($B211,Usage!$B$5:$B$18,0),MATCH($C211&amp;$D211&amp;$E211,Usage!$B$5:$S$5&amp;Usage!$B$6:$S$6&amp;Usage!$B$7:$S$7,0)),0)</f>
        <v>1800</v>
      </c>
      <c r="G211" s="3" t="str">
        <f>+G197</f>
        <v>June 2022 Event Cost</v>
      </c>
      <c r="H211" s="128"/>
      <c r="I211" s="128">
        <f t="array" ref="I211">IFERROR(INDEX('Detail inputs'!$B$3:$K$195,MATCH($B211&amp;$G211&amp;I$5,'Detail inputs'!$B$3:$B$195&amp;'Detail inputs'!$G$3:$G$195&amp;'Detail inputs'!$H$3:$H$195,0),MATCH(I$4,'Detail inputs'!$B$3:$K$3,0)),0)</f>
        <v>0</v>
      </c>
      <c r="J211" s="128">
        <f>IF(AND(H211="",I211=""),"",H211+I211*+Usage!H$40/1000)</f>
        <v>0</v>
      </c>
      <c r="K211" s="143">
        <f>IFERROR(J211/J216,"")</f>
        <v>0</v>
      </c>
      <c r="L211" s="143"/>
      <c r="M211" s="143" t="str">
        <f t="shared" ref="M211" si="118">IF(OR(J211=0,Q211=""),"",Q211/J211-1)</f>
        <v/>
      </c>
      <c r="N211" s="140"/>
      <c r="O211" s="128"/>
      <c r="P211" s="128">
        <f t="array" ref="P211">IFERROR(INDEX('Detail inputs'!$B$3:$K$195,MATCH($B211&amp;$G211&amp;P$5,'Detail inputs'!$B$3:$B$195&amp;'Detail inputs'!$G$3:$G$195&amp;'Detail inputs'!$H$3:$H$195,0),MATCH(P$4,'Detail inputs'!$B$3:$K$3,0)),0)</f>
        <v>5.0625427163511004E-2</v>
      </c>
      <c r="Q211" s="128">
        <f t="shared" ref="Q211" si="119">IF(AND(O211="",P211=""),"",O211+P211*$F211/1000)</f>
        <v>9.1125768894319809E-2</v>
      </c>
      <c r="R211" s="143">
        <f>IFERROR(Q211/Q216,"")</f>
        <v>8.8008605686072222E-5</v>
      </c>
      <c r="S211" s="143"/>
      <c r="T211" s="143"/>
      <c r="U211" s="143"/>
      <c r="V211" s="143"/>
      <c r="W211" s="143"/>
      <c r="X211" s="143"/>
      <c r="Y211" s="143"/>
      <c r="Z211" s="143"/>
      <c r="AA211" s="143"/>
      <c r="AB211" s="143"/>
      <c r="AC211" s="143"/>
      <c r="AD211" s="143"/>
      <c r="AE211" s="143"/>
      <c r="AF211" s="143"/>
      <c r="AG211" s="143"/>
      <c r="AH211" s="143"/>
      <c r="AI211" s="143"/>
      <c r="AJ211" s="143"/>
    </row>
    <row r="212" spans="2:36" x14ac:dyDescent="0.25">
      <c r="B212" s="3" t="str">
        <f t="shared" si="115"/>
        <v>SAPN</v>
      </c>
      <c r="C212" s="3" t="str">
        <f t="shared" si="113"/>
        <v>Residential</v>
      </c>
      <c r="D212" s="3" t="str">
        <f t="shared" si="114"/>
        <v>with CL</v>
      </c>
      <c r="E212" s="3" t="s">
        <v>14</v>
      </c>
      <c r="F212" s="131">
        <f t="array" ref="F212">IFERROR(INDEX(Usage!$B$5:$P$18,MATCH($B212,Usage!$B$5:$B$18,0),MATCH($C212&amp;$D212&amp;$E212,Usage!$B$5:$S$5&amp;Usage!$B$6:$S$6&amp;Usage!$B$7:$S$7,0)),0)</f>
        <v>1800</v>
      </c>
      <c r="G212" s="3" t="s">
        <v>135</v>
      </c>
      <c r="H212" s="128"/>
      <c r="I212" s="128">
        <f t="array" ref="I212">IFERROR(INDEX('Detail inputs'!$B$3:$K$195,MATCH($B212&amp;$G212&amp;I$5,'Detail inputs'!$B$3:$B$195&amp;'Detail inputs'!$G$3:$G$195&amp;'Detail inputs'!$H$3:$H$195,0),MATCH(I$4,'Detail inputs'!$B$3:$K$3,0)),0)</f>
        <v>3.32</v>
      </c>
      <c r="J212" s="128">
        <f>IF(AND(H212="",I212=""),"",H212+I212*+Usage!H$40/1000)</f>
        <v>5.976</v>
      </c>
      <c r="K212" s="143">
        <f>IFERROR(J212/J215,"")</f>
        <v>2.9004729780318005E-2</v>
      </c>
      <c r="L212" s="143"/>
      <c r="M212" s="143">
        <f t="shared" si="116"/>
        <v>0.11228096704546631</v>
      </c>
      <c r="N212" s="140"/>
      <c r="O212" s="128"/>
      <c r="P212" s="128">
        <f t="array" ref="P212">IFERROR(INDEX('Detail inputs'!$B$3:$K$195,MATCH($B212&amp;$G212&amp;P$5,'Detail inputs'!$B$3:$B$195&amp;'Detail inputs'!$G$3:$G$195&amp;'Detail inputs'!$H$3:$H$195,0),MATCH(P$4,'Detail inputs'!$B$3:$K$3,0)),0)</f>
        <v>3.6927728105909479</v>
      </c>
      <c r="Q212" s="128">
        <f>IF(AND(O212="",P212=""),"",O212+P212*$F212/1000)</f>
        <v>6.6469910590637067</v>
      </c>
      <c r="R212" s="143">
        <f>IFERROR(Q212/Q215,"")</f>
        <v>3.0723655932656236E-2</v>
      </c>
      <c r="S212" s="143"/>
      <c r="T212" s="143"/>
      <c r="U212" s="143"/>
      <c r="V212" s="143"/>
      <c r="W212" s="143"/>
      <c r="X212" s="143"/>
      <c r="Y212" s="143"/>
      <c r="Z212" s="143"/>
      <c r="AA212" s="143"/>
      <c r="AB212" s="143"/>
      <c r="AC212" s="143"/>
      <c r="AD212" s="143"/>
      <c r="AE212" s="143"/>
      <c r="AF212" s="143"/>
      <c r="AG212" s="143"/>
      <c r="AH212" s="143"/>
      <c r="AI212" s="143"/>
      <c r="AJ212" s="143"/>
    </row>
    <row r="213" spans="2:36" x14ac:dyDescent="0.25">
      <c r="B213" s="3" t="str">
        <f t="shared" si="115"/>
        <v>SAPN</v>
      </c>
      <c r="C213" s="3" t="str">
        <f t="shared" si="113"/>
        <v>Residential</v>
      </c>
      <c r="D213" s="3" t="str">
        <f t="shared" si="114"/>
        <v>with CL</v>
      </c>
      <c r="E213" s="3" t="s">
        <v>14</v>
      </c>
      <c r="F213" s="131">
        <f t="array" ref="F213">IFERROR(INDEX(Usage!$B$5:$P$18,MATCH($B213,Usage!$B$5:$B$18,0),MATCH($C213&amp;$D213&amp;$E213,Usage!$B$5:$S$5&amp;Usage!$B$6:$S$6&amp;Usage!$B$7:$S$7,0)),0)</f>
        <v>1800</v>
      </c>
      <c r="G213" s="3" t="s">
        <v>166</v>
      </c>
      <c r="H213" s="128"/>
      <c r="I213" s="128">
        <f t="array" ref="I213">IFERROR(INDEX('Detail inputs'!$B$3:$K$195,MATCH($B213&amp;$G213&amp;I$5,'Detail inputs'!$B$3:$B$195&amp;'Detail inputs'!$G$3:$G$195&amp;'Detail inputs'!$H$3:$H$195,0),MATCH(I$4,'Detail inputs'!$B$3:$K$3,0)),0)</f>
        <v>8.44</v>
      </c>
      <c r="J213" s="128">
        <f>IF(AND(H213="",I213=""),"",H213+I213*+Usage!H$40/1000)</f>
        <v>15.192</v>
      </c>
      <c r="K213" s="143">
        <f>IFERROR(J213/J215,"")</f>
        <v>7.3734915465627701E-2</v>
      </c>
      <c r="L213" s="143"/>
      <c r="M213" s="143">
        <f t="shared" ref="M213" si="120">IF(OR(J213=0,Q213=""),"",Q213/J213-1)</f>
        <v>-0.32312967788615199</v>
      </c>
      <c r="N213" s="140"/>
      <c r="O213" s="128"/>
      <c r="P213" s="128">
        <f t="array" ref="P213">IFERROR(INDEX('Detail inputs'!$B$3:$K$195,MATCH($B213&amp;$G213&amp;P$5,'Detail inputs'!$B$3:$B$195&amp;'Detail inputs'!$G$3:$G$195&amp;'Detail inputs'!$H$3:$H$195,0),MATCH(P$4,'Detail inputs'!$B$3:$K$3,0)),0)</f>
        <v>5.712785518640878</v>
      </c>
      <c r="Q213" s="128">
        <f t="shared" ref="Q213" si="121">IF(AND(O213="",P213=""),"",O213+P213*$F213/1000)</f>
        <v>10.28301393355358</v>
      </c>
      <c r="R213" s="143">
        <f>IFERROR(Q213/Q215,"")</f>
        <v>4.7530044683061788E-2</v>
      </c>
      <c r="S213" s="143"/>
      <c r="T213" s="143"/>
      <c r="U213" s="143"/>
      <c r="V213" s="143"/>
      <c r="W213" s="143"/>
      <c r="X213" s="143"/>
      <c r="Y213" s="143"/>
      <c r="Z213" s="143"/>
      <c r="AA213" s="143"/>
      <c r="AB213" s="143"/>
      <c r="AC213" s="143"/>
      <c r="AD213" s="143"/>
      <c r="AE213" s="143"/>
      <c r="AF213" s="143"/>
      <c r="AG213" s="143"/>
      <c r="AH213" s="143"/>
      <c r="AI213" s="143"/>
      <c r="AJ213" s="143"/>
    </row>
    <row r="214" spans="2:36" x14ac:dyDescent="0.25">
      <c r="B214" s="3" t="str">
        <f t="shared" si="115"/>
        <v>SAPN</v>
      </c>
      <c r="C214" s="3" t="str">
        <f t="shared" si="113"/>
        <v>Residential</v>
      </c>
      <c r="D214" s="3" t="str">
        <f t="shared" si="114"/>
        <v>with CL</v>
      </c>
      <c r="E214" s="3" t="s">
        <v>14</v>
      </c>
      <c r="F214" s="131">
        <f t="array" ref="F214">IFERROR(INDEX(Usage!$B$5:$P$18,MATCH($B214,Usage!$B$5:$B$18,0),MATCH($C214&amp;$D214&amp;$E214,Usage!$B$5:$S$5&amp;Usage!$B$6:$S$6&amp;Usage!$B$7:$S$7,0)),0)</f>
        <v>1800</v>
      </c>
      <c r="G214" s="3" t="s">
        <v>73</v>
      </c>
      <c r="H214" s="128"/>
      <c r="I214" s="128" cm="1">
        <f t="array" ref="I214">IFERROR(INDEX('Detail inputs'!$B$3:$K$195,MATCH($B214&amp;$C214&amp;$E214&amp;$G214&amp;I$5,'Detail inputs'!$B$3:$B$195&amp;'Detail inputs'!$D$3:$D$195&amp;'Detail inputs'!$F$3:$F$195&amp;'Detail inputs'!$G$3:$G$195&amp;'Detail inputs'!$H$3:$H$195,0),MATCH(I$4,'Detail inputs'!$B$3:$K$3,0)),0)*SUM(I207:I213)</f>
        <v>11.343649899999999</v>
      </c>
      <c r="J214" s="128">
        <f>IF(AND(H214="",I214=""),"",H214+I214*+Usage!H$40/1000)</f>
        <v>20.418569819999998</v>
      </c>
      <c r="K214" s="143">
        <f>IFERROR(J214/J215,"")</f>
        <v>9.9102259057840758E-2</v>
      </c>
      <c r="L214" s="143"/>
      <c r="M214" s="143">
        <f t="shared" si="116"/>
        <v>-0.28458087344394745</v>
      </c>
      <c r="N214" s="140"/>
      <c r="O214" s="128"/>
      <c r="P214" s="128" cm="1">
        <f t="array" ref="P214">IFERROR(INDEX('Detail inputs'!$B$3:$K$195,MATCH($B214&amp;$C214&amp;$E214&amp;$G214&amp;P$5,'Detail inputs'!$B$3:$B$195&amp;'Detail inputs'!$D$3:$D$195&amp;'Detail inputs'!$F$3:$F$195&amp;'Detail inputs'!$G$3:$G$195&amp;'Detail inputs'!$H$3:$H$195,0),MATCH(P$4,'Detail inputs'!$B$3:$K$3,0)),0)*SUM(P207:P213)</f>
        <v>8.1154641034156523</v>
      </c>
      <c r="Q214" s="128">
        <f t="shared" si="117"/>
        <v>14.607835386148174</v>
      </c>
      <c r="R214" s="143">
        <f>IFERROR(Q214/Q215,"")</f>
        <v>6.7520191367327606E-2</v>
      </c>
      <c r="S214" s="143"/>
      <c r="T214" s="143"/>
      <c r="U214" s="143"/>
      <c r="V214" s="143"/>
      <c r="W214" s="143"/>
      <c r="X214" s="143"/>
      <c r="Y214" s="143"/>
      <c r="Z214" s="143"/>
      <c r="AA214" s="143"/>
      <c r="AB214" s="143"/>
      <c r="AC214" s="143"/>
      <c r="AD214" s="143"/>
      <c r="AE214" s="143"/>
      <c r="AF214" s="143"/>
      <c r="AG214" s="143"/>
      <c r="AH214" s="143"/>
      <c r="AI214" s="143"/>
      <c r="AJ214" s="143"/>
    </row>
    <row r="215" spans="2:36" x14ac:dyDescent="0.25">
      <c r="B215" s="3" t="str">
        <f t="shared" si="115"/>
        <v>SAPN</v>
      </c>
      <c r="C215" s="3" t="str">
        <f t="shared" si="113"/>
        <v>Residential</v>
      </c>
      <c r="D215" s="3" t="str">
        <f t="shared" si="114"/>
        <v>with CL</v>
      </c>
      <c r="E215" s="3" t="s">
        <v>14</v>
      </c>
      <c r="F215" s="131">
        <f t="array" ref="F215">IFERROR(INDEX(Usage!$B$5:$P$18,MATCH($B215,Usage!$B$5:$B$18,0),MATCH($C215&amp;$D215&amp;$E215,Usage!$B$5:$S$5&amp;Usage!$B$6:$S$6&amp;Usage!$B$7:$S$7,0)),0)</f>
        <v>1800</v>
      </c>
      <c r="G215" s="5" t="s">
        <v>55</v>
      </c>
      <c r="H215" s="130"/>
      <c r="I215" s="130">
        <v>114.46409</v>
      </c>
      <c r="J215" s="130">
        <f>IF(AND(H215="",I215=""),"",H215+I215*+Usage!H$40/1000)</f>
        <v>206.03536199999999</v>
      </c>
      <c r="K215" s="145"/>
      <c r="L215" s="152"/>
      <c r="M215" s="145">
        <f t="shared" si="116"/>
        <v>5.0051105885931646E-2</v>
      </c>
      <c r="N215" s="150"/>
      <c r="O215" s="130"/>
      <c r="P215" s="130">
        <f>SUM(P207:P214)</f>
        <v>120.1931442887268</v>
      </c>
      <c r="Q215" s="130">
        <f>SUM(Q207:Q214)</f>
        <v>216.34765971970825</v>
      </c>
      <c r="R215" s="144"/>
      <c r="S215" s="144"/>
      <c r="T215" s="144"/>
      <c r="U215" s="144"/>
      <c r="V215" s="144"/>
      <c r="W215" s="144"/>
      <c r="X215" s="144"/>
      <c r="Y215" s="144"/>
      <c r="Z215" s="144"/>
      <c r="AA215" s="144"/>
      <c r="AB215" s="144"/>
      <c r="AC215" s="144"/>
      <c r="AD215" s="144"/>
      <c r="AE215" s="144"/>
      <c r="AF215" s="144"/>
      <c r="AG215" s="144"/>
      <c r="AH215" s="144"/>
      <c r="AI215" s="144"/>
      <c r="AJ215" s="144"/>
    </row>
    <row r="216" spans="2:36" x14ac:dyDescent="0.25">
      <c r="B216" s="3" t="str">
        <f t="shared" si="115"/>
        <v>SAPN</v>
      </c>
      <c r="C216" s="3" t="str">
        <f t="shared" si="113"/>
        <v>Residential</v>
      </c>
      <c r="D216" s="3" t="str">
        <f t="shared" si="114"/>
        <v>with CL</v>
      </c>
      <c r="E216" s="3" t="s">
        <v>55</v>
      </c>
      <c r="F216" s="131">
        <f t="array" ref="F216">IFERROR(INDEX(Usage!$B$5:$P$18,MATCH($B216,Usage!$B$5:$B$18,0),MATCH($C216&amp;$D216&amp;$E216,Usage!$B$5:$S$5&amp;Usage!$B$6:$S$6&amp;Usage!$B$7:$S$7,0)),0)</f>
        <v>6000</v>
      </c>
      <c r="G216" s="5" t="s">
        <v>55</v>
      </c>
      <c r="H216" s="130"/>
      <c r="I216" s="130"/>
      <c r="J216" s="130">
        <f>J206+J215</f>
        <v>974.58831857142832</v>
      </c>
      <c r="K216" s="145"/>
      <c r="L216" s="152"/>
      <c r="M216" s="145">
        <f t="shared" si="116"/>
        <v>6.2416638675318659E-2</v>
      </c>
      <c r="N216" s="150"/>
      <c r="O216" s="130"/>
      <c r="P216" s="130"/>
      <c r="Q216" s="130">
        <f>Q206+Q215</f>
        <v>1035.4188455088874</v>
      </c>
      <c r="R216" s="144"/>
      <c r="S216" s="144"/>
      <c r="T216" s="144"/>
      <c r="U216" s="144"/>
      <c r="V216" s="144"/>
      <c r="W216" s="144"/>
      <c r="X216" s="144"/>
      <c r="Y216" s="144"/>
      <c r="Z216" s="144"/>
      <c r="AA216" s="144"/>
      <c r="AB216" s="144"/>
      <c r="AC216" s="144"/>
      <c r="AD216" s="144"/>
      <c r="AE216" s="144"/>
      <c r="AF216" s="144"/>
      <c r="AG216" s="144"/>
      <c r="AH216" s="144"/>
      <c r="AI216" s="144"/>
      <c r="AJ216" s="144"/>
    </row>
    <row r="217" spans="2:36" x14ac:dyDescent="0.25">
      <c r="B217" s="3" t="str">
        <f t="shared" si="115"/>
        <v>SAPN</v>
      </c>
      <c r="C217" s="3" t="str">
        <f t="shared" si="113"/>
        <v>Residential</v>
      </c>
      <c r="D217" s="3" t="str">
        <f t="shared" si="114"/>
        <v>with CL</v>
      </c>
      <c r="F217" s="131"/>
      <c r="G217" s="3" t="s">
        <v>38</v>
      </c>
      <c r="H217" s="128"/>
      <c r="I217" s="128"/>
      <c r="J217" s="128">
        <f>J216*GST</f>
        <v>97.45883185714284</v>
      </c>
      <c r="K217" s="144"/>
      <c r="L217" s="151"/>
      <c r="M217" s="144"/>
      <c r="N217" s="149"/>
      <c r="O217" s="128"/>
      <c r="P217" s="128"/>
      <c r="Q217" s="128">
        <f>Q216*GST</f>
        <v>103.54188455088875</v>
      </c>
      <c r="R217" s="144"/>
      <c r="S217" s="144"/>
      <c r="T217" s="144"/>
      <c r="U217" s="144"/>
      <c r="V217" s="144"/>
      <c r="W217" s="144"/>
      <c r="X217" s="144"/>
      <c r="Y217" s="144"/>
      <c r="Z217" s="144"/>
      <c r="AA217" s="144"/>
      <c r="AB217" s="144"/>
      <c r="AC217" s="144"/>
      <c r="AD217" s="144"/>
      <c r="AE217" s="144"/>
      <c r="AF217" s="144"/>
      <c r="AG217" s="144"/>
      <c r="AH217" s="144"/>
      <c r="AI217" s="144"/>
      <c r="AJ217" s="144"/>
    </row>
    <row r="218" spans="2:36" x14ac:dyDescent="0.25">
      <c r="B218" s="3" t="str">
        <f t="shared" si="115"/>
        <v>SAPN</v>
      </c>
      <c r="C218" s="3" t="str">
        <f t="shared" si="113"/>
        <v>Residential</v>
      </c>
      <c r="D218" s="3" t="str">
        <f t="shared" si="114"/>
        <v>with CL</v>
      </c>
      <c r="F218" s="131"/>
      <c r="G218" s="5" t="s">
        <v>80</v>
      </c>
      <c r="H218" s="130"/>
      <c r="I218" s="130"/>
      <c r="J218" s="130">
        <f>SUM(J216:J217)</f>
        <v>1072.0471504285711</v>
      </c>
      <c r="K218" s="145"/>
      <c r="L218" s="152"/>
      <c r="M218" s="145">
        <f>IF(OR(J218=0,Q218=""),"",Q218/J218-1)</f>
        <v>6.2416638675318659E-2</v>
      </c>
      <c r="N218" s="150"/>
      <c r="O218" s="130"/>
      <c r="P218" s="130"/>
      <c r="Q218" s="130">
        <f>SUM(Q216:Q217)</f>
        <v>1138.9607300597761</v>
      </c>
      <c r="R218" s="144"/>
      <c r="S218" s="144"/>
      <c r="T218" s="144"/>
      <c r="U218" s="144"/>
      <c r="V218" s="144"/>
      <c r="W218" s="144"/>
      <c r="X218" s="144"/>
      <c r="Y218" s="144"/>
      <c r="Z218" s="144"/>
      <c r="AA218" s="144"/>
      <c r="AB218" s="144"/>
      <c r="AC218" s="144"/>
      <c r="AD218" s="144"/>
      <c r="AE218" s="144"/>
      <c r="AF218" s="144"/>
      <c r="AG218" s="144"/>
      <c r="AH218" s="144"/>
      <c r="AI218" s="144"/>
      <c r="AJ218" s="144"/>
    </row>
    <row r="219" spans="2:36" x14ac:dyDescent="0.25">
      <c r="F219" s="131"/>
      <c r="H219" s="128"/>
      <c r="I219" s="128"/>
      <c r="J219" s="128"/>
      <c r="K219" s="144"/>
      <c r="L219" s="151"/>
      <c r="M219" s="143"/>
      <c r="N219" s="149"/>
      <c r="O219" s="128"/>
      <c r="P219" s="128"/>
      <c r="Q219" s="128"/>
      <c r="R219" s="144"/>
      <c r="S219" s="144"/>
      <c r="T219" s="144"/>
      <c r="U219" s="144"/>
      <c r="V219" s="144"/>
      <c r="W219" s="144"/>
      <c r="X219" s="144"/>
      <c r="Y219" s="144"/>
      <c r="Z219" s="144"/>
      <c r="AA219" s="144"/>
      <c r="AB219" s="144"/>
      <c r="AC219" s="144"/>
      <c r="AD219" s="144"/>
      <c r="AE219" s="144"/>
      <c r="AF219" s="144"/>
      <c r="AG219" s="144"/>
      <c r="AH219" s="144"/>
      <c r="AI219" s="144"/>
      <c r="AJ219" s="144"/>
    </row>
    <row r="220" spans="2:36" x14ac:dyDescent="0.25">
      <c r="B220" s="5" t="s">
        <v>5</v>
      </c>
      <c r="C220" s="5" t="s">
        <v>13</v>
      </c>
      <c r="D220" s="5" t="s">
        <v>127</v>
      </c>
      <c r="F220" s="131"/>
      <c r="H220" s="128"/>
      <c r="I220" s="128"/>
      <c r="J220" s="128"/>
      <c r="K220" s="144"/>
      <c r="L220" s="151"/>
      <c r="M220" s="143"/>
      <c r="N220" s="149"/>
      <c r="O220" s="128"/>
      <c r="P220" s="128"/>
      <c r="Q220" s="128"/>
      <c r="R220" s="144"/>
      <c r="S220" s="144"/>
      <c r="T220" s="144"/>
      <c r="U220" s="144"/>
      <c r="V220" s="144"/>
      <c r="W220" s="144"/>
      <c r="X220" s="144"/>
      <c r="Y220" s="144"/>
      <c r="Z220" s="144"/>
      <c r="AA220" s="144"/>
      <c r="AB220" s="144"/>
      <c r="AC220" s="144"/>
      <c r="AD220" s="144"/>
      <c r="AE220" s="144"/>
      <c r="AF220" s="144"/>
      <c r="AG220" s="144"/>
      <c r="AH220" s="144"/>
      <c r="AI220" s="144"/>
      <c r="AJ220" s="144"/>
    </row>
    <row r="221" spans="2:36" x14ac:dyDescent="0.25">
      <c r="B221" s="3" t="str">
        <f>B220</f>
        <v>SAPN</v>
      </c>
      <c r="C221" s="3" t="str">
        <f t="shared" ref="C221:C231" si="122">C220</f>
        <v>Small business</v>
      </c>
      <c r="D221" s="3" t="str">
        <f t="shared" ref="D221:D231" si="123">D220</f>
        <v>without CL</v>
      </c>
      <c r="E221" s="3" t="s">
        <v>19</v>
      </c>
      <c r="F221" s="131">
        <f t="array" ref="F221">IFERROR(INDEX(Usage!$B$5:$P$18,MATCH($B221,Usage!$B$5:$B$18,0),MATCH($C221&amp;$D221&amp;$E221,Usage!$B$5:$S$5&amp;Usage!$B$6:$S$6&amp;Usage!$B$7:$S$7,0)),0)</f>
        <v>10000</v>
      </c>
      <c r="G221" s="3" t="s">
        <v>70</v>
      </c>
      <c r="H221" s="128"/>
      <c r="I221" s="128">
        <f t="array" ref="I221">IFERROR(INDEX('Detail inputs'!$B$3:$K$195,MATCH($B221&amp;$C221&amp;$E221&amp;$G221&amp;I$5,'Detail inputs'!$B$3:$B$195&amp;'Detail inputs'!$D$3:$D$195&amp;'Detail inputs'!$F$3:$F$195&amp;'Detail inputs'!$G$3:$G$195&amp;'Detail inputs'!$H$3:$H$195,0),MATCH(I$4,'Detail inputs'!$B$3:$K$3,0)),0)</f>
        <v>149.07</v>
      </c>
      <c r="J221" s="128">
        <f>IF(AND(H221="",I221=""),"",H221+I221*+Usage!M$40/1000)</f>
        <v>1490.7</v>
      </c>
      <c r="K221" s="143">
        <f>IFERROR(J221/J229,"")</f>
        <v>0.82202582387165801</v>
      </c>
      <c r="L221" s="143"/>
      <c r="M221" s="143">
        <f t="shared" ref="M221:M229" si="124">IF(OR(J221=0,Q221=""),"",Q221/J221-1)</f>
        <v>0.1280271013617762</v>
      </c>
      <c r="N221" s="140"/>
      <c r="O221" s="128"/>
      <c r="P221" s="128" cm="1">
        <f t="array" ref="P221">IFERROR(INDEX('Detail inputs'!$B$3:$K$195,MATCH($B221&amp;$C221&amp;$E221&amp;$G221&amp;P$5,'Detail inputs'!$B$3:$B$195&amp;'Detail inputs'!$D$3:$D$195&amp;'Detail inputs'!$F$3:$F$195&amp;'Detail inputs'!$G$3:$G$195&amp;'Detail inputs'!$H$3:$H$195,0),MATCH(P$4,'Detail inputs'!$B$3:$K$3,0)),0)</f>
        <v>168.155</v>
      </c>
      <c r="Q221" s="128">
        <f>IF(AND(O221="",P221=""),"",O221+P221*$F221/1000)</f>
        <v>1681.55</v>
      </c>
      <c r="R221" s="143">
        <f>IFERROR(Q221/Q229,"")</f>
        <v>0.87078951374660962</v>
      </c>
      <c r="S221" s="143"/>
      <c r="T221" s="378"/>
      <c r="U221" s="143"/>
      <c r="V221" s="143"/>
      <c r="W221" s="143"/>
      <c r="X221" s="143"/>
      <c r="Y221" s="143"/>
      <c r="Z221" s="143"/>
      <c r="AA221" s="143"/>
      <c r="AB221" s="143"/>
      <c r="AC221" s="143"/>
      <c r="AD221" s="143"/>
      <c r="AE221" s="143"/>
      <c r="AF221" s="143"/>
      <c r="AG221" s="143"/>
      <c r="AH221" s="143"/>
      <c r="AI221" s="143"/>
      <c r="AJ221" s="143"/>
    </row>
    <row r="222" spans="2:36" x14ac:dyDescent="0.25">
      <c r="B222" s="3" t="str">
        <f t="shared" ref="B222:B231" si="125">B221</f>
        <v>SAPN</v>
      </c>
      <c r="C222" s="3" t="str">
        <f t="shared" si="122"/>
        <v>Small business</v>
      </c>
      <c r="D222" s="3" t="str">
        <f t="shared" si="123"/>
        <v>without CL</v>
      </c>
      <c r="E222" s="3" t="s">
        <v>19</v>
      </c>
      <c r="F222" s="131">
        <f t="array" ref="F222">IFERROR(INDEX(Usage!$B$5:$P$18,MATCH($B222,Usage!$B$5:$B$18,0),MATCH($C222&amp;$D222&amp;$E222,Usage!$B$5:$S$5&amp;Usage!$B$6:$S$6&amp;Usage!$B$7:$S$7,0)),0)</f>
        <v>10000</v>
      </c>
      <c r="G222" s="3" t="s">
        <v>71</v>
      </c>
      <c r="H222" s="128"/>
      <c r="I222" s="128">
        <f t="array" ref="I222">IFERROR(INDEX('Detail inputs'!$B$3:$K$195,MATCH($B222&amp;$G222&amp;I$5,'Detail inputs'!$B$3:$B$195&amp;'Detail inputs'!$G$3:$G$195&amp;'Detail inputs'!$H$3:$H$195,0),MATCH(I$4,'Detail inputs'!$B$3:$K$3,0)),0)</f>
        <v>0.97</v>
      </c>
      <c r="J222" s="128">
        <f>IF(AND(H222="",I222=""),"",H222+I222*+Usage!M$40/1000)</f>
        <v>9.6999999999999993</v>
      </c>
      <c r="K222" s="143">
        <f>IFERROR(J222/J229,"")</f>
        <v>5.3489303626182878E-3</v>
      </c>
      <c r="L222" s="143"/>
      <c r="M222" s="143">
        <f t="shared" si="124"/>
        <v>-0.39658750644031915</v>
      </c>
      <c r="N222" s="140"/>
      <c r="O222" s="128"/>
      <c r="P222" s="128">
        <f t="array" ref="P222">IFERROR(INDEX('Detail inputs'!$B$3:$K$195,MATCH($B222&amp;$G222&amp;P$5,'Detail inputs'!$B$3:$B$195&amp;'Detail inputs'!$G$3:$G$195&amp;'Detail inputs'!$H$3:$H$195,0),MATCH(P$4,'Detail inputs'!$B$3:$K$3,0)),0)</f>
        <v>0.58531011875289041</v>
      </c>
      <c r="Q222" s="128">
        <f t="shared" ref="Q222:Q229" si="126">IF(AND(O222="",P222=""),"",O222+P222*$F222/1000)</f>
        <v>5.8531011875289041</v>
      </c>
      <c r="R222" s="143">
        <f>IFERROR(Q222/Q229,"")</f>
        <v>3.0310244340031505E-3</v>
      </c>
      <c r="S222" s="143"/>
      <c r="T222" s="143"/>
      <c r="U222" s="143"/>
      <c r="V222" s="143"/>
      <c r="W222" s="143"/>
      <c r="X222" s="143"/>
      <c r="Y222" s="143"/>
      <c r="Z222" s="143"/>
      <c r="AA222" s="143"/>
      <c r="AB222" s="143"/>
      <c r="AC222" s="143"/>
      <c r="AD222" s="143"/>
      <c r="AE222" s="143"/>
      <c r="AF222" s="143"/>
      <c r="AG222" s="143"/>
      <c r="AH222" s="143"/>
      <c r="AI222" s="143"/>
      <c r="AJ222" s="143"/>
    </row>
    <row r="223" spans="2:36" x14ac:dyDescent="0.25">
      <c r="B223" s="3" t="str">
        <f t="shared" si="125"/>
        <v>SAPN</v>
      </c>
      <c r="C223" s="3" t="str">
        <f t="shared" si="122"/>
        <v>Small business</v>
      </c>
      <c r="D223" s="3" t="str">
        <f t="shared" si="123"/>
        <v>without CL</v>
      </c>
      <c r="E223" s="3" t="s">
        <v>19</v>
      </c>
      <c r="F223" s="131">
        <f t="array" ref="F223">IFERROR(INDEX(Usage!$B$5:$P$18,MATCH($B223,Usage!$B$5:$B$18,0),MATCH($C223&amp;$D223&amp;$E223,Usage!$B$5:$S$5&amp;Usage!$B$6:$S$6&amp;Usage!$B$7:$S$7,0)),0)</f>
        <v>10000</v>
      </c>
      <c r="G223" s="3" t="s">
        <v>78</v>
      </c>
      <c r="H223" s="128" cm="1">
        <f t="array" ref="H223">IFERROR(INDEX('Detail inputs'!$B$3:$K$195,MATCH($B223&amp;$G223&amp;H$5,'Detail inputs'!$B$3:$B$195&amp;'Detail inputs'!$G$3:$G$195&amp;'Detail inputs'!$H$3:$H$195,0),MATCH(H$4,'Detail inputs'!$B$3:$K$3,0)),0)*Days/7</f>
        <v>11.905778571428572</v>
      </c>
      <c r="I223" s="128">
        <f t="array" ref="I223">IFERROR(INDEX('Detail inputs'!$B$3:$K$195,MATCH($B223&amp;$G223&amp;I$5,'Detail inputs'!$B$3:$B$195&amp;'Detail inputs'!$G$3:$G$195&amp;'Detail inputs'!$H$3:$H$195,0),MATCH(I$4,'Detail inputs'!$B$3:$K$3,0)),0)</f>
        <v>0.50409000000000004</v>
      </c>
      <c r="J223" s="128">
        <f>IF(AND(H223="",I223=""),"",H223+I223*+Usage!M$40/1000)</f>
        <v>16.946678571428571</v>
      </c>
      <c r="K223" s="143">
        <f>IFERROR(J223/J229,"")</f>
        <v>9.3450106759017521E-3</v>
      </c>
      <c r="L223" s="143"/>
      <c r="M223" s="143">
        <f t="shared" si="124"/>
        <v>0.15536174548729376</v>
      </c>
      <c r="N223" s="140"/>
      <c r="O223" s="128" cm="1">
        <f t="array" ref="O223">IFERROR(INDEX('Detail inputs'!$B$3:$K$195,MATCH($B223&amp;$G223&amp;O$5,'Detail inputs'!$B$3:$B$195&amp;'Detail inputs'!$G$3:$G$195&amp;'Detail inputs'!$H$3:$H$195,0),MATCH(O$4,'Detail inputs'!$B$3:$K$3,0)),0)*Days/7</f>
        <v>13.835244134497829</v>
      </c>
      <c r="P223" s="128">
        <f t="array" ref="P223">IFERROR(INDEX('Detail inputs'!$B$3:$K$195,MATCH($B223&amp;$G223&amp;P$5,'Detail inputs'!$B$3:$B$195&amp;'Detail inputs'!$G$3:$G$195&amp;'Detail inputs'!$H$3:$H$195,0),MATCH(P$4,'Detail inputs'!$B$3:$K$3,0)),0)</f>
        <v>0.57443</v>
      </c>
      <c r="Q223" s="128">
        <f>IF(AND(O223="",P223=""),"",O223+P223*$F223/1000)</f>
        <v>19.57954413449783</v>
      </c>
      <c r="R223" s="143">
        <f>IFERROR(Q223/Q229,"")</f>
        <v>1.0139253496036185E-2</v>
      </c>
      <c r="S223" s="143"/>
      <c r="T223" s="143"/>
      <c r="U223" s="143"/>
      <c r="V223" s="143"/>
      <c r="W223" s="143"/>
      <c r="X223" s="143"/>
      <c r="Y223" s="143"/>
      <c r="Z223" s="143"/>
      <c r="AA223" s="143"/>
      <c r="AB223" s="143"/>
      <c r="AC223" s="143"/>
      <c r="AD223" s="143"/>
      <c r="AE223" s="143"/>
      <c r="AF223" s="143"/>
      <c r="AG223" s="143"/>
      <c r="AH223" s="143"/>
      <c r="AI223" s="143"/>
      <c r="AJ223" s="143"/>
    </row>
    <row r="224" spans="2:36" x14ac:dyDescent="0.25">
      <c r="B224" s="3" t="str">
        <f t="shared" si="125"/>
        <v>SAPN</v>
      </c>
      <c r="C224" s="3" t="str">
        <f t="shared" si="122"/>
        <v>Small business</v>
      </c>
      <c r="D224" s="3" t="str">
        <f t="shared" si="123"/>
        <v>without CL</v>
      </c>
      <c r="E224" s="3" t="s">
        <v>19</v>
      </c>
      <c r="F224" s="131">
        <f t="array" ref="F224">IFERROR(INDEX(Usage!$B$5:$P$18,MATCH($B224,Usage!$B$5:$B$18,0),MATCH($C224&amp;$D224&amp;$E224,Usage!$B$5:$S$5&amp;Usage!$B$6:$S$6&amp;Usage!$B$7:$S$7,0)),0)</f>
        <v>10000</v>
      </c>
      <c r="G224" s="3" t="s">
        <v>72</v>
      </c>
      <c r="H224" s="128"/>
      <c r="I224" s="128">
        <f t="array" ref="I224">IFERROR(INDEX('Detail inputs'!$B$3:$K$195,MATCH($B224&amp;$G224&amp;I$5,'Detail inputs'!$B$3:$B$195&amp;'Detail inputs'!$G$3:$G$195&amp;'Detail inputs'!$H$3:$H$195,0),MATCH(I$4,'Detail inputs'!$B$3:$K$3,0)),0)</f>
        <v>0</v>
      </c>
      <c r="J224" s="128">
        <f>IF(AND(H224="",I224=""),"",H224+I224*+Usage!M$40/1000)</f>
        <v>0</v>
      </c>
      <c r="K224" s="143">
        <f>IFERROR(J224/J229,"")</f>
        <v>0</v>
      </c>
      <c r="L224" s="143"/>
      <c r="M224" s="143" t="str">
        <f t="shared" si="124"/>
        <v/>
      </c>
      <c r="N224" s="140"/>
      <c r="O224" s="128"/>
      <c r="P224" s="128">
        <f t="array" ref="P224">IFERROR(INDEX('Detail inputs'!$B$3:$K$195,MATCH($B224&amp;$G224&amp;P$5,'Detail inputs'!$B$3:$B$195&amp;'Detail inputs'!$G$3:$G$195&amp;'Detail inputs'!$H$3:$H$195,0),MATCH(P$4,'Detail inputs'!$B$3:$K$3,0)),0)</f>
        <v>6.7563101629320773E-3</v>
      </c>
      <c r="Q224" s="128">
        <f t="shared" si="126"/>
        <v>6.7563101629320763E-2</v>
      </c>
      <c r="R224" s="143">
        <f>IFERROR(Q224/Q229,"")</f>
        <v>3.4987505822014803E-5</v>
      </c>
      <c r="S224" s="143"/>
      <c r="T224" s="143"/>
      <c r="U224" s="143"/>
      <c r="V224" s="143"/>
      <c r="W224" s="143"/>
      <c r="X224" s="143"/>
      <c r="Y224" s="143"/>
      <c r="Z224" s="143"/>
      <c r="AA224" s="143"/>
      <c r="AB224" s="143"/>
      <c r="AC224" s="143"/>
      <c r="AD224" s="143"/>
      <c r="AE224" s="143"/>
      <c r="AF224" s="143"/>
      <c r="AG224" s="143"/>
      <c r="AH224" s="143"/>
      <c r="AI224" s="143"/>
      <c r="AJ224" s="143"/>
    </row>
    <row r="225" spans="2:36" x14ac:dyDescent="0.25">
      <c r="B225" s="3" t="str">
        <f t="shared" si="125"/>
        <v>SAPN</v>
      </c>
      <c r="C225" s="3" t="str">
        <f t="shared" si="122"/>
        <v>Small business</v>
      </c>
      <c r="D225" s="3" t="str">
        <f t="shared" si="123"/>
        <v>without CL</v>
      </c>
      <c r="E225" s="3" t="s">
        <v>19</v>
      </c>
      <c r="F225" s="131">
        <f t="array" ref="F225">IFERROR(INDEX(Usage!$B$5:$P$18,MATCH($B225,Usage!$B$5:$B$18,0),MATCH($C225&amp;$D225&amp;$E225,Usage!$B$5:$S$5&amp;Usage!$B$6:$S$6&amp;Usage!$B$7:$S$7,0)),0)</f>
        <v>10000</v>
      </c>
      <c r="G225" s="3" t="str">
        <f>+G211</f>
        <v>June 2022 Event Cost</v>
      </c>
      <c r="H225" s="128"/>
      <c r="I225" s="128">
        <f t="array" ref="I225">IFERROR(INDEX('Detail inputs'!$B$3:$K$195,MATCH($B225&amp;$G225&amp;I$5,'Detail inputs'!$B$3:$B$195&amp;'Detail inputs'!$G$3:$G$195&amp;'Detail inputs'!$H$3:$H$195,0),MATCH(I$4,'Detail inputs'!$B$3:$K$3,0)),0)</f>
        <v>0</v>
      </c>
      <c r="J225" s="128">
        <f>IF(AND(H225="",I225=""),"",H225+I225*+Usage!M$40/1000)</f>
        <v>0</v>
      </c>
      <c r="K225" s="143">
        <f>IFERROR(J225/J230,"")</f>
        <v>0</v>
      </c>
      <c r="L225" s="143"/>
      <c r="M225" s="143" t="str">
        <f t="shared" ref="M225" si="127">IF(OR(J225=0,Q225=""),"",Q225/J225-1)</f>
        <v/>
      </c>
      <c r="N225" s="140"/>
      <c r="O225" s="128"/>
      <c r="P225" s="128">
        <f t="array" ref="P225">IFERROR(INDEX('Detail inputs'!$B$3:$K$195,MATCH($B225&amp;$G225&amp;P$5,'Detail inputs'!$B$3:$B$195&amp;'Detail inputs'!$G$3:$G$195&amp;'Detail inputs'!$H$3:$H$195,0),MATCH(P$4,'Detail inputs'!$B$3:$K$3,0)),0)</f>
        <v>5.0625427163511004E-2</v>
      </c>
      <c r="Q225" s="128">
        <f t="shared" ref="Q225" si="128">IF(AND(O225="",P225=""),"",O225+P225*$F225/1000)</f>
        <v>0.50625427163511005</v>
      </c>
      <c r="R225" s="143">
        <f>IFERROR(Q225/Q230,"")</f>
        <v>2.6216342721256075E-3</v>
      </c>
      <c r="S225" s="143"/>
      <c r="T225" s="143"/>
      <c r="U225" s="143"/>
      <c r="V225" s="143"/>
      <c r="W225" s="143"/>
      <c r="X225" s="143"/>
      <c r="Y225" s="143"/>
      <c r="Z225" s="143"/>
      <c r="AA225" s="143"/>
      <c r="AB225" s="143"/>
      <c r="AC225" s="143"/>
      <c r="AD225" s="143"/>
      <c r="AE225" s="143"/>
      <c r="AF225" s="143"/>
      <c r="AG225" s="143"/>
      <c r="AH225" s="143"/>
      <c r="AI225" s="143"/>
      <c r="AJ225" s="143"/>
    </row>
    <row r="226" spans="2:36" x14ac:dyDescent="0.25">
      <c r="B226" s="3" t="str">
        <f t="shared" si="125"/>
        <v>SAPN</v>
      </c>
      <c r="C226" s="3" t="str">
        <f t="shared" si="122"/>
        <v>Small business</v>
      </c>
      <c r="D226" s="3" t="str">
        <f t="shared" si="123"/>
        <v>without CL</v>
      </c>
      <c r="E226" s="3" t="s">
        <v>19</v>
      </c>
      <c r="F226" s="131">
        <f t="array" ref="F226">IFERROR(INDEX(Usage!$B$5:$P$18,MATCH($B226,Usage!$B$5:$B$18,0),MATCH($C226&amp;$D226&amp;$E226,Usage!$B$5:$S$5&amp;Usage!$B$6:$S$6&amp;Usage!$B$7:$S$7,0)),0)</f>
        <v>10000</v>
      </c>
      <c r="G226" s="3" t="s">
        <v>135</v>
      </c>
      <c r="H226" s="128"/>
      <c r="I226" s="128">
        <f t="array" ref="I226">IFERROR(INDEX('Detail inputs'!$B$3:$K$195,MATCH($B226&amp;$G226&amp;I$5,'Detail inputs'!$B$3:$B$195&amp;'Detail inputs'!$G$3:$G$195&amp;'Detail inputs'!$H$3:$H$195,0),MATCH(I$4,'Detail inputs'!$B$3:$K$3,0)),0)</f>
        <v>3.32</v>
      </c>
      <c r="J226" s="128">
        <f>IF(AND(H226="",I226=""),"",H226+I226*+Usage!M$40/1000)</f>
        <v>33.200000000000003</v>
      </c>
      <c r="K226" s="143">
        <f>IFERROR(J226/J229,"")</f>
        <v>1.8307679179270845E-2</v>
      </c>
      <c r="L226" s="143"/>
      <c r="M226" s="143">
        <f t="shared" si="124"/>
        <v>0.11228096704546608</v>
      </c>
      <c r="N226" s="140"/>
      <c r="O226" s="128"/>
      <c r="P226" s="128">
        <f t="array" ref="P226">IFERROR(INDEX('Detail inputs'!$B$3:$K$195,MATCH($B226&amp;$G226&amp;P$5,'Detail inputs'!$B$3:$B$195&amp;'Detail inputs'!$G$3:$G$195&amp;'Detail inputs'!$H$3:$H$195,0),MATCH(P$4,'Detail inputs'!$B$3:$K$3,0)),0)</f>
        <v>3.6927728105909479</v>
      </c>
      <c r="Q226" s="128">
        <f t="shared" si="126"/>
        <v>36.92772810590948</v>
      </c>
      <c r="R226" s="143">
        <f>IFERROR(Q226/Q229,"")</f>
        <v>1.9122998662610049E-2</v>
      </c>
      <c r="S226" s="143"/>
      <c r="T226" s="143"/>
      <c r="U226" s="143"/>
      <c r="V226" s="143"/>
      <c r="W226" s="143"/>
      <c r="X226" s="143"/>
      <c r="Y226" s="143"/>
      <c r="Z226" s="143"/>
      <c r="AA226" s="143"/>
      <c r="AB226" s="143"/>
      <c r="AC226" s="143"/>
      <c r="AD226" s="143"/>
      <c r="AE226" s="143"/>
      <c r="AF226" s="143"/>
      <c r="AG226" s="143"/>
      <c r="AH226" s="143"/>
      <c r="AI226" s="143"/>
      <c r="AJ226" s="143"/>
    </row>
    <row r="227" spans="2:36" x14ac:dyDescent="0.25">
      <c r="B227" s="3" t="str">
        <f t="shared" si="125"/>
        <v>SAPN</v>
      </c>
      <c r="C227" s="3" t="str">
        <f t="shared" si="122"/>
        <v>Small business</v>
      </c>
      <c r="D227" s="3" t="str">
        <f t="shared" si="123"/>
        <v>without CL</v>
      </c>
      <c r="E227" s="3" t="s">
        <v>19</v>
      </c>
      <c r="F227" s="131">
        <f t="array" ref="F227">IFERROR(INDEX(Usage!$B$5:$P$18,MATCH($B227,Usage!$B$5:$B$18,0),MATCH($C227&amp;$D227&amp;$E227,Usage!$B$5:$S$5&amp;Usage!$B$6:$S$6&amp;Usage!$B$7:$S$7,0)),0)</f>
        <v>10000</v>
      </c>
      <c r="G227" s="3" t="s">
        <v>166</v>
      </c>
      <c r="H227" s="128"/>
      <c r="I227" s="128">
        <f t="array" ref="I227">IFERROR(INDEX('Detail inputs'!$B$3:$K$195,MATCH($B227&amp;$G227&amp;I$5,'Detail inputs'!$B$3:$B$195&amp;'Detail inputs'!$G$3:$G$195&amp;'Detail inputs'!$H$3:$H$195,0),MATCH(I$4,'Detail inputs'!$B$3:$K$3,0)),0)</f>
        <v>8.44</v>
      </c>
      <c r="J227" s="128">
        <f>IF(AND(H227="",I227=""),"",H227+I227*+Usage!M$40/1000)</f>
        <v>84.4</v>
      </c>
      <c r="K227" s="143">
        <f>IFERROR(J227/J229,"")</f>
        <v>4.6541208515977685E-2</v>
      </c>
      <c r="L227" s="143"/>
      <c r="M227" s="143">
        <f t="shared" ref="M227" si="129">IF(OR(J227=0,Q227=""),"",Q227/J227-1)</f>
        <v>-0.32312967788615199</v>
      </c>
      <c r="N227" s="140"/>
      <c r="O227" s="128"/>
      <c r="P227" s="128">
        <f t="array" ref="P227">IFERROR(INDEX('Detail inputs'!$B$3:$K$195,MATCH($B227&amp;$G227&amp;P$5,'Detail inputs'!$B$3:$B$195&amp;'Detail inputs'!$G$3:$G$195&amp;'Detail inputs'!$H$3:$H$195,0),MATCH(P$4,'Detail inputs'!$B$3:$K$3,0)),0)</f>
        <v>5.712785518640878</v>
      </c>
      <c r="Q227" s="128">
        <f t="shared" ref="Q227" si="130">IF(AND(O227="",P227=""),"",O227+P227*$F227/1000)</f>
        <v>57.12785518640878</v>
      </c>
      <c r="R227" s="143">
        <f>IFERROR(Q227/Q229,"")</f>
        <v>2.9583620611435657E-2</v>
      </c>
      <c r="S227" s="143"/>
      <c r="T227" s="143"/>
      <c r="U227" s="143"/>
      <c r="V227" s="143"/>
      <c r="W227" s="143"/>
      <c r="X227" s="143"/>
      <c r="Y227" s="143"/>
      <c r="Z227" s="143"/>
      <c r="AA227" s="143"/>
      <c r="AB227" s="143"/>
      <c r="AC227" s="143"/>
      <c r="AD227" s="143"/>
      <c r="AE227" s="143"/>
      <c r="AF227" s="143"/>
      <c r="AG227" s="143"/>
      <c r="AH227" s="143"/>
      <c r="AI227" s="143"/>
      <c r="AJ227" s="143"/>
    </row>
    <row r="228" spans="2:36" x14ac:dyDescent="0.25">
      <c r="B228" s="3" t="str">
        <f t="shared" si="125"/>
        <v>SAPN</v>
      </c>
      <c r="C228" s="3" t="str">
        <f t="shared" si="122"/>
        <v>Small business</v>
      </c>
      <c r="D228" s="3" t="str">
        <f t="shared" si="123"/>
        <v>without CL</v>
      </c>
      <c r="E228" s="3" t="s">
        <v>19</v>
      </c>
      <c r="F228" s="131">
        <f t="array" ref="F228">IFERROR(INDEX(Usage!$B$5:$P$18,MATCH($B228,Usage!$B$5:$B$18,0),MATCH($C228&amp;$D228&amp;$E228,Usage!$B$5:$S$5&amp;Usage!$B$6:$S$6&amp;Usage!$B$7:$S$7,0)),0)</f>
        <v>10000</v>
      </c>
      <c r="G228" s="3" t="s">
        <v>73</v>
      </c>
      <c r="H228" s="128"/>
      <c r="I228" s="128" cm="1">
        <f t="array" ref="I228">IFERROR(INDEX('Detail inputs'!$B$3:$K$195,MATCH($B228&amp;$C228&amp;$E228&amp;$G228&amp;I$5,'Detail inputs'!$B$3:$B$195&amp;'Detail inputs'!$D$3:$D$195&amp;'Detail inputs'!$F$3:$F$195&amp;'Detail inputs'!$G$3:$G$195&amp;'Detail inputs'!$H$3:$H$195,0),MATCH(I$4,'Detail inputs'!$B$3:$K$3,0)),0)*SUM(I221:I227)</f>
        <v>17.853449899999998</v>
      </c>
      <c r="J228" s="128">
        <f>IF(AND(H228="",I228=""),"",H228+I228*+Usage!M$40/1000)</f>
        <v>178.53449899999998</v>
      </c>
      <c r="K228" s="143">
        <f>IFERROR(J228/J229,"")</f>
        <v>9.8450371389272609E-2</v>
      </c>
      <c r="L228" s="143"/>
      <c r="M228" s="143">
        <f>IF(OR(J228=0,Q228=""),"",Q228/J228-1)</f>
        <v>-0.27492091790038786</v>
      </c>
      <c r="N228" s="140"/>
      <c r="O228" s="128"/>
      <c r="P228" s="128" cm="1">
        <f t="array" ref="P228">IFERROR(INDEX('Detail inputs'!$B$3:$K$195,MATCH($B228&amp;$C228&amp;$E228&amp;$G228&amp;P$5,'Detail inputs'!$B$3:$B$195&amp;'Detail inputs'!$D$3:$D$195&amp;'Detail inputs'!$F$3:$F$195&amp;'Detail inputs'!$G$3:$G$195&amp;'Detail inputs'!$H$3:$H$195,0),MATCH(P$4,'Detail inputs'!$B$3:$K$3,0)),0)*SUM(P221:P227)</f>
        <v>12.94516306580341</v>
      </c>
      <c r="Q228" s="128">
        <f t="shared" si="126"/>
        <v>129.45163065803411</v>
      </c>
      <c r="R228" s="143">
        <f>IFERROR(Q228/Q229,"")</f>
        <v>6.703643811627083E-2</v>
      </c>
      <c r="S228" s="143"/>
      <c r="T228" s="143"/>
      <c r="U228" s="143"/>
      <c r="V228" s="143"/>
      <c r="W228" s="143"/>
      <c r="X228" s="143"/>
      <c r="Y228" s="143"/>
      <c r="Z228" s="143"/>
      <c r="AA228" s="143"/>
      <c r="AB228" s="143"/>
      <c r="AC228" s="143"/>
      <c r="AD228" s="143"/>
      <c r="AE228" s="143"/>
      <c r="AF228" s="143"/>
      <c r="AG228" s="143"/>
      <c r="AH228" s="143"/>
      <c r="AI228" s="143"/>
      <c r="AJ228" s="143"/>
    </row>
    <row r="229" spans="2:36" x14ac:dyDescent="0.25">
      <c r="B229" s="3" t="str">
        <f t="shared" si="125"/>
        <v>SAPN</v>
      </c>
      <c r="C229" s="3" t="str">
        <f t="shared" si="122"/>
        <v>Small business</v>
      </c>
      <c r="D229" s="3" t="str">
        <f t="shared" si="123"/>
        <v>without CL</v>
      </c>
      <c r="E229" s="3" t="s">
        <v>19</v>
      </c>
      <c r="F229" s="131">
        <f t="array" ref="F229">IFERROR(INDEX(Usage!$B$5:$P$18,MATCH($B229,Usage!$B$5:$B$18,0),MATCH($C229&amp;$D229&amp;$E229,Usage!$B$5:$S$5&amp;Usage!$B$6:$S$6&amp;Usage!$B$7:$S$7,0)),0)</f>
        <v>10000</v>
      </c>
      <c r="G229" s="5" t="s">
        <v>55</v>
      </c>
      <c r="H229" s="130">
        <f>SUM(H223:H228)</f>
        <v>11.905778571428572</v>
      </c>
      <c r="I229" s="130">
        <v>180.15408999999997</v>
      </c>
      <c r="J229" s="130">
        <f>IF(AND(H229="",I229=""),"",H229+I229*+Usage!M$40/1000)</f>
        <v>1813.4466785714283</v>
      </c>
      <c r="K229" s="145"/>
      <c r="L229" s="152"/>
      <c r="M229" s="145">
        <f t="shared" si="124"/>
        <v>6.4858261047338717E-2</v>
      </c>
      <c r="N229" s="150"/>
      <c r="O229" s="130">
        <f>SUM(O223:O228)</f>
        <v>13.835244134497829</v>
      </c>
      <c r="P229" s="130">
        <f>SUM(P221:P228)</f>
        <v>191.72284325111457</v>
      </c>
      <c r="Q229" s="130">
        <f t="shared" si="126"/>
        <v>1931.0636766456435</v>
      </c>
      <c r="R229" s="144"/>
      <c r="S229" s="144"/>
      <c r="T229" s="144"/>
      <c r="U229" s="144"/>
      <c r="V229" s="144"/>
      <c r="W229" s="144"/>
      <c r="X229" s="144"/>
      <c r="Y229" s="144"/>
      <c r="Z229" s="144"/>
      <c r="AA229" s="144"/>
      <c r="AB229" s="144"/>
      <c r="AC229" s="144"/>
      <c r="AD229" s="144"/>
      <c r="AE229" s="144"/>
      <c r="AF229" s="144"/>
      <c r="AG229" s="144"/>
      <c r="AH229" s="144"/>
      <c r="AI229" s="144"/>
      <c r="AJ229" s="144"/>
    </row>
    <row r="230" spans="2:36" x14ac:dyDescent="0.25">
      <c r="B230" s="3" t="str">
        <f t="shared" si="125"/>
        <v>SAPN</v>
      </c>
      <c r="C230" s="3" t="str">
        <f t="shared" si="122"/>
        <v>Small business</v>
      </c>
      <c r="D230" s="3" t="str">
        <f t="shared" si="123"/>
        <v>without CL</v>
      </c>
      <c r="F230" s="149"/>
      <c r="G230" s="3" t="s">
        <v>38</v>
      </c>
      <c r="H230" s="128"/>
      <c r="I230" s="128"/>
      <c r="J230" s="128">
        <f>J229*GST</f>
        <v>181.34466785714284</v>
      </c>
      <c r="K230" s="144"/>
      <c r="L230" s="151"/>
      <c r="M230" s="144"/>
      <c r="N230" s="149"/>
      <c r="O230" s="128"/>
      <c r="P230" s="128"/>
      <c r="Q230" s="128">
        <f>Q229*GST</f>
        <v>193.10636766456435</v>
      </c>
      <c r="R230" s="143" t="str">
        <f>IFERROR(Q230/Q240,"")</f>
        <v/>
      </c>
      <c r="S230" s="143"/>
      <c r="T230" s="143"/>
      <c r="U230" s="143"/>
      <c r="V230" s="143"/>
      <c r="W230" s="143"/>
      <c r="X230" s="143"/>
      <c r="Y230" s="143"/>
      <c r="Z230" s="143"/>
      <c r="AA230" s="143"/>
      <c r="AB230" s="143"/>
      <c r="AC230" s="143"/>
      <c r="AD230" s="143"/>
      <c r="AE230" s="143"/>
      <c r="AF230" s="143"/>
      <c r="AG230" s="143"/>
      <c r="AH230" s="143"/>
      <c r="AI230" s="143"/>
      <c r="AJ230" s="143"/>
    </row>
    <row r="231" spans="2:36" x14ac:dyDescent="0.25">
      <c r="B231" s="3" t="str">
        <f t="shared" si="125"/>
        <v>SAPN</v>
      </c>
      <c r="C231" s="3" t="str">
        <f t="shared" si="122"/>
        <v>Small business</v>
      </c>
      <c r="D231" s="3" t="str">
        <f t="shared" si="123"/>
        <v>without CL</v>
      </c>
      <c r="F231" s="149"/>
      <c r="G231" s="5" t="s">
        <v>80</v>
      </c>
      <c r="H231" s="130"/>
      <c r="I231" s="130"/>
      <c r="J231" s="130">
        <f>SUM(J229:J230)</f>
        <v>1994.7913464285712</v>
      </c>
      <c r="K231" s="145"/>
      <c r="L231" s="152"/>
      <c r="M231" s="145">
        <f>IF(OR(J231=0,Q231=""),"",Q231/J231-1)</f>
        <v>6.4858261047338717E-2</v>
      </c>
      <c r="N231" s="150"/>
      <c r="O231" s="130"/>
      <c r="P231" s="130"/>
      <c r="Q231" s="130">
        <f>SUM(Q229:Q230)</f>
        <v>2124.1700443102077</v>
      </c>
      <c r="R231" s="143" t="str">
        <f>IFERROR(Q231/Q240,"")</f>
        <v/>
      </c>
      <c r="S231" s="143"/>
      <c r="T231" s="143"/>
      <c r="U231" s="143"/>
      <c r="V231" s="143"/>
      <c r="W231" s="143"/>
      <c r="X231" s="143"/>
      <c r="Y231" s="143"/>
      <c r="Z231" s="143"/>
      <c r="AA231" s="143"/>
      <c r="AB231" s="143"/>
      <c r="AC231" s="143"/>
      <c r="AD231" s="143"/>
      <c r="AE231" s="143"/>
      <c r="AF231" s="143"/>
      <c r="AG231" s="143"/>
      <c r="AH231" s="143"/>
      <c r="AI231" s="143"/>
      <c r="AJ231" s="143"/>
    </row>
    <row r="232" spans="2:36" x14ac:dyDescent="0.25">
      <c r="F232" s="3"/>
      <c r="H232" s="3"/>
      <c r="I232" s="3"/>
      <c r="J232" s="3"/>
      <c r="K232" s="3" t="str">
        <f>IFERROR(J232/J240,"")</f>
        <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row>
    <row r="233" spans="2:36" x14ac:dyDescent="0.25">
      <c r="F233" s="3"/>
      <c r="H233" s="3"/>
      <c r="I233" s="3"/>
      <c r="J233" s="3"/>
      <c r="K233" s="3" t="str">
        <f>IFERROR(J233/J240,"")</f>
        <v/>
      </c>
      <c r="L233" s="3"/>
      <c r="M233" s="3"/>
      <c r="N233" s="3"/>
      <c r="O233" s="3"/>
      <c r="P233" s="3"/>
      <c r="Q233" s="3"/>
      <c r="R233" s="3" t="str">
        <f>IFERROR(Q233/Q240,"")</f>
        <v/>
      </c>
      <c r="S233" s="3"/>
      <c r="T233" s="3"/>
      <c r="U233" s="3"/>
      <c r="V233" s="3"/>
      <c r="W233" s="3"/>
      <c r="X233" s="3"/>
      <c r="Y233" s="3"/>
      <c r="Z233" s="3"/>
      <c r="AA233" s="3"/>
      <c r="AB233" s="3"/>
      <c r="AC233" s="3"/>
      <c r="AD233" s="3"/>
      <c r="AE233" s="3"/>
      <c r="AF233" s="3"/>
      <c r="AG233" s="3"/>
      <c r="AH233" s="3"/>
      <c r="AI233" s="3"/>
      <c r="AJ233" s="3"/>
    </row>
    <row r="234" spans="2:36" x14ac:dyDescent="0.25">
      <c r="F234" s="3"/>
      <c r="H234" s="3"/>
      <c r="I234" s="3"/>
      <c r="J234" s="3"/>
      <c r="K234" s="3" t="str">
        <f>IFERROR(J234/J240,"")</f>
        <v/>
      </c>
      <c r="L234" s="3"/>
      <c r="M234" s="3"/>
      <c r="N234" s="3"/>
      <c r="O234" s="3"/>
      <c r="P234" s="3"/>
      <c r="Q234" s="3"/>
      <c r="R234" s="3" t="str">
        <f>IFERROR(Q234/Q240,"")</f>
        <v/>
      </c>
      <c r="S234" s="3"/>
      <c r="T234" s="3"/>
      <c r="U234" s="3"/>
      <c r="V234" s="3"/>
      <c r="W234" s="3"/>
      <c r="X234" s="3"/>
      <c r="Y234" s="3"/>
      <c r="Z234" s="3"/>
      <c r="AA234" s="3"/>
      <c r="AB234" s="3"/>
      <c r="AC234" s="3"/>
      <c r="AD234" s="3"/>
      <c r="AE234" s="3"/>
      <c r="AF234" s="3"/>
      <c r="AG234" s="3"/>
      <c r="AH234" s="3"/>
      <c r="AI234" s="3"/>
      <c r="AJ234" s="3"/>
    </row>
    <row r="235" spans="2:36" x14ac:dyDescent="0.25">
      <c r="F235" s="3"/>
      <c r="H235" s="3"/>
      <c r="I235" s="3"/>
      <c r="J235" s="3"/>
      <c r="K235" s="3" t="str">
        <f>IFERROR(J235/J240,"")</f>
        <v/>
      </c>
      <c r="L235" s="3"/>
      <c r="M235" s="3"/>
      <c r="N235" s="3"/>
      <c r="O235" s="3"/>
      <c r="P235" s="3"/>
      <c r="Q235" s="3"/>
      <c r="R235" s="3" t="str">
        <f>IFERROR(Q235/Q240,"")</f>
        <v/>
      </c>
      <c r="S235" s="3"/>
      <c r="T235" s="3"/>
      <c r="U235" s="3"/>
      <c r="V235" s="3"/>
      <c r="W235" s="3"/>
      <c r="X235" s="3"/>
      <c r="Y235" s="3"/>
      <c r="Z235" s="3"/>
      <c r="AA235" s="3"/>
      <c r="AB235" s="3"/>
      <c r="AC235" s="3"/>
      <c r="AD235" s="3"/>
      <c r="AE235" s="3"/>
      <c r="AF235" s="3"/>
      <c r="AG235" s="3"/>
      <c r="AH235" s="3"/>
      <c r="AI235" s="3"/>
      <c r="AJ235" s="3"/>
    </row>
    <row r="236" spans="2:36" x14ac:dyDescent="0.25">
      <c r="F236" s="3"/>
      <c r="H236" s="3"/>
      <c r="I236" s="3"/>
      <c r="J236" s="3"/>
      <c r="K236" s="3" t="str">
        <f>IFERROR(J236/J240,"")</f>
        <v/>
      </c>
      <c r="L236" s="3"/>
      <c r="M236" s="3"/>
      <c r="N236" s="3"/>
      <c r="O236" s="3"/>
      <c r="P236" s="3"/>
      <c r="Q236" s="3"/>
      <c r="R236" s="3" t="str">
        <f>IFERROR(Q236/Q240,"")</f>
        <v/>
      </c>
      <c r="S236" s="3"/>
      <c r="T236" s="3"/>
      <c r="U236" s="3"/>
      <c r="V236" s="3"/>
      <c r="W236" s="3"/>
      <c r="X236" s="3"/>
      <c r="Y236" s="3"/>
      <c r="Z236" s="3"/>
      <c r="AA236" s="3"/>
      <c r="AB236" s="3"/>
      <c r="AC236" s="3"/>
      <c r="AD236" s="3"/>
      <c r="AE236" s="3"/>
      <c r="AF236" s="3"/>
      <c r="AG236" s="3"/>
      <c r="AH236" s="3"/>
      <c r="AI236" s="3"/>
      <c r="AJ236" s="3"/>
    </row>
    <row r="237" spans="2:36" x14ac:dyDescent="0.25">
      <c r="F237" s="3"/>
      <c r="H237" s="3"/>
      <c r="I237" s="3"/>
      <c r="J237" s="3"/>
      <c r="K237" s="3" t="str">
        <f>IFERROR(J237/J240,"")</f>
        <v/>
      </c>
      <c r="L237" s="3"/>
      <c r="M237" s="3"/>
      <c r="N237" s="3"/>
      <c r="O237" s="3"/>
      <c r="P237" s="3"/>
      <c r="Q237" s="3"/>
      <c r="R237" s="3" t="str">
        <f>IFERROR(Q237/Q240,"")</f>
        <v/>
      </c>
      <c r="S237" s="3"/>
      <c r="T237" s="3"/>
      <c r="U237" s="3"/>
      <c r="V237" s="3"/>
      <c r="W237" s="3"/>
      <c r="X237" s="3"/>
      <c r="Y237" s="3"/>
      <c r="Z237" s="3"/>
      <c r="AA237" s="3"/>
      <c r="AB237" s="3"/>
      <c r="AC237" s="3"/>
      <c r="AD237" s="3"/>
      <c r="AE237" s="3"/>
      <c r="AF237" s="3"/>
      <c r="AG237" s="3"/>
      <c r="AH237" s="3"/>
      <c r="AI237" s="3"/>
      <c r="AJ237" s="3"/>
    </row>
    <row r="238" spans="2:36" x14ac:dyDescent="0.25">
      <c r="F238" s="3"/>
      <c r="H238" s="3"/>
      <c r="I238" s="3"/>
      <c r="J238" s="3"/>
      <c r="K238" s="3" t="str">
        <f>IFERROR(J238/J240,"")</f>
        <v/>
      </c>
      <c r="L238" s="3"/>
      <c r="M238" s="3"/>
      <c r="N238" s="3"/>
      <c r="O238" s="3"/>
      <c r="P238" s="3"/>
      <c r="Q238" s="3"/>
      <c r="R238" s="3" t="str">
        <f>IFERROR(Q238/Q240,"")</f>
        <v/>
      </c>
      <c r="S238" s="3"/>
      <c r="T238" s="3"/>
      <c r="U238" s="3"/>
      <c r="V238" s="3"/>
      <c r="W238" s="3"/>
      <c r="X238" s="3"/>
      <c r="Y238" s="3"/>
      <c r="Z238" s="3"/>
      <c r="AA238" s="3"/>
      <c r="AB238" s="3"/>
      <c r="AC238" s="3"/>
      <c r="AD238" s="3"/>
      <c r="AE238" s="3"/>
      <c r="AF238" s="3"/>
      <c r="AG238" s="3"/>
      <c r="AH238" s="3"/>
      <c r="AI238" s="3"/>
      <c r="AJ238" s="3"/>
    </row>
    <row r="239" spans="2:36" x14ac:dyDescent="0.25">
      <c r="F239" s="3"/>
      <c r="H239" s="3"/>
      <c r="I239" s="3"/>
      <c r="J239" s="3"/>
      <c r="K239" s="3" t="str">
        <f>IFERROR(J239/J240,"")</f>
        <v/>
      </c>
      <c r="L239" s="3"/>
      <c r="M239" s="3"/>
      <c r="N239" s="3"/>
      <c r="O239" s="3"/>
      <c r="P239" s="3"/>
      <c r="Q239" s="3"/>
      <c r="R239" s="3" t="str">
        <f>IFERROR(Q239/Q240,"")</f>
        <v/>
      </c>
      <c r="S239" s="3"/>
      <c r="T239" s="3"/>
      <c r="U239" s="3"/>
      <c r="V239" s="3"/>
      <c r="W239" s="3"/>
      <c r="X239" s="3"/>
      <c r="Y239" s="3"/>
      <c r="Z239" s="3"/>
      <c r="AA239" s="3"/>
      <c r="AB239" s="3"/>
      <c r="AC239" s="3"/>
      <c r="AD239" s="3"/>
      <c r="AE239" s="3"/>
      <c r="AF239" s="3"/>
      <c r="AG239" s="3"/>
      <c r="AH239" s="3"/>
      <c r="AI239" s="3"/>
      <c r="AJ239" s="3"/>
    </row>
    <row r="240" spans="2:36" x14ac:dyDescent="0.25">
      <c r="F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row>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sheetData>
  <sheetProtection algorithmName="SHA-256" hashValue="43XnjQtVNz+ySxjZCJRG3qDWpeGvamBLCLWN/oHdkO0=" saltValue="feLERYHPzZReFV3A+iFTWg==" spinCount="100000" sheet="1" formatCells="0" formatColumns="0" formatRows="0" insertColumns="0" insertRows="0" insertHyperlinks="0" deleteColumns="0" deleteRows="0" sort="0" autoFilter="0" pivotTables="0"/>
  <mergeCells count="3">
    <mergeCell ref="O3:R3"/>
    <mergeCell ref="H3:K3"/>
    <mergeCell ref="A1:B1"/>
  </mergeCells>
  <phoneticPr fontId="53" type="noConversion"/>
  <conditionalFormatting sqref="B7:D13 B15:D231">
    <cfRule type="expression" dxfId="213" priority="599">
      <formula>AND(B7=B6,MOD(ROW(),2)=1)</formula>
    </cfRule>
    <cfRule type="expression" dxfId="212" priority="600">
      <formula>AND(B7=B6,MOD(ROW(),2)=0)</formula>
    </cfRule>
  </conditionalFormatting>
  <conditionalFormatting sqref="B14:D18 B27:D27 B35:D35 B48:D48 B60:D60 B73:D73 B81:D81 B94:D94 B106:D106 B119:D119 B127:D127 B140:D140 B152:D152 B165:D165 B173:D173 B186:D186">
    <cfRule type="expression" dxfId="211" priority="2417">
      <formula>AND(B14=B12,MOD(ROW(),2)=1)</formula>
    </cfRule>
    <cfRule type="expression" dxfId="210" priority="2418">
      <formula>AND(B14=B12,MOD(ROW(),2)=0)</formula>
    </cfRule>
  </conditionalFormatting>
  <conditionalFormatting sqref="B207:I210 B211:D216 E216:AJ216">
    <cfRule type="expression" dxfId="209" priority="487">
      <formula>MOD(ROW(),2)=0</formula>
    </cfRule>
  </conditionalFormatting>
  <conditionalFormatting sqref="B7:AJ206">
    <cfRule type="expression" dxfId="208" priority="8">
      <formula>MOD(ROW(),2)=0</formula>
    </cfRule>
  </conditionalFormatting>
  <conditionalFormatting sqref="B217:AJ231">
    <cfRule type="expression" dxfId="207" priority="1">
      <formula>MOD(ROW(),2)=0</formula>
    </cfRule>
  </conditionalFormatting>
  <conditionalFormatting sqref="E211:I215">
    <cfRule type="expression" dxfId="206" priority="465">
      <formula>MOD(ROW(),2)=0</formula>
    </cfRule>
  </conditionalFormatting>
  <conditionalFormatting sqref="J207:AJ215">
    <cfRule type="expression" dxfId="205" priority="2">
      <formula>MOD(ROW(),2)=0</formula>
    </cfRule>
  </conditionalFormatting>
  <hyperlinks>
    <hyperlink ref="A1" location="Index!A1" display="&lt;&lt;Back to Index" xr:uid="{00000000-0004-0000-1200-000000000000}"/>
  </hyperlinks>
  <pageMargins left="0.7" right="0.7" top="0.75" bottom="0.75" header="0.3" footer="0.3"/>
  <pageSetup paperSize="9" orientation="portrait" r:id="rId1"/>
  <headerFooter>
    <oddHeader>&amp;C&amp;"Calibri"&amp;10&amp;KFF0000 OFFICIAL SENSITIVE&amp;1#_x000D_</oddHeader>
  </headerFooter>
  <ignoredErrors>
    <ignoredError sqref="K29:N29 K75:N75 K121:N121"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sheetPr>
  <dimension ref="A1:AJ211"/>
  <sheetViews>
    <sheetView zoomScaleNormal="100" workbookViewId="0">
      <pane xSplit="7" ySplit="6" topLeftCell="H7" activePane="bottomRight" state="frozen"/>
      <selection pane="topRight" activeCell="H1" sqref="H1"/>
      <selection pane="bottomLeft" activeCell="A7" sqref="A7"/>
      <selection pane="bottomRight" sqref="A1:B1"/>
    </sheetView>
  </sheetViews>
  <sheetFormatPr defaultColWidth="8.85546875" defaultRowHeight="15" x14ac:dyDescent="0.25"/>
  <cols>
    <col min="1" max="1" width="1.85546875" style="3" customWidth="1"/>
    <col min="2" max="3" width="15.85546875" style="3" customWidth="1"/>
    <col min="4" max="4" width="18.140625" style="3" customWidth="1"/>
    <col min="5" max="5" width="10.85546875" style="3" customWidth="1"/>
    <col min="6" max="6" width="10.85546875" style="19" customWidth="1"/>
    <col min="7" max="7" width="10.85546875" style="3" customWidth="1"/>
    <col min="8" max="10" width="10.85546875" style="60" customWidth="1"/>
    <col min="11" max="11" width="11.85546875" style="19" bestFit="1" customWidth="1"/>
    <col min="12" max="12" width="0.85546875" style="19" customWidth="1"/>
    <col min="13" max="13" width="10.85546875" style="19" customWidth="1"/>
    <col min="14" max="14" width="0.85546875" style="19" customWidth="1"/>
    <col min="15" max="16" width="10.85546875" style="60" customWidth="1"/>
    <col min="17" max="17" width="10.85546875" style="275" customWidth="1"/>
    <col min="18" max="18" width="11.85546875" style="19" bestFit="1" customWidth="1"/>
    <col min="19" max="19" width="11.85546875" style="307" customWidth="1"/>
    <col min="20" max="20" width="11.85546875" style="371" customWidth="1"/>
    <col min="21" max="36" width="11.85546875" style="307" customWidth="1"/>
    <col min="37" max="16384" width="8.85546875" style="3"/>
  </cols>
  <sheetData>
    <row r="1" spans="1:36" ht="10.35" customHeight="1" x14ac:dyDescent="0.25">
      <c r="A1" s="430" t="s">
        <v>18</v>
      </c>
      <c r="B1" s="431"/>
    </row>
    <row r="2" spans="1:36" s="14" customFormat="1" ht="22.5" customHeight="1" x14ac:dyDescent="0.25">
      <c r="A2" s="15" t="s">
        <v>82</v>
      </c>
      <c r="F2" s="20"/>
      <c r="H2" s="61"/>
      <c r="I2" s="61"/>
      <c r="J2" s="61"/>
      <c r="K2" s="20"/>
      <c r="L2" s="20"/>
      <c r="M2" s="20"/>
      <c r="N2" s="20"/>
      <c r="O2" s="61"/>
      <c r="P2" s="61"/>
      <c r="Q2" s="276"/>
      <c r="R2" s="20"/>
      <c r="S2" s="20"/>
      <c r="T2" s="372"/>
      <c r="U2" s="20"/>
      <c r="V2" s="20"/>
      <c r="W2" s="20"/>
      <c r="X2" s="20"/>
      <c r="Y2" s="20"/>
      <c r="Z2" s="20"/>
      <c r="AA2" s="20"/>
      <c r="AB2" s="20"/>
      <c r="AC2" s="20"/>
      <c r="AD2" s="20"/>
      <c r="AE2" s="20"/>
      <c r="AF2" s="20"/>
      <c r="AG2" s="20"/>
      <c r="AH2" s="20"/>
      <c r="AI2" s="20"/>
      <c r="AJ2" s="20"/>
    </row>
    <row r="3" spans="1:36" s="27" customFormat="1" x14ac:dyDescent="0.25">
      <c r="B3" s="28"/>
      <c r="C3" s="28"/>
      <c r="D3" s="28"/>
      <c r="E3" s="28"/>
      <c r="F3" s="41"/>
      <c r="G3" s="28"/>
      <c r="H3" s="470" t="str">
        <f>PY</f>
        <v>2024-25</v>
      </c>
      <c r="I3" s="470"/>
      <c r="J3" s="470"/>
      <c r="K3" s="470"/>
      <c r="L3" s="34"/>
      <c r="M3" s="38" t="str">
        <f>FY</f>
        <v>2025-26</v>
      </c>
      <c r="N3" s="34"/>
      <c r="O3" s="470" t="str">
        <f>FY</f>
        <v>2025-26</v>
      </c>
      <c r="P3" s="470"/>
      <c r="Q3" s="470"/>
      <c r="R3" s="470"/>
      <c r="S3" s="368"/>
      <c r="T3" s="373"/>
      <c r="U3" s="368"/>
      <c r="V3" s="368"/>
      <c r="W3" s="368"/>
      <c r="X3" s="368"/>
      <c r="Y3" s="368"/>
      <c r="Z3" s="368"/>
      <c r="AA3" s="368"/>
      <c r="AB3" s="368"/>
      <c r="AC3" s="368"/>
      <c r="AD3" s="368"/>
      <c r="AE3" s="368"/>
      <c r="AF3" s="368"/>
      <c r="AG3" s="368"/>
      <c r="AH3" s="368"/>
      <c r="AI3" s="368"/>
      <c r="AJ3" s="368"/>
    </row>
    <row r="4" spans="1:36" s="27" customFormat="1" ht="15" customHeight="1" x14ac:dyDescent="0.25">
      <c r="B4" s="28"/>
      <c r="C4" s="28"/>
      <c r="D4" s="28"/>
      <c r="E4" s="28"/>
      <c r="F4" s="37" t="str">
        <f t="shared" ref="F4:K4" si="0">$H$3</f>
        <v>2024-25</v>
      </c>
      <c r="G4" s="28"/>
      <c r="H4" s="62" t="str">
        <f>$H$3</f>
        <v>2024-25</v>
      </c>
      <c r="I4" s="62" t="str">
        <f t="shared" si="0"/>
        <v>2024-25</v>
      </c>
      <c r="J4" s="62" t="str">
        <f t="shared" si="0"/>
        <v>2024-25</v>
      </c>
      <c r="K4" s="37" t="str">
        <f t="shared" si="0"/>
        <v>2024-25</v>
      </c>
      <c r="L4" s="37"/>
      <c r="M4" s="37" t="str">
        <f>FY</f>
        <v>2025-26</v>
      </c>
      <c r="N4" s="37"/>
      <c r="O4" s="62" t="str">
        <f>$O$3</f>
        <v>2025-26</v>
      </c>
      <c r="P4" s="62" t="str">
        <f>$O$3</f>
        <v>2025-26</v>
      </c>
      <c r="Q4" s="62" t="str">
        <f>$O$3</f>
        <v>2025-26</v>
      </c>
      <c r="R4" s="37" t="str">
        <f>$O$3</f>
        <v>2025-26</v>
      </c>
      <c r="S4" s="37"/>
      <c r="T4" s="374"/>
      <c r="U4" s="37"/>
      <c r="V4" s="37"/>
      <c r="W4" s="37"/>
      <c r="X4" s="37"/>
      <c r="Y4" s="37"/>
      <c r="Z4" s="37"/>
      <c r="AA4" s="37"/>
      <c r="AB4" s="37"/>
      <c r="AC4" s="37"/>
      <c r="AD4" s="37"/>
      <c r="AE4" s="37"/>
      <c r="AF4" s="37"/>
      <c r="AG4" s="37"/>
      <c r="AH4" s="37"/>
      <c r="AI4" s="37"/>
      <c r="AJ4" s="37"/>
    </row>
    <row r="5" spans="1:36" s="5" customFormat="1" x14ac:dyDescent="0.25">
      <c r="B5" s="23" t="s">
        <v>1</v>
      </c>
      <c r="C5" s="23" t="s">
        <v>10</v>
      </c>
      <c r="D5" s="23" t="s">
        <v>22</v>
      </c>
      <c r="E5" s="23" t="s">
        <v>11</v>
      </c>
      <c r="F5" s="12" t="s">
        <v>24</v>
      </c>
      <c r="G5" s="23" t="s">
        <v>32</v>
      </c>
      <c r="H5" s="146" t="s">
        <v>46</v>
      </c>
      <c r="I5" s="146" t="s">
        <v>47</v>
      </c>
      <c r="J5" s="146" t="s">
        <v>21</v>
      </c>
      <c r="K5" s="133" t="s">
        <v>23</v>
      </c>
      <c r="L5" s="133"/>
      <c r="M5" s="133" t="s">
        <v>20</v>
      </c>
      <c r="N5" s="133"/>
      <c r="O5" s="146" t="s">
        <v>46</v>
      </c>
      <c r="P5" s="146" t="s">
        <v>47</v>
      </c>
      <c r="Q5" s="146" t="s">
        <v>21</v>
      </c>
      <c r="R5" s="133" t="s">
        <v>23</v>
      </c>
      <c r="S5" s="133"/>
      <c r="T5" s="375"/>
      <c r="U5" s="133"/>
      <c r="V5" s="133"/>
      <c r="W5" s="133"/>
      <c r="X5" s="133"/>
      <c r="Y5" s="133"/>
      <c r="Z5" s="133"/>
      <c r="AA5" s="133"/>
      <c r="AB5" s="133"/>
      <c r="AC5" s="133"/>
      <c r="AD5" s="133"/>
      <c r="AE5" s="133"/>
      <c r="AF5" s="133"/>
      <c r="AG5" s="133"/>
      <c r="AH5" s="133"/>
      <c r="AI5" s="133"/>
      <c r="AJ5" s="133"/>
    </row>
    <row r="6" spans="1:36" s="29" customFormat="1" x14ac:dyDescent="0.25">
      <c r="B6" s="30"/>
      <c r="C6" s="30"/>
      <c r="D6" s="30"/>
      <c r="E6" s="30"/>
      <c r="F6" s="31" t="s">
        <v>53</v>
      </c>
      <c r="G6" s="30"/>
      <c r="H6" s="147" t="s">
        <v>68</v>
      </c>
      <c r="I6" s="147" t="s">
        <v>44</v>
      </c>
      <c r="J6" s="147" t="s">
        <v>45</v>
      </c>
      <c r="K6" s="148" t="s">
        <v>27</v>
      </c>
      <c r="L6" s="148"/>
      <c r="M6" s="148" t="s">
        <v>27</v>
      </c>
      <c r="N6" s="148"/>
      <c r="O6" s="147" t="s">
        <v>68</v>
      </c>
      <c r="P6" s="147" t="s">
        <v>44</v>
      </c>
      <c r="Q6" s="147" t="s">
        <v>45</v>
      </c>
      <c r="R6" s="148" t="s">
        <v>27</v>
      </c>
      <c r="S6" s="148"/>
      <c r="T6" s="376"/>
      <c r="U6" s="148"/>
      <c r="V6" s="148"/>
      <c r="W6" s="148"/>
      <c r="X6" s="148"/>
      <c r="Y6" s="148"/>
      <c r="Z6" s="148"/>
      <c r="AA6" s="148"/>
      <c r="AB6" s="148"/>
      <c r="AC6" s="148"/>
      <c r="AD6" s="148"/>
      <c r="AE6" s="148"/>
      <c r="AF6" s="148"/>
      <c r="AG6" s="148"/>
      <c r="AH6" s="148"/>
      <c r="AI6" s="148"/>
      <c r="AJ6" s="148"/>
    </row>
    <row r="7" spans="1:36" x14ac:dyDescent="0.25">
      <c r="F7" s="13"/>
      <c r="H7" s="128"/>
      <c r="I7" s="128"/>
      <c r="J7" s="128"/>
      <c r="K7" s="143"/>
      <c r="L7" s="140"/>
      <c r="M7" s="143"/>
      <c r="N7" s="140"/>
      <c r="O7" s="128"/>
      <c r="P7" s="128"/>
      <c r="Q7" s="277"/>
      <c r="R7" s="143"/>
      <c r="S7" s="143"/>
      <c r="T7" s="377"/>
      <c r="U7" s="143"/>
      <c r="V7" s="143"/>
      <c r="W7" s="143"/>
      <c r="X7" s="143"/>
      <c r="Y7" s="143"/>
      <c r="Z7" s="143"/>
      <c r="AA7" s="143"/>
      <c r="AB7" s="143"/>
      <c r="AC7" s="143"/>
      <c r="AD7" s="143"/>
      <c r="AE7" s="143"/>
      <c r="AF7" s="143"/>
      <c r="AG7" s="143"/>
      <c r="AH7" s="143"/>
      <c r="AI7" s="143"/>
      <c r="AJ7" s="143"/>
    </row>
    <row r="8" spans="1:36" x14ac:dyDescent="0.25">
      <c r="B8" s="5" t="s">
        <v>2</v>
      </c>
      <c r="C8" s="5" t="s">
        <v>6</v>
      </c>
      <c r="D8" s="5" t="s">
        <v>127</v>
      </c>
      <c r="F8" s="13"/>
      <c r="H8" s="128"/>
      <c r="I8" s="128"/>
      <c r="J8" s="128"/>
      <c r="K8" s="143"/>
      <c r="L8" s="140"/>
      <c r="M8" s="143"/>
      <c r="N8" s="140"/>
      <c r="O8" s="128"/>
      <c r="P8" s="128"/>
      <c r="Q8" s="277"/>
      <c r="R8" s="143"/>
      <c r="S8" s="143"/>
      <c r="T8" s="377"/>
      <c r="U8" s="143"/>
      <c r="V8" s="143"/>
      <c r="W8" s="143"/>
      <c r="X8" s="143"/>
      <c r="Y8" s="143"/>
      <c r="Z8" s="143"/>
      <c r="AA8" s="143"/>
      <c r="AB8" s="143"/>
      <c r="AC8" s="143"/>
      <c r="AD8" s="143"/>
      <c r="AE8" s="143"/>
      <c r="AF8" s="143"/>
      <c r="AG8" s="143"/>
      <c r="AH8" s="143"/>
      <c r="AI8" s="143"/>
      <c r="AJ8" s="143"/>
    </row>
    <row r="9" spans="1:36" x14ac:dyDescent="0.25">
      <c r="B9" s="3" t="str">
        <f t="shared" ref="B9:D16" si="1">B8</f>
        <v>Ausgrid</v>
      </c>
      <c r="C9" s="3" t="str">
        <f t="shared" si="1"/>
        <v>Residential</v>
      </c>
      <c r="D9" s="3" t="str">
        <f t="shared" si="1"/>
        <v>without CL</v>
      </c>
      <c r="E9" s="3" t="s">
        <v>19</v>
      </c>
      <c r="F9" s="131">
        <f t="array" ref="F9">IFERROR(INDEX(Usage!$B$5:$P$18,MATCH($B9,Usage!$B$5:$B$18,0),MATCH($C9&amp;$D9&amp;$E9&amp;"Total",Usage!$B$5:$S$5&amp;Usage!$B$6:$S$6&amp;Usage!$B$7:$S$7&amp;Usage!$B$13:$S$13,0)),0)</f>
        <v>3900</v>
      </c>
      <c r="G9" s="3" t="s">
        <v>74</v>
      </c>
      <c r="H9" s="128"/>
      <c r="I9" s="128" cm="1">
        <f t="array" ref="I9">IFERROR(INDEX('Detail inputs'!$B$3:$K$195,MATCH($B9&amp;$G9&amp;I$5,'Detail inputs'!$B$3:$B$195&amp;'Detail inputs'!$G$3:$G$195&amp;'Detail inputs'!$H$3:$H$195,0),MATCH(I$4,'Detail inputs'!$B$3:$K$3,0)),0)</f>
        <v>7.54</v>
      </c>
      <c r="J9" s="128">
        <f>IF(AND(H9="",I9=""),"",H9+I9*+Usage!C$36/1000)</f>
        <v>29.405999999999999</v>
      </c>
      <c r="K9" s="143">
        <f>IFERROR(J9/J14,"")</f>
        <v>0.38391038696537677</v>
      </c>
      <c r="L9" s="140"/>
      <c r="M9" s="143">
        <f t="shared" ref="M9:M14" si="2">IF(OR(J9=0,Q9=""),"",Q9/J9-1)</f>
        <v>-0.1887211338746565</v>
      </c>
      <c r="N9" s="140"/>
      <c r="O9" s="128"/>
      <c r="P9" s="128">
        <f t="array" ref="P9">IFERROR(INDEX('Detail inputs'!$B$3:$K$195,MATCH($B9&amp;$G9&amp;P$5,'Detail inputs'!$B$3:$B$195&amp;'Detail inputs'!$G$3:$G$195&amp;'Detail inputs'!$H$3:$H$195,0),MATCH(P$4,'Detail inputs'!$B$3:$K$3,0)),0)</f>
        <v>6.1170426505850894</v>
      </c>
      <c r="Q9" s="277">
        <f t="shared" ref="Q9:Q13" si="3">IF(AND(O9="",P9=""),"",O9+P9*$F9/1000)</f>
        <v>23.856466337281852</v>
      </c>
      <c r="R9" s="143">
        <f>IFERROR(Q9/Q14,"")</f>
        <v>0.38404111658146578</v>
      </c>
      <c r="S9" s="143"/>
      <c r="T9" s="378"/>
      <c r="U9" s="143"/>
      <c r="V9" s="143"/>
      <c r="W9" s="143"/>
      <c r="X9" s="143"/>
      <c r="Y9" s="143"/>
      <c r="Z9" s="143"/>
      <c r="AA9" s="143"/>
      <c r="AB9" s="143"/>
      <c r="AC9" s="143"/>
      <c r="AD9" s="143"/>
      <c r="AE9" s="143"/>
      <c r="AF9" s="143"/>
      <c r="AG9" s="143"/>
      <c r="AH9" s="143"/>
      <c r="AI9" s="143"/>
      <c r="AJ9" s="143"/>
    </row>
    <row r="10" spans="1:36" x14ac:dyDescent="0.25">
      <c r="B10" s="3" t="str">
        <f t="shared" si="1"/>
        <v>Ausgrid</v>
      </c>
      <c r="C10" s="3" t="str">
        <f t="shared" si="1"/>
        <v>Residential</v>
      </c>
      <c r="D10" s="3" t="str">
        <f t="shared" si="1"/>
        <v>without CL</v>
      </c>
      <c r="E10" s="3" t="s">
        <v>19</v>
      </c>
      <c r="F10" s="131">
        <f t="array" ref="F10">IFERROR(INDEX(Usage!$B$5:$P$18,MATCH($B10,Usage!$B$5:$B$18,0),MATCH($C10&amp;$D10&amp;$E10&amp;"Total",Usage!$B$5:$S$5&amp;Usage!$B$6:$S$6&amp;Usage!$B$7:$S$7&amp;Usage!$B$13:$S$13,0)),0)</f>
        <v>3900</v>
      </c>
      <c r="G10" s="3" t="s">
        <v>75</v>
      </c>
      <c r="H10" s="128"/>
      <c r="I10" s="128">
        <f t="array" ref="I10">IFERROR(INDEX('Detail inputs'!$B$3:$K$195,MATCH($B10&amp;$G10&amp;I$5,'Detail inputs'!$B$3:$B$195&amp;'Detail inputs'!$G$3:$G$195&amp;'Detail inputs'!$H$3:$H$195,0),MATCH(I$4,'Detail inputs'!$B$3:$K$3,0)),0)</f>
        <v>7.85</v>
      </c>
      <c r="J10" s="128">
        <f>IF(AND(H10="",I10=""),"",H10+I10*+Usage!C$36/1000)</f>
        <v>30.614999999999998</v>
      </c>
      <c r="K10" s="143">
        <f>IFERROR(J10/J14,"")</f>
        <v>0.39969450101832987</v>
      </c>
      <c r="L10" s="140"/>
      <c r="M10" s="143">
        <f t="shared" si="2"/>
        <v>-0.3457324840764332</v>
      </c>
      <c r="N10" s="140"/>
      <c r="O10" s="128"/>
      <c r="P10" s="128">
        <f t="array" ref="P10">IFERROR(INDEX('Detail inputs'!$B$3:$K$195,MATCH($B10&amp;$G10&amp;P$5,'Detail inputs'!$B$3:$B$195&amp;'Detail inputs'!$G$3:$G$195&amp;'Detail inputs'!$H$3:$H$195,0),MATCH(P$4,'Detail inputs'!$B$3:$K$3,0)),0)</f>
        <v>5.1359999999999992</v>
      </c>
      <c r="Q10" s="277">
        <f t="shared" si="3"/>
        <v>20.030399999999997</v>
      </c>
      <c r="R10" s="143">
        <f>IFERROR(Q10/Q14,"")</f>
        <v>0.32244914535192037</v>
      </c>
      <c r="S10" s="143"/>
      <c r="T10" s="377"/>
      <c r="U10" s="143"/>
      <c r="V10" s="143"/>
      <c r="W10" s="143"/>
      <c r="X10" s="143"/>
      <c r="Y10" s="143"/>
      <c r="Z10" s="143"/>
      <c r="AA10" s="143"/>
      <c r="AB10" s="143"/>
      <c r="AC10" s="143"/>
      <c r="AD10" s="143"/>
      <c r="AE10" s="143"/>
      <c r="AF10" s="143"/>
      <c r="AG10" s="143"/>
      <c r="AH10" s="143"/>
      <c r="AI10" s="143"/>
      <c r="AJ10" s="143"/>
    </row>
    <row r="11" spans="1:36" x14ac:dyDescent="0.25">
      <c r="B11" s="3" t="str">
        <f t="shared" ref="B11:D13" si="4">B10</f>
        <v>Ausgrid</v>
      </c>
      <c r="C11" s="3" t="str">
        <f t="shared" si="4"/>
        <v>Residential</v>
      </c>
      <c r="D11" s="3" t="str">
        <f t="shared" si="4"/>
        <v>without CL</v>
      </c>
      <c r="E11" s="3" t="s">
        <v>19</v>
      </c>
      <c r="F11" s="131">
        <f t="array" ref="F11">IFERROR(INDEX(Usage!$B$5:$P$18,MATCH($B11,Usage!$B$5:$B$18,0),MATCH($C11&amp;$D11&amp;$E11&amp;"Total",Usage!$B$5:$S$5&amp;Usage!$B$6:$S$6&amp;Usage!$B$7:$S$7&amp;Usage!$B$13:$S$13,0)),0)</f>
        <v>3900</v>
      </c>
      <c r="G11" s="3" t="s">
        <v>76</v>
      </c>
      <c r="H11" s="128"/>
      <c r="I11" s="128">
        <f t="array" ref="I11">IFERROR(INDEX('Detail inputs'!$B$3:$K$195,MATCH($B11&amp;$G11&amp;I$5,'Detail inputs'!$B$3:$B$195&amp;'Detail inputs'!$G$3:$G$195&amp;'Detail inputs'!$H$3:$H$195,0),MATCH(I$4,'Detail inputs'!$B$3:$K$3,0)),0)</f>
        <v>2.71</v>
      </c>
      <c r="J11" s="128">
        <f>IF(AND(H11="",I11=""),"",H11+I11*+Usage!C$36/1000)</f>
        <v>10.569000000000001</v>
      </c>
      <c r="K11" s="143">
        <f>IFERROR(J11/J14,"")</f>
        <v>0.13798370672097759</v>
      </c>
      <c r="L11" s="140"/>
      <c r="M11" s="143">
        <f t="shared" si="2"/>
        <v>-0.21431027168673578</v>
      </c>
      <c r="N11" s="140"/>
      <c r="O11" s="128"/>
      <c r="P11" s="128" cm="1">
        <f t="array" ref="P11">IFERROR(INDEX('Detail inputs'!$B$3:$K$195,MATCH($B11&amp;$G11&amp;P$5,'Detail inputs'!$B$3:$B$195&amp;'Detail inputs'!$G$3:$G$195&amp;'Detail inputs'!$H$3:$H$195,0),MATCH(P$4,'Detail inputs'!$B$3:$K$3,0)),0)</f>
        <v>2.1292191637289464</v>
      </c>
      <c r="Q11" s="277">
        <f t="shared" si="3"/>
        <v>8.30395473854289</v>
      </c>
      <c r="R11" s="143">
        <f>IFERROR(Q11/Q14,"")</f>
        <v>0.1336769664352277</v>
      </c>
      <c r="S11" s="143"/>
      <c r="T11" s="377"/>
      <c r="U11" s="143"/>
      <c r="V11" s="143"/>
      <c r="W11" s="143"/>
      <c r="X11" s="143"/>
      <c r="Y11" s="143"/>
      <c r="Z11" s="143"/>
      <c r="AA11" s="143"/>
      <c r="AB11" s="143"/>
      <c r="AC11" s="143"/>
      <c r="AD11" s="143"/>
      <c r="AE11" s="143"/>
      <c r="AF11" s="143"/>
      <c r="AG11" s="143"/>
      <c r="AH11" s="143"/>
      <c r="AI11" s="143"/>
      <c r="AJ11" s="143"/>
    </row>
    <row r="12" spans="1:36" x14ac:dyDescent="0.25">
      <c r="B12" s="3" t="str">
        <f t="shared" si="4"/>
        <v>Ausgrid</v>
      </c>
      <c r="C12" s="3" t="str">
        <f t="shared" si="4"/>
        <v>Residential</v>
      </c>
      <c r="D12" s="3" t="str">
        <f t="shared" si="4"/>
        <v>without CL</v>
      </c>
      <c r="E12" s="3" t="s">
        <v>19</v>
      </c>
      <c r="F12" s="131">
        <f t="array" ref="F12">IFERROR(INDEX(Usage!$B$5:$P$18,MATCH($B12,Usage!$B$5:$B$18,0),MATCH($C12&amp;$D12&amp;$E12&amp;"Total",Usage!$B$5:$S$5&amp;Usage!$B$6:$S$6&amp;Usage!$B$7:$S$7&amp;Usage!$B$13:$S$13,0)),0)</f>
        <v>3900</v>
      </c>
      <c r="G12" s="3" t="s">
        <v>164</v>
      </c>
      <c r="H12" s="128"/>
      <c r="I12" s="128" cm="1">
        <f t="array" ref="I12">IFERROR(INDEX('Detail inputs'!$B$3:$K$195,MATCH($B12&amp;$G12&amp;I$5,'Detail inputs'!$B$3:$B$195&amp;'Detail inputs'!$G$3:$G$195&amp;'Detail inputs'!$H$3:$H$195,0),MATCH(I$4,'Detail inputs'!$B$3:$K$3,0)),0)</f>
        <v>0.71</v>
      </c>
      <c r="J12" s="128">
        <f>IF(AND(H12="",I12=""),"",H12+I12*+Usage!C$36/1000)</f>
        <v>2.7690000000000001</v>
      </c>
      <c r="K12" s="143">
        <f>IFERROR(J12/J14,"")</f>
        <v>3.6150712830957228E-2</v>
      </c>
      <c r="L12" s="140"/>
      <c r="M12" s="143">
        <f t="shared" si="2"/>
        <v>1.6245712692226708</v>
      </c>
      <c r="N12" s="140"/>
      <c r="O12" s="128"/>
      <c r="P12" s="128">
        <f t="array" ref="P12">IFERROR(INDEX('Detail inputs'!$B$3:$K$195,MATCH($B12&amp;$G12&amp;P$5,'Detail inputs'!$B$3:$B$195&amp;'Detail inputs'!$G$3:$G$195&amp;'Detail inputs'!$H$3:$H$195,0),MATCH(P$4,'Detail inputs'!$B$3:$K$3,0)),0)</f>
        <v>1.8634456011480964</v>
      </c>
      <c r="Q12" s="277">
        <f t="shared" si="3"/>
        <v>7.267437844477576</v>
      </c>
      <c r="R12" s="143">
        <f>IFERROR(Q12/Q14,"")</f>
        <v>0.11699112957554503</v>
      </c>
      <c r="S12" s="143"/>
      <c r="T12" s="377"/>
      <c r="U12" s="143"/>
      <c r="V12" s="143"/>
      <c r="W12" s="143"/>
      <c r="X12" s="143"/>
      <c r="Y12" s="143"/>
      <c r="Z12" s="143"/>
      <c r="AA12" s="143"/>
      <c r="AB12" s="143"/>
      <c r="AC12" s="143"/>
      <c r="AD12" s="143"/>
      <c r="AE12" s="143"/>
      <c r="AF12" s="143"/>
      <c r="AG12" s="143"/>
      <c r="AH12" s="143"/>
      <c r="AI12" s="143"/>
      <c r="AJ12" s="143"/>
    </row>
    <row r="13" spans="1:36" s="19" customFormat="1" x14ac:dyDescent="0.25">
      <c r="A13" s="3"/>
      <c r="B13" s="3" t="str">
        <f t="shared" si="4"/>
        <v>Ausgrid</v>
      </c>
      <c r="C13" s="3" t="str">
        <f t="shared" si="4"/>
        <v>Residential</v>
      </c>
      <c r="D13" s="3" t="str">
        <f t="shared" si="4"/>
        <v>without CL</v>
      </c>
      <c r="E13" s="3" t="s">
        <v>19</v>
      </c>
      <c r="F13" s="131">
        <f t="array" ref="F13">IFERROR(INDEX(Usage!$B$5:$P$18,MATCH($B13,Usage!$B$5:$B$18,0),MATCH($C13&amp;$D13&amp;$E13&amp;"Total",Usage!$B$5:$S$5&amp;Usage!$B$6:$S$6&amp;Usage!$B$7:$S$7&amp;Usage!$B$13:$S$13,0)),0)</f>
        <v>3900</v>
      </c>
      <c r="G13" s="3" t="s">
        <v>73</v>
      </c>
      <c r="H13" s="128"/>
      <c r="I13" s="128" cm="1">
        <f t="array" ref="I13">IFERROR(INDEX('Detail inputs'!$B$3:$K$195,MATCH($B13&amp;$C13&amp;$E13&amp;$G13&amp;I$5,'Detail inputs'!$B$3:$B$195&amp;'Detail inputs'!$D$3:$D$195&amp;'Detail inputs'!$F$3:$F$195&amp;'Detail inputs'!$G$3:$G$195&amp;'Detail inputs'!$H$3:$H$195,0),MATCH(I$4,'Detail inputs'!$B$3:$K$3,0)),0)*SUM(I9:I12)</f>
        <v>0.82764000000000004</v>
      </c>
      <c r="J13" s="128">
        <f>IF(AND(H13="",I13=""),"",H13+I13*+Usage!C$36/1000)</f>
        <v>3.2277960000000001</v>
      </c>
      <c r="K13" s="143">
        <f>IFERROR(J13/J14,"")</f>
        <v>4.214052953156823E-2</v>
      </c>
      <c r="L13" s="140"/>
      <c r="M13" s="143">
        <f t="shared" si="2"/>
        <v>-0.17550425031626715</v>
      </c>
      <c r="N13" s="140"/>
      <c r="O13" s="128"/>
      <c r="P13" s="128" cm="1">
        <f t="array" ref="P13">IFERROR(INDEX('Detail inputs'!$B$3:$K$195,MATCH($B13&amp;$C13&amp;$E13&amp;$G13&amp;P$5,'Detail inputs'!$B$3:$B$195&amp;'Detail inputs'!$D$3:$D$195&amp;'Detail inputs'!$F$3:$F$195&amp;'Detail inputs'!$G$3:$G$195&amp;'Detail inputs'!$H$3:$H$195,0),MATCH(P$4,'Detail inputs'!$B$3:$K$3,0)),0)*SUM(P9:P12)</f>
        <v>0.68238566226824471</v>
      </c>
      <c r="Q13" s="277">
        <f t="shared" si="3"/>
        <v>2.6613040828461543</v>
      </c>
      <c r="R13" s="143">
        <f>IFERROR(Q13/Q14,"")</f>
        <v>4.2841642055841067E-2</v>
      </c>
      <c r="S13" s="143"/>
      <c r="T13" s="377"/>
      <c r="U13" s="143"/>
      <c r="V13" s="143"/>
      <c r="W13" s="143"/>
      <c r="X13" s="143"/>
      <c r="Y13" s="143"/>
      <c r="Z13" s="143"/>
      <c r="AA13" s="143"/>
      <c r="AB13" s="143"/>
      <c r="AC13" s="143"/>
      <c r="AD13" s="143"/>
      <c r="AE13" s="143"/>
      <c r="AF13" s="143"/>
      <c r="AG13" s="143"/>
      <c r="AH13" s="143"/>
      <c r="AI13" s="143"/>
      <c r="AJ13" s="143"/>
    </row>
    <row r="14" spans="1:36" s="19" customFormat="1" x14ac:dyDescent="0.25">
      <c r="A14" s="3"/>
      <c r="B14" s="3" t="str">
        <f t="shared" si="1"/>
        <v>Ausgrid</v>
      </c>
      <c r="C14" s="3" t="str">
        <f t="shared" si="1"/>
        <v>Residential</v>
      </c>
      <c r="D14" s="3" t="str">
        <f t="shared" si="1"/>
        <v>without CL</v>
      </c>
      <c r="E14" s="3" t="s">
        <v>19</v>
      </c>
      <c r="F14" s="131">
        <f t="array" ref="F14">IFERROR(INDEX(Usage!$B$5:$P$18,MATCH($B14,Usage!$B$5:$B$18,0),MATCH($C14&amp;$D14&amp;$E14&amp;"Total",Usage!$B$5:$S$5&amp;Usage!$B$6:$S$6&amp;Usage!$B$7:$S$7&amp;Usage!$B$13:$S$13,0)),0)</f>
        <v>3900</v>
      </c>
      <c r="G14" s="5" t="s">
        <v>55</v>
      </c>
      <c r="H14" s="130">
        <f>SUM(H9:H13)</f>
        <v>0</v>
      </c>
      <c r="I14" s="130">
        <v>19.64</v>
      </c>
      <c r="J14" s="130">
        <f>IF(AND(H14="",I14=""),"",H14+I14*+Usage!C$36/1000)</f>
        <v>76.596000000000004</v>
      </c>
      <c r="K14" s="145"/>
      <c r="L14" s="150"/>
      <c r="M14" s="145">
        <f t="shared" si="2"/>
        <v>-0.18899729746790339</v>
      </c>
      <c r="N14" s="150"/>
      <c r="O14" s="130">
        <f>SUM(O9:O13)</f>
        <v>0</v>
      </c>
      <c r="P14" s="130">
        <f>SUM(P9:P13)</f>
        <v>15.928093077730377</v>
      </c>
      <c r="Q14" s="130">
        <f>IF(AND(O14="",P14=""),"",O14+P14*$F14/1000)</f>
        <v>62.119563003148471</v>
      </c>
      <c r="R14" s="144"/>
      <c r="S14" s="144"/>
      <c r="T14" s="377"/>
      <c r="U14" s="144"/>
      <c r="V14" s="144"/>
      <c r="W14" s="144"/>
      <c r="X14" s="144"/>
      <c r="Y14" s="144"/>
      <c r="Z14" s="144"/>
      <c r="AA14" s="144"/>
      <c r="AB14" s="144"/>
      <c r="AC14" s="144"/>
      <c r="AD14" s="144"/>
      <c r="AE14" s="144"/>
      <c r="AF14" s="144"/>
      <c r="AG14" s="144"/>
      <c r="AH14" s="144"/>
      <c r="AI14" s="144"/>
      <c r="AJ14" s="144"/>
    </row>
    <row r="15" spans="1:36" s="19" customFormat="1" x14ac:dyDescent="0.25">
      <c r="A15" s="3"/>
      <c r="B15" s="3" t="str">
        <f t="shared" si="1"/>
        <v>Ausgrid</v>
      </c>
      <c r="C15" s="3" t="str">
        <f t="shared" si="1"/>
        <v>Residential</v>
      </c>
      <c r="D15" s="3" t="str">
        <f t="shared" si="1"/>
        <v>without CL</v>
      </c>
      <c r="E15" s="3"/>
      <c r="F15" s="131"/>
      <c r="G15" s="3" t="s">
        <v>38</v>
      </c>
      <c r="H15" s="128"/>
      <c r="I15" s="128"/>
      <c r="J15" s="128">
        <f>J14*GST</f>
        <v>7.6596000000000011</v>
      </c>
      <c r="K15" s="144"/>
      <c r="L15" s="149"/>
      <c r="M15" s="144"/>
      <c r="N15" s="149"/>
      <c r="O15" s="128"/>
      <c r="P15" s="128"/>
      <c r="Q15" s="277">
        <f>Q14*GST</f>
        <v>6.2119563003148475</v>
      </c>
      <c r="R15" s="145"/>
      <c r="S15" s="145"/>
      <c r="T15" s="379"/>
      <c r="U15" s="145"/>
      <c r="V15" s="145"/>
      <c r="W15" s="145"/>
      <c r="X15" s="145"/>
      <c r="Y15" s="145"/>
      <c r="Z15" s="145"/>
      <c r="AA15" s="145"/>
      <c r="AB15" s="145"/>
      <c r="AC15" s="145"/>
      <c r="AD15" s="145"/>
      <c r="AE15" s="145"/>
      <c r="AF15" s="145"/>
      <c r="AG15" s="145"/>
      <c r="AH15" s="145"/>
      <c r="AI15" s="145"/>
      <c r="AJ15" s="145"/>
    </row>
    <row r="16" spans="1:36" s="19" customFormat="1" x14ac:dyDescent="0.25">
      <c r="A16" s="3"/>
      <c r="B16" s="3" t="str">
        <f t="shared" si="1"/>
        <v>Ausgrid</v>
      </c>
      <c r="C16" s="3" t="str">
        <f t="shared" si="1"/>
        <v>Residential</v>
      </c>
      <c r="D16" s="3" t="str">
        <f t="shared" si="1"/>
        <v>without CL</v>
      </c>
      <c r="E16" s="3"/>
      <c r="F16" s="131"/>
      <c r="G16" s="5" t="s">
        <v>80</v>
      </c>
      <c r="H16" s="130"/>
      <c r="I16" s="130"/>
      <c r="J16" s="130">
        <f>SUM(J14:J15)</f>
        <v>84.255600000000001</v>
      </c>
      <c r="K16" s="145"/>
      <c r="L16" s="150"/>
      <c r="M16" s="145">
        <f>IF(OR(J16=0,Q16=""),"",Q16/J16-1)</f>
        <v>-0.18899729746790339</v>
      </c>
      <c r="N16" s="150"/>
      <c r="O16" s="130"/>
      <c r="P16" s="130"/>
      <c r="Q16" s="274">
        <f>SUM(Q14:Q15)</f>
        <v>68.331519303463324</v>
      </c>
      <c r="R16" s="145"/>
      <c r="S16" s="145"/>
      <c r="T16" s="379"/>
      <c r="U16" s="145"/>
      <c r="V16" s="145"/>
      <c r="W16" s="145"/>
      <c r="X16" s="145"/>
      <c r="Y16" s="145"/>
      <c r="Z16" s="145"/>
      <c r="AA16" s="145"/>
      <c r="AB16" s="145"/>
      <c r="AC16" s="145"/>
      <c r="AD16" s="145"/>
      <c r="AE16" s="145"/>
      <c r="AF16" s="145"/>
      <c r="AG16" s="145"/>
      <c r="AH16" s="145"/>
      <c r="AI16" s="145"/>
      <c r="AJ16" s="145"/>
    </row>
    <row r="17" spans="1:36" s="19" customFormat="1" x14ac:dyDescent="0.25">
      <c r="A17" s="3"/>
      <c r="B17" s="3"/>
      <c r="C17" s="3"/>
      <c r="D17" s="3"/>
      <c r="E17" s="3"/>
      <c r="F17" s="131"/>
      <c r="G17" s="3"/>
      <c r="H17" s="128"/>
      <c r="I17" s="128"/>
      <c r="J17" s="128"/>
      <c r="K17" s="143"/>
      <c r="L17" s="149"/>
      <c r="M17" s="143"/>
      <c r="N17" s="149"/>
      <c r="O17" s="128"/>
      <c r="P17" s="128"/>
      <c r="Q17" s="277"/>
      <c r="R17" s="143"/>
      <c r="S17" s="143"/>
      <c r="T17" s="377"/>
      <c r="U17" s="143"/>
      <c r="V17" s="143"/>
      <c r="W17" s="143"/>
      <c r="X17" s="143"/>
      <c r="Y17" s="143"/>
      <c r="Z17" s="143"/>
      <c r="AA17" s="143"/>
      <c r="AB17" s="143"/>
      <c r="AC17" s="143"/>
      <c r="AD17" s="143"/>
      <c r="AE17" s="143"/>
      <c r="AF17" s="143"/>
      <c r="AG17" s="143"/>
      <c r="AH17" s="143"/>
      <c r="AI17" s="143"/>
      <c r="AJ17" s="143"/>
    </row>
    <row r="18" spans="1:36" s="19" customFormat="1" x14ac:dyDescent="0.25">
      <c r="A18" s="3"/>
      <c r="B18" s="5" t="s">
        <v>2</v>
      </c>
      <c r="C18" s="5" t="s">
        <v>6</v>
      </c>
      <c r="D18" s="5" t="s">
        <v>128</v>
      </c>
      <c r="E18" s="3"/>
      <c r="F18" s="131"/>
      <c r="G18" s="3"/>
      <c r="H18" s="128"/>
      <c r="I18" s="128"/>
      <c r="J18" s="128"/>
      <c r="K18" s="143"/>
      <c r="L18" s="149"/>
      <c r="M18" s="143"/>
      <c r="N18" s="149"/>
      <c r="O18" s="128"/>
      <c r="P18" s="128"/>
      <c r="Q18" s="277"/>
      <c r="R18" s="143"/>
      <c r="S18" s="143"/>
      <c r="T18" s="377"/>
      <c r="U18" s="143"/>
      <c r="V18" s="143"/>
      <c r="W18" s="143"/>
      <c r="X18" s="143"/>
      <c r="Y18" s="143"/>
      <c r="Z18" s="143"/>
      <c r="AA18" s="143"/>
      <c r="AB18" s="143"/>
      <c r="AC18" s="143"/>
      <c r="AD18" s="143"/>
      <c r="AE18" s="143"/>
      <c r="AF18" s="143"/>
      <c r="AG18" s="143"/>
      <c r="AH18" s="143"/>
      <c r="AI18" s="143"/>
      <c r="AJ18" s="143"/>
    </row>
    <row r="19" spans="1:36" s="19" customFormat="1" x14ac:dyDescent="0.25">
      <c r="A19" s="3"/>
      <c r="B19" s="3" t="str">
        <f t="shared" ref="B19:B32" si="5">B18</f>
        <v>Ausgrid</v>
      </c>
      <c r="C19" s="3" t="str">
        <f t="shared" ref="C19:C32" si="6">C18</f>
        <v>Residential</v>
      </c>
      <c r="D19" s="3" t="str">
        <f t="shared" ref="D19:D32" si="7">D18</f>
        <v>with CL</v>
      </c>
      <c r="E19" s="3" t="s">
        <v>19</v>
      </c>
      <c r="F19" s="131">
        <f t="array" ref="F19">IFERROR(INDEX(Usage!$B$5:$P$18,MATCH($B19,Usage!$B$5:$B$18,0),MATCH($C19&amp;$D19&amp;$E19&amp;"Total",Usage!$B$5:$S$5&amp;Usage!$B$6:$S$6&amp;Usage!$B$7:$S$7&amp;Usage!$B$13:$S$13,0)),0)</f>
        <v>4800</v>
      </c>
      <c r="G19" s="5" t="s">
        <v>55</v>
      </c>
      <c r="H19" s="130">
        <f>H14</f>
        <v>0</v>
      </c>
      <c r="I19" s="130">
        <v>19.64</v>
      </c>
      <c r="J19" s="130">
        <f>IF(AND(H19="",I19=""),"",H19+I19*+Usage!E36/1000)</f>
        <v>94.272000000000006</v>
      </c>
      <c r="K19" s="145"/>
      <c r="L19" s="150"/>
      <c r="M19" s="145">
        <f>IF(OR(J19=0,Q19=""),"",Q19/J19-1)</f>
        <v>-0.18899729746790361</v>
      </c>
      <c r="N19" s="150"/>
      <c r="O19" s="130">
        <f>O14</f>
        <v>0</v>
      </c>
      <c r="P19" s="130">
        <f>P14</f>
        <v>15.928093077730377</v>
      </c>
      <c r="Q19" s="130">
        <f t="shared" ref="Q19:Q30" si="8">IF(AND(O19="",P19=""),"",O19+P19*$F19/1000)</f>
        <v>76.4548467731058</v>
      </c>
      <c r="R19" s="143"/>
      <c r="S19" s="143"/>
      <c r="T19" s="377"/>
      <c r="U19" s="143"/>
      <c r="V19" s="143"/>
      <c r="W19" s="143"/>
      <c r="X19" s="143"/>
      <c r="Y19" s="143"/>
      <c r="Z19" s="143"/>
      <c r="AA19" s="143"/>
      <c r="AB19" s="143"/>
      <c r="AC19" s="143"/>
      <c r="AD19" s="143"/>
      <c r="AE19" s="143"/>
      <c r="AF19" s="143"/>
      <c r="AG19" s="143"/>
      <c r="AH19" s="143"/>
      <c r="AI19" s="143"/>
      <c r="AJ19" s="143"/>
    </row>
    <row r="20" spans="1:36" s="19" customFormat="1" x14ac:dyDescent="0.25">
      <c r="A20" s="3"/>
      <c r="B20" s="3" t="str">
        <f t="shared" si="5"/>
        <v>Ausgrid</v>
      </c>
      <c r="C20" s="3" t="str">
        <f t="shared" si="6"/>
        <v>Residential</v>
      </c>
      <c r="D20" s="3" t="str">
        <f t="shared" si="7"/>
        <v>with CL</v>
      </c>
      <c r="E20" s="3" t="s">
        <v>14</v>
      </c>
      <c r="F20" s="131">
        <f t="array" ref="F20">IFERROR(INDEX(Usage!$B$5:$P$18,MATCH($B20,Usage!$B$5:$B$18,0),MATCH($C20&amp;$D20&amp;$E20,Usage!$B$5:$S$5&amp;Usage!$B$6:$S$6&amp;Usage!$B$7:$S$7,0)),0)</f>
        <v>1340</v>
      </c>
      <c r="G20" s="3" t="s">
        <v>74</v>
      </c>
      <c r="H20" s="128"/>
      <c r="I20" s="128">
        <f t="array" ref="I20">IFERROR(INDEX('Detail inputs'!$B$3:$K$195,MATCH($B20&amp;$G20&amp;I$5,'Detail inputs'!$B$3:$B$195&amp;'Detail inputs'!$G$3:$G$195&amp;'Detail inputs'!$H$3:$H$195,0),MATCH(I$4,'Detail inputs'!$B$3:$K$3,0)),0)</f>
        <v>7.54</v>
      </c>
      <c r="J20" s="128">
        <f>IF(AND(H20="",I20=""),"",H20+I20*+Usage!H$36/1000)</f>
        <v>10.1036</v>
      </c>
      <c r="K20" s="143">
        <f>IFERROR(J20/J25,"")</f>
        <v>0.3817721518987342</v>
      </c>
      <c r="L20" s="140"/>
      <c r="M20" s="143">
        <f t="shared" ref="M20:M32" si="9">IF(OR(J20=0,Q20=""),"",Q20/J20-1)</f>
        <v>-0.1887211338746565</v>
      </c>
      <c r="N20" s="140"/>
      <c r="O20" s="128"/>
      <c r="P20" s="128">
        <f t="array" ref="P20">IFERROR(INDEX('Detail inputs'!$B$3:$K$195,MATCH($B20&amp;$G20&amp;P$5,'Detail inputs'!$B$3:$B$195&amp;'Detail inputs'!$G$3:$G$195&amp;'Detail inputs'!$H$3:$H$195,0),MATCH(P$4,'Detail inputs'!$B$3:$K$3,0)),0)</f>
        <v>6.1170426505850894</v>
      </c>
      <c r="Q20" s="277">
        <f t="shared" si="8"/>
        <v>8.1968371517840204</v>
      </c>
      <c r="R20" s="143">
        <f>IFERROR(Q20/Q25,"")</f>
        <v>0.38404111658146578</v>
      </c>
      <c r="S20" s="143"/>
      <c r="T20" s="378"/>
      <c r="U20" s="143"/>
      <c r="V20" s="143"/>
      <c r="W20" s="143"/>
      <c r="X20" s="143"/>
      <c r="Y20" s="143"/>
      <c r="Z20" s="143"/>
      <c r="AA20" s="143"/>
      <c r="AB20" s="143"/>
      <c r="AC20" s="143"/>
      <c r="AD20" s="143"/>
      <c r="AE20" s="143"/>
      <c r="AF20" s="143"/>
      <c r="AG20" s="143"/>
      <c r="AH20" s="143"/>
      <c r="AI20" s="143"/>
      <c r="AJ20" s="143"/>
    </row>
    <row r="21" spans="1:36" s="19" customFormat="1" x14ac:dyDescent="0.25">
      <c r="A21" s="3"/>
      <c r="B21" s="3" t="str">
        <f t="shared" si="5"/>
        <v>Ausgrid</v>
      </c>
      <c r="C21" s="3" t="str">
        <f t="shared" si="6"/>
        <v>Residential</v>
      </c>
      <c r="D21" s="3" t="str">
        <f t="shared" si="7"/>
        <v>with CL</v>
      </c>
      <c r="E21" s="3" t="s">
        <v>14</v>
      </c>
      <c r="F21" s="131">
        <f t="array" ref="F21">IFERROR(INDEX(Usage!$B$5:$P$18,MATCH($B21,Usage!$B$5:$B$18,0),MATCH($C21&amp;$D21&amp;$E21,Usage!$B$5:$S$5&amp;Usage!$B$6:$S$6&amp;Usage!$B$7:$S$7,0)),0)</f>
        <v>1340</v>
      </c>
      <c r="G21" s="3" t="s">
        <v>75</v>
      </c>
      <c r="H21" s="128"/>
      <c r="I21" s="128">
        <f t="array" ref="I21">IFERROR(INDEX('Detail inputs'!$B$3:$K$195,MATCH($B21&amp;$G21&amp;I$5,'Detail inputs'!$B$3:$B$195&amp;'Detail inputs'!$G$3:$G$195&amp;'Detail inputs'!$H$3:$H$195,0),MATCH(I$4,'Detail inputs'!$B$3:$K$3,0)),0)</f>
        <v>7.85</v>
      </c>
      <c r="J21" s="128">
        <f>IF(AND(H21="",I21=""),"",H21+I21*+Usage!H$36/1000)</f>
        <v>10.519</v>
      </c>
      <c r="K21" s="143">
        <f>IFERROR(J21/J25,"")</f>
        <v>0.39746835443037976</v>
      </c>
      <c r="L21" s="140"/>
      <c r="M21" s="143">
        <f t="shared" si="9"/>
        <v>-0.34573248407643331</v>
      </c>
      <c r="N21" s="140"/>
      <c r="O21" s="128"/>
      <c r="P21" s="128">
        <f t="array" ref="P21">IFERROR(INDEX('Detail inputs'!$B$3:$K$195,MATCH($B21&amp;$G21&amp;P$5,'Detail inputs'!$B$3:$B$195&amp;'Detail inputs'!$G$3:$G$195&amp;'Detail inputs'!$H$3:$H$195,0),MATCH(P$4,'Detail inputs'!$B$3:$K$3,0)),0)</f>
        <v>5.1359999999999992</v>
      </c>
      <c r="Q21" s="277">
        <f t="shared" si="8"/>
        <v>6.8822399999999986</v>
      </c>
      <c r="R21" s="143">
        <f>IFERROR(Q21/Q25,"")</f>
        <v>0.32244914535192037</v>
      </c>
      <c r="S21" s="143"/>
      <c r="T21" s="377"/>
      <c r="U21" s="143"/>
      <c r="V21" s="143"/>
      <c r="W21" s="143"/>
      <c r="X21" s="143"/>
      <c r="Y21" s="143"/>
      <c r="Z21" s="143"/>
      <c r="AA21" s="143"/>
      <c r="AB21" s="143"/>
      <c r="AC21" s="143"/>
      <c r="AD21" s="143"/>
      <c r="AE21" s="143"/>
      <c r="AF21" s="143"/>
      <c r="AG21" s="143"/>
      <c r="AH21" s="143"/>
      <c r="AI21" s="143"/>
      <c r="AJ21" s="143"/>
    </row>
    <row r="22" spans="1:36" s="19" customFormat="1" x14ac:dyDescent="0.25">
      <c r="A22" s="3"/>
      <c r="B22" s="3" t="str">
        <f t="shared" si="5"/>
        <v>Ausgrid</v>
      </c>
      <c r="C22" s="3" t="str">
        <f t="shared" si="6"/>
        <v>Residential</v>
      </c>
      <c r="D22" s="3" t="str">
        <f t="shared" si="7"/>
        <v>with CL</v>
      </c>
      <c r="E22" s="3" t="s">
        <v>14</v>
      </c>
      <c r="F22" s="131">
        <f t="array" ref="F22">IFERROR(INDEX(Usage!$B$5:$P$18,MATCH($B22,Usage!$B$5:$B$18,0),MATCH($C22&amp;$D22&amp;$E22,Usage!$B$5:$S$5&amp;Usage!$B$6:$S$6&amp;Usage!$B$7:$S$7,0)),0)</f>
        <v>1340</v>
      </c>
      <c r="G22" s="3" t="s">
        <v>76</v>
      </c>
      <c r="H22" s="128"/>
      <c r="I22" s="128">
        <f t="array" ref="I22">IFERROR(INDEX('Detail inputs'!$B$3:$K$195,MATCH($B22&amp;$G22&amp;I$5,'Detail inputs'!$B$3:$B$195&amp;'Detail inputs'!$G$3:$G$195&amp;'Detail inputs'!$H$3:$H$195,0),MATCH(I$4,'Detail inputs'!$B$3:$K$3,0)),0)</f>
        <v>2.71</v>
      </c>
      <c r="J22" s="128">
        <f>IF(AND(H22="",I22=""),"",H22+I22*+Usage!H$36/1000)</f>
        <v>3.6314000000000002</v>
      </c>
      <c r="K22" s="143">
        <f>IFERROR(J22/J25,"")</f>
        <v>0.13721518987341774</v>
      </c>
      <c r="L22" s="140"/>
      <c r="M22" s="143">
        <f t="shared" si="9"/>
        <v>-0.21431027168673578</v>
      </c>
      <c r="N22" s="140"/>
      <c r="O22" s="128"/>
      <c r="P22" s="128">
        <f t="array" ref="P22">IFERROR(INDEX('Detail inputs'!$B$3:$K$195,MATCH($B22&amp;$G22&amp;P$5,'Detail inputs'!$B$3:$B$195&amp;'Detail inputs'!$G$3:$G$195&amp;'Detail inputs'!$H$3:$H$195,0),MATCH(P$4,'Detail inputs'!$B$3:$K$3,0)),0)</f>
        <v>2.1292191637289464</v>
      </c>
      <c r="Q22" s="277">
        <f t="shared" si="8"/>
        <v>2.853153679396788</v>
      </c>
      <c r="R22" s="143">
        <f>IFERROR(Q22/Q25,"")</f>
        <v>0.1336769664352277</v>
      </c>
      <c r="S22" s="143"/>
      <c r="T22" s="377"/>
      <c r="U22" s="143"/>
      <c r="V22" s="143"/>
      <c r="W22" s="143"/>
      <c r="X22" s="143"/>
      <c r="Y22" s="143"/>
      <c r="Z22" s="143"/>
      <c r="AA22" s="143"/>
      <c r="AB22" s="143"/>
      <c r="AC22" s="143"/>
      <c r="AD22" s="143"/>
      <c r="AE22" s="143"/>
      <c r="AF22" s="143"/>
      <c r="AG22" s="143"/>
      <c r="AH22" s="143"/>
      <c r="AI22" s="143"/>
      <c r="AJ22" s="143"/>
    </row>
    <row r="23" spans="1:36" s="19" customFormat="1" x14ac:dyDescent="0.25">
      <c r="A23" s="3"/>
      <c r="B23" s="3" t="str">
        <f t="shared" si="5"/>
        <v>Ausgrid</v>
      </c>
      <c r="C23" s="3" t="str">
        <f t="shared" si="6"/>
        <v>Residential</v>
      </c>
      <c r="D23" s="3" t="str">
        <f t="shared" si="7"/>
        <v>with CL</v>
      </c>
      <c r="E23" s="3" t="s">
        <v>14</v>
      </c>
      <c r="F23" s="131">
        <f t="array" ref="F23">IFERROR(INDEX(Usage!$B$5:$P$18,MATCH($B23,Usage!$B$5:$B$18,0),MATCH($C23&amp;$D23&amp;$E23,Usage!$B$5:$S$5&amp;Usage!$B$6:$S$6&amp;Usage!$B$7:$S$7,0)),0)</f>
        <v>1340</v>
      </c>
      <c r="G23" s="3" t="s">
        <v>164</v>
      </c>
      <c r="H23" s="128"/>
      <c r="I23" s="128">
        <f t="array" ref="I23">IFERROR(INDEX('Detail inputs'!$B$3:$K$195,MATCH($B23&amp;$G23&amp;I$5,'Detail inputs'!$B$3:$B$195&amp;'Detail inputs'!$G$3:$G$195&amp;'Detail inputs'!$H$3:$H$195,0),MATCH(I$4,'Detail inputs'!$B$3:$K$3,0)),0)</f>
        <v>0.71</v>
      </c>
      <c r="J23" s="128">
        <f>IF(AND(H23="",I23=""),"",H23+I23*+Usage!H$36/1000)</f>
        <v>0.95140000000000002</v>
      </c>
      <c r="K23" s="143">
        <f>IFERROR(J23/J25,"")</f>
        <v>3.5949367088607596E-2</v>
      </c>
      <c r="L23" s="140"/>
      <c r="M23" s="143">
        <f t="shared" ref="M23" si="10">IF(OR(J23=0,Q23=""),"",Q23/J23-1)</f>
        <v>1.6245712692226713</v>
      </c>
      <c r="N23" s="140"/>
      <c r="O23" s="128"/>
      <c r="P23" s="128">
        <f t="array" ref="P23">IFERROR(INDEX('Detail inputs'!$B$3:$K$195,MATCH($B23&amp;$G23&amp;P$5,'Detail inputs'!$B$3:$B$195&amp;'Detail inputs'!$G$3:$G$195&amp;'Detail inputs'!$H$3:$H$195,0),MATCH(P$4,'Detail inputs'!$B$3:$K$3,0)),0)</f>
        <v>1.8634456011480964</v>
      </c>
      <c r="Q23" s="277">
        <f t="shared" ref="Q23" si="11">IF(AND(O23="",P23=""),"",O23+P23*$F23/1000)</f>
        <v>2.4970171055384496</v>
      </c>
      <c r="R23" s="143">
        <f>IFERROR(Q23/Q25,"")</f>
        <v>0.11699112957554506</v>
      </c>
      <c r="S23" s="143"/>
      <c r="T23" s="377"/>
      <c r="U23" s="143"/>
      <c r="V23" s="143"/>
      <c r="W23" s="143"/>
      <c r="X23" s="143"/>
      <c r="Y23" s="143"/>
      <c r="Z23" s="143"/>
      <c r="AA23" s="143"/>
      <c r="AB23" s="143"/>
      <c r="AC23" s="143"/>
      <c r="AD23" s="143"/>
      <c r="AE23" s="143"/>
      <c r="AF23" s="143"/>
      <c r="AG23" s="143"/>
      <c r="AH23" s="143"/>
      <c r="AI23" s="143"/>
      <c r="AJ23" s="143"/>
    </row>
    <row r="24" spans="1:36" s="19" customFormat="1" x14ac:dyDescent="0.25">
      <c r="A24" s="3"/>
      <c r="B24" s="3" t="str">
        <f t="shared" si="5"/>
        <v>Ausgrid</v>
      </c>
      <c r="C24" s="3" t="str">
        <f t="shared" si="6"/>
        <v>Residential</v>
      </c>
      <c r="D24" s="3" t="str">
        <f t="shared" si="7"/>
        <v>with CL</v>
      </c>
      <c r="E24" s="3" t="s">
        <v>14</v>
      </c>
      <c r="F24" s="131">
        <f t="array" ref="F24">IFERROR(INDEX(Usage!$B$5:$P$18,MATCH($B24,Usage!$B$5:$B$18,0),MATCH($C24&amp;$D24&amp;$E24,Usage!$B$5:$S$5&amp;Usage!$B$6:$S$6&amp;Usage!$B$7:$S$7,0)),0)</f>
        <v>1340</v>
      </c>
      <c r="G24" s="3" t="s">
        <v>73</v>
      </c>
      <c r="H24" s="128"/>
      <c r="I24" s="128" cm="1">
        <f t="array" ref="I24">IFERROR(INDEX('Detail inputs'!$B$3:$K$195,MATCH($B24&amp;$C24&amp;$E24&amp;$G24&amp;I$5,'Detail inputs'!$B$3:$B$195&amp;'Detail inputs'!$D$3:$D$195&amp;'Detail inputs'!$F$3:$F$195&amp;'Detail inputs'!$G$3:$G$195&amp;'Detail inputs'!$H$3:$H$195,0),MATCH(I$4,'Detail inputs'!$B$3:$K$3,0)),0)*SUM(I20:I23)</f>
        <v>0.94050000000000011</v>
      </c>
      <c r="J24" s="128">
        <f>IF(AND(H24="",I24=""),"",H24+I24*+Usage!H$36/1000)</f>
        <v>1.2602700000000002</v>
      </c>
      <c r="K24" s="143">
        <f>IFERROR(J24/J25,"")</f>
        <v>4.7620253164556973E-2</v>
      </c>
      <c r="L24" s="140"/>
      <c r="M24" s="143">
        <f t="shared" si="9"/>
        <v>-0.27444374027831508</v>
      </c>
      <c r="N24" s="140"/>
      <c r="O24" s="128"/>
      <c r="P24" s="128" cm="1">
        <f t="array" ref="P24">IFERROR(INDEX('Detail inputs'!$B$3:$K$195,MATCH($B24&amp;$C24&amp;$E24&amp;$G24&amp;P$5,'Detail inputs'!$B$3:$B$195&amp;'Detail inputs'!$D$3:$D$195&amp;'Detail inputs'!$F$3:$F$195&amp;'Detail inputs'!$G$3:$G$195&amp;'Detail inputs'!$H$3:$H$195,0),MATCH(P$4,'Detail inputs'!$B$3:$K$3,0)),0)*SUM(P20:P23)</f>
        <v>0.68238566226824471</v>
      </c>
      <c r="Q24" s="277">
        <f t="shared" si="8"/>
        <v>0.91439678743944797</v>
      </c>
      <c r="R24" s="143">
        <f>IFERROR(Q24/Q25,"")</f>
        <v>4.2841642055841074E-2</v>
      </c>
      <c r="S24" s="143"/>
      <c r="T24" s="377"/>
      <c r="U24" s="143"/>
      <c r="V24" s="143"/>
      <c r="W24" s="143"/>
      <c r="X24" s="143"/>
      <c r="Y24" s="143"/>
      <c r="Z24" s="143"/>
      <c r="AA24" s="143"/>
      <c r="AB24" s="143"/>
      <c r="AC24" s="143"/>
      <c r="AD24" s="143"/>
      <c r="AE24" s="143"/>
      <c r="AF24" s="143"/>
      <c r="AG24" s="143"/>
      <c r="AH24" s="143"/>
      <c r="AI24" s="143"/>
      <c r="AJ24" s="143"/>
    </row>
    <row r="25" spans="1:36" s="19" customFormat="1" x14ac:dyDescent="0.25">
      <c r="A25" s="3"/>
      <c r="B25" s="3" t="str">
        <f t="shared" si="5"/>
        <v>Ausgrid</v>
      </c>
      <c r="C25" s="3" t="str">
        <f t="shared" si="6"/>
        <v>Residential</v>
      </c>
      <c r="D25" s="3" t="str">
        <f t="shared" si="7"/>
        <v>with CL</v>
      </c>
      <c r="E25" s="3" t="s">
        <v>14</v>
      </c>
      <c r="F25" s="131">
        <f t="array" ref="F25">IFERROR(INDEX(Usage!$B$5:$P$18,MATCH($B25,Usage!$B$5:$B$18,0),MATCH($C25&amp;$D25&amp;$E25,Usage!$B$5:$S$5&amp;Usage!$B$6:$S$6&amp;Usage!$B$7:$S$7,0)),0)</f>
        <v>1340</v>
      </c>
      <c r="G25" s="5" t="s">
        <v>55</v>
      </c>
      <c r="H25" s="130">
        <f>SUM(H20:H24)</f>
        <v>0</v>
      </c>
      <c r="I25" s="130">
        <v>19.75</v>
      </c>
      <c r="J25" s="130">
        <f>IF(AND(H25="",I25=""),"",H25+I25*+Usage!H$36/1000)</f>
        <v>26.465</v>
      </c>
      <c r="K25" s="145"/>
      <c r="L25" s="150"/>
      <c r="M25" s="145">
        <f t="shared" si="9"/>
        <v>-0.19351427454529746</v>
      </c>
      <c r="N25" s="150"/>
      <c r="O25" s="130">
        <f>SUM(O20:O24)</f>
        <v>0</v>
      </c>
      <c r="P25" s="130">
        <f>SUM(P20:P24)</f>
        <v>15.928093077730377</v>
      </c>
      <c r="Q25" s="130">
        <f t="shared" si="8"/>
        <v>21.343644724158704</v>
      </c>
      <c r="R25" s="145"/>
      <c r="S25" s="145"/>
      <c r="T25" s="379"/>
      <c r="U25" s="145"/>
      <c r="V25" s="145"/>
      <c r="W25" s="145"/>
      <c r="X25" s="145"/>
      <c r="Y25" s="145"/>
      <c r="Z25" s="145"/>
      <c r="AA25" s="145"/>
      <c r="AB25" s="145"/>
      <c r="AC25" s="145"/>
      <c r="AD25" s="145"/>
      <c r="AE25" s="145"/>
      <c r="AF25" s="145"/>
      <c r="AG25" s="145"/>
      <c r="AH25" s="145"/>
      <c r="AI25" s="145"/>
      <c r="AJ25" s="145"/>
    </row>
    <row r="26" spans="1:36" s="19" customFormat="1" x14ac:dyDescent="0.25">
      <c r="A26" s="3"/>
      <c r="B26" s="3" t="str">
        <f t="shared" si="5"/>
        <v>Ausgrid</v>
      </c>
      <c r="C26" s="3" t="str">
        <f t="shared" si="6"/>
        <v>Residential</v>
      </c>
      <c r="D26" s="3" t="str">
        <f t="shared" si="7"/>
        <v>with CL</v>
      </c>
      <c r="E26" s="3" t="s">
        <v>15</v>
      </c>
      <c r="F26" s="131">
        <f t="array" ref="F26">IFERROR(INDEX(Usage!$B$5:$P$18,MATCH($B26,Usage!$B$5:$B$18,0),MATCH($C26&amp;$D26&amp;$E26,Usage!$B$5:$S$5&amp;Usage!$B$6:$S$6&amp;Usage!$B$7:$S$7,0)),0)</f>
        <v>660</v>
      </c>
      <c r="G26" s="3" t="s">
        <v>74</v>
      </c>
      <c r="H26" s="128"/>
      <c r="I26" s="128">
        <f t="array" ref="I26">IFERROR(INDEX('Detail inputs'!$B$3:$K$195,MATCH($B26&amp;$G26&amp;I$5,'Detail inputs'!$B$3:$B$195&amp;'Detail inputs'!$G$3:$G$195&amp;'Detail inputs'!$H$3:$H$195,0),MATCH(I$4,'Detail inputs'!$B$3:$K$3,0)),0)</f>
        <v>7.54</v>
      </c>
      <c r="J26" s="128">
        <f>IF(AND(H26="",I26=""),"",H26+I26*+Usage!I$36/1000)</f>
        <v>4.9763999999999999</v>
      </c>
      <c r="K26" s="143">
        <f>IFERROR(J26/J31,"")</f>
        <v>0.38177215189873415</v>
      </c>
      <c r="L26" s="140"/>
      <c r="M26" s="143">
        <f t="shared" si="9"/>
        <v>-0.1887211338746565</v>
      </c>
      <c r="N26" s="140"/>
      <c r="O26" s="128"/>
      <c r="P26" s="128">
        <f t="array" ref="P26">IFERROR(INDEX('Detail inputs'!$B$3:$K$195,MATCH($B26&amp;$G26&amp;P$5,'Detail inputs'!$B$3:$B$195&amp;'Detail inputs'!$G$3:$G$195&amp;'Detail inputs'!$H$3:$H$195,0),MATCH(P$4,'Detail inputs'!$B$3:$K$3,0)),0)</f>
        <v>6.1170426505850894</v>
      </c>
      <c r="Q26" s="277">
        <f t="shared" si="8"/>
        <v>4.0372481493861594</v>
      </c>
      <c r="R26" s="143">
        <f>IFERROR(Q26/Q31,"")</f>
        <v>0.38404111658146578</v>
      </c>
      <c r="S26" s="143"/>
      <c r="T26" s="378"/>
      <c r="U26" s="143"/>
      <c r="V26" s="143"/>
      <c r="W26" s="143"/>
      <c r="X26" s="143"/>
      <c r="Y26" s="143"/>
      <c r="Z26" s="143"/>
      <c r="AA26" s="143"/>
      <c r="AB26" s="143"/>
      <c r="AC26" s="143"/>
      <c r="AD26" s="143"/>
      <c r="AE26" s="143"/>
      <c r="AF26" s="143"/>
      <c r="AG26" s="143"/>
      <c r="AH26" s="143"/>
      <c r="AI26" s="143"/>
      <c r="AJ26" s="143"/>
    </row>
    <row r="27" spans="1:36" s="19" customFormat="1" x14ac:dyDescent="0.25">
      <c r="A27" s="3"/>
      <c r="B27" s="3" t="str">
        <f t="shared" si="5"/>
        <v>Ausgrid</v>
      </c>
      <c r="C27" s="3" t="str">
        <f t="shared" si="6"/>
        <v>Residential</v>
      </c>
      <c r="D27" s="3" t="str">
        <f t="shared" si="7"/>
        <v>with CL</v>
      </c>
      <c r="E27" s="3" t="s">
        <v>15</v>
      </c>
      <c r="F27" s="131">
        <f t="array" ref="F27">IFERROR(INDEX(Usage!$B$5:$P$18,MATCH($B27,Usage!$B$5:$B$18,0),MATCH($C27&amp;$D27&amp;$E27,Usage!$B$5:$S$5&amp;Usage!$B$6:$S$6&amp;Usage!$B$7:$S$7,0)),0)</f>
        <v>660</v>
      </c>
      <c r="G27" s="3" t="s">
        <v>75</v>
      </c>
      <c r="H27" s="128"/>
      <c r="I27" s="128">
        <f t="array" ref="I27">IFERROR(INDEX('Detail inputs'!$B$3:$K$195,MATCH($B27&amp;$G27&amp;I$5,'Detail inputs'!$B$3:$B$195&amp;'Detail inputs'!$G$3:$G$195&amp;'Detail inputs'!$H$3:$H$195,0),MATCH(I$4,'Detail inputs'!$B$3:$K$3,0)),0)</f>
        <v>7.85</v>
      </c>
      <c r="J27" s="128">
        <f>IF(AND(H27="",I27=""),"",H27+I27*+Usage!I$36/1000)</f>
        <v>5.181</v>
      </c>
      <c r="K27" s="144">
        <f>IFERROR(J27/J31,"")</f>
        <v>0.39746835443037976</v>
      </c>
      <c r="L27" s="141"/>
      <c r="M27" s="144">
        <f t="shared" si="9"/>
        <v>-0.3457324840764332</v>
      </c>
      <c r="N27" s="141"/>
      <c r="O27" s="128"/>
      <c r="P27" s="128">
        <f t="array" ref="P27">IFERROR(INDEX('Detail inputs'!$B$3:$K$195,MATCH($B27&amp;$G27&amp;P$5,'Detail inputs'!$B$3:$B$195&amp;'Detail inputs'!$G$3:$G$195&amp;'Detail inputs'!$H$3:$H$195,0),MATCH(P$4,'Detail inputs'!$B$3:$K$3,0)),0)</f>
        <v>5.1359999999999992</v>
      </c>
      <c r="Q27" s="277">
        <f t="shared" si="8"/>
        <v>3.3897599999999994</v>
      </c>
      <c r="R27" s="144">
        <f>IFERROR(Q27/Q31,"")</f>
        <v>0.32244914535192037</v>
      </c>
      <c r="S27" s="144"/>
      <c r="T27" s="377"/>
      <c r="U27" s="144"/>
      <c r="V27" s="144"/>
      <c r="W27" s="144"/>
      <c r="X27" s="144"/>
      <c r="Y27" s="144"/>
      <c r="Z27" s="144"/>
      <c r="AA27" s="144"/>
      <c r="AB27" s="144"/>
      <c r="AC27" s="144"/>
      <c r="AD27" s="144"/>
      <c r="AE27" s="144"/>
      <c r="AF27" s="144"/>
      <c r="AG27" s="144"/>
      <c r="AH27" s="144"/>
      <c r="AI27" s="144"/>
      <c r="AJ27" s="144"/>
    </row>
    <row r="28" spans="1:36" s="19" customFormat="1" x14ac:dyDescent="0.25">
      <c r="A28" s="3"/>
      <c r="B28" s="3" t="str">
        <f t="shared" si="5"/>
        <v>Ausgrid</v>
      </c>
      <c r="C28" s="3" t="str">
        <f t="shared" si="6"/>
        <v>Residential</v>
      </c>
      <c r="D28" s="3" t="str">
        <f t="shared" si="7"/>
        <v>with CL</v>
      </c>
      <c r="E28" s="3" t="s">
        <v>15</v>
      </c>
      <c r="F28" s="131">
        <f t="array" ref="F28">IFERROR(INDEX(Usage!$B$5:$P$18,MATCH($B28,Usage!$B$5:$B$18,0),MATCH($C28&amp;$D28&amp;$E28,Usage!$B$5:$S$5&amp;Usage!$B$6:$S$6&amp;Usage!$B$7:$S$7,0)),0)</f>
        <v>660</v>
      </c>
      <c r="G28" s="3" t="s">
        <v>76</v>
      </c>
      <c r="H28" s="128"/>
      <c r="I28" s="128">
        <f t="array" ref="I28">IFERROR(INDEX('Detail inputs'!$B$3:$K$195,MATCH($B28&amp;$G28&amp;I$5,'Detail inputs'!$B$3:$B$195&amp;'Detail inputs'!$G$3:$G$195&amp;'Detail inputs'!$H$3:$H$195,0),MATCH(I$4,'Detail inputs'!$B$3:$K$3,0)),0)</f>
        <v>2.71</v>
      </c>
      <c r="J28" s="128">
        <f>IF(AND(H28="",I28=""),"",H28+I28*+Usage!I$36/1000)</f>
        <v>1.7886</v>
      </c>
      <c r="K28" s="144">
        <f>IFERROR(J28/J31,"")</f>
        <v>0.13721518987341771</v>
      </c>
      <c r="L28" s="141"/>
      <c r="M28" s="144">
        <f t="shared" si="9"/>
        <v>-0.21431027168673555</v>
      </c>
      <c r="N28" s="141"/>
      <c r="O28" s="128"/>
      <c r="P28" s="128">
        <f t="array" ref="P28">IFERROR(INDEX('Detail inputs'!$B$3:$K$195,MATCH($B28&amp;$G28&amp;P$5,'Detail inputs'!$B$3:$B$195&amp;'Detail inputs'!$G$3:$G$195&amp;'Detail inputs'!$H$3:$H$195,0),MATCH(P$4,'Detail inputs'!$B$3:$K$3,0)),0)</f>
        <v>2.1292191637289464</v>
      </c>
      <c r="Q28" s="277">
        <f t="shared" si="8"/>
        <v>1.4052846480611048</v>
      </c>
      <c r="R28" s="144">
        <f>IFERROR(Q28/Q31,"")</f>
        <v>0.13367696643522772</v>
      </c>
      <c r="S28" s="144"/>
      <c r="T28" s="377"/>
      <c r="U28" s="144"/>
      <c r="V28" s="144"/>
      <c r="W28" s="144"/>
      <c r="X28" s="144"/>
      <c r="Y28" s="144"/>
      <c r="Z28" s="144"/>
      <c r="AA28" s="144"/>
      <c r="AB28" s="144"/>
      <c r="AC28" s="144"/>
      <c r="AD28" s="144"/>
      <c r="AE28" s="144"/>
      <c r="AF28" s="144"/>
      <c r="AG28" s="144"/>
      <c r="AH28" s="144"/>
      <c r="AI28" s="144"/>
      <c r="AJ28" s="144"/>
    </row>
    <row r="29" spans="1:36" s="19" customFormat="1" x14ac:dyDescent="0.25">
      <c r="A29" s="3"/>
      <c r="B29" s="3" t="str">
        <f t="shared" si="5"/>
        <v>Ausgrid</v>
      </c>
      <c r="C29" s="3" t="str">
        <f t="shared" si="6"/>
        <v>Residential</v>
      </c>
      <c r="D29" s="3" t="str">
        <f t="shared" si="7"/>
        <v>with CL</v>
      </c>
      <c r="E29" s="3" t="s">
        <v>15</v>
      </c>
      <c r="F29" s="131">
        <f t="array" ref="F29">IFERROR(INDEX(Usage!$B$5:$P$18,MATCH($B29,Usage!$B$5:$B$18,0),MATCH($C29&amp;$D29&amp;$E29,Usage!$B$5:$S$5&amp;Usage!$B$6:$S$6&amp;Usage!$B$7:$S$7,0)),0)</f>
        <v>660</v>
      </c>
      <c r="G29" s="3" t="s">
        <v>164</v>
      </c>
      <c r="H29" s="128"/>
      <c r="I29" s="128">
        <f t="array" ref="I29">IFERROR(INDEX('Detail inputs'!$B$3:$K$195,MATCH($B29&amp;$G29&amp;I$5,'Detail inputs'!$B$3:$B$195&amp;'Detail inputs'!$G$3:$G$195&amp;'Detail inputs'!$H$3:$H$195,0),MATCH(I$4,'Detail inputs'!$B$3:$K$3,0)),0)</f>
        <v>0.71</v>
      </c>
      <c r="J29" s="128">
        <f>IF(AND(H29="",I29=""),"",H29+I29*+Usage!I$36/1000)</f>
        <v>0.46859999999999996</v>
      </c>
      <c r="K29" s="144">
        <f>IFERROR(J29/J31,"")</f>
        <v>3.5949367088607589E-2</v>
      </c>
      <c r="L29" s="141"/>
      <c r="M29" s="144">
        <f t="shared" ref="M29" si="12">IF(OR(J29=0,Q29=""),"",Q29/J29-1)</f>
        <v>1.6245712692226713</v>
      </c>
      <c r="N29" s="141"/>
      <c r="O29" s="128"/>
      <c r="P29" s="128">
        <f t="array" ref="P29">IFERROR(INDEX('Detail inputs'!$B$3:$K$195,MATCH($B29&amp;$G29&amp;P$5,'Detail inputs'!$B$3:$B$195&amp;'Detail inputs'!$G$3:$G$195&amp;'Detail inputs'!$H$3:$H$195,0),MATCH(P$4,'Detail inputs'!$B$3:$K$3,0)),0)</f>
        <v>1.8634456011480964</v>
      </c>
      <c r="Q29" s="277">
        <f t="shared" ref="Q29" si="13">IF(AND(O29="",P29=""),"",O29+P29*$F29/1000)</f>
        <v>1.2298740967577437</v>
      </c>
      <c r="R29" s="144">
        <f>IFERROR(Q29/Q31,"")</f>
        <v>0.11699112957554504</v>
      </c>
      <c r="S29" s="144"/>
      <c r="T29" s="377"/>
      <c r="U29" s="144"/>
      <c r="V29" s="144"/>
      <c r="W29" s="144"/>
      <c r="X29" s="144"/>
      <c r="Y29" s="144"/>
      <c r="Z29" s="144"/>
      <c r="AA29" s="144"/>
      <c r="AB29" s="144"/>
      <c r="AC29" s="144"/>
      <c r="AD29" s="144"/>
      <c r="AE29" s="144"/>
      <c r="AF29" s="144"/>
      <c r="AG29" s="144"/>
      <c r="AH29" s="144"/>
      <c r="AI29" s="144"/>
      <c r="AJ29" s="144"/>
    </row>
    <row r="30" spans="1:36" s="19" customFormat="1" x14ac:dyDescent="0.25">
      <c r="A30" s="3"/>
      <c r="B30" s="3" t="str">
        <f t="shared" si="5"/>
        <v>Ausgrid</v>
      </c>
      <c r="C30" s="3" t="str">
        <f t="shared" si="6"/>
        <v>Residential</v>
      </c>
      <c r="D30" s="3" t="str">
        <f t="shared" si="7"/>
        <v>with CL</v>
      </c>
      <c r="E30" s="3" t="s">
        <v>15</v>
      </c>
      <c r="F30" s="131">
        <f t="array" ref="F30">IFERROR(INDEX(Usage!$B$5:$P$18,MATCH($B30,Usage!$B$5:$B$18,0),MATCH($C30&amp;$D30&amp;$E30,Usage!$B$5:$S$5&amp;Usage!$B$6:$S$6&amp;Usage!$B$7:$S$7,0)),0)</f>
        <v>660</v>
      </c>
      <c r="G30" s="3" t="s">
        <v>73</v>
      </c>
      <c r="H30" s="128"/>
      <c r="I30" s="128" cm="1">
        <f t="array" ref="I30">IFERROR(INDEX('Detail inputs'!$B$3:$K$195,MATCH($B30&amp;$C30&amp;$E30&amp;$G30&amp;I$5,'Detail inputs'!$B$3:$B$195&amp;'Detail inputs'!$D$3:$D$195&amp;'Detail inputs'!$F$3:$F$195&amp;'Detail inputs'!$G$3:$G$195&amp;'Detail inputs'!$H$3:$H$195,0),MATCH(I$4,'Detail inputs'!$B$3:$K$3,0)),0)*SUM(I26:I29)</f>
        <v>0.94050000000000011</v>
      </c>
      <c r="J30" s="128">
        <f>IF(AND(H30="",I30=""),"",H30+I30*+Usage!I$36/1000)</f>
        <v>0.62073</v>
      </c>
      <c r="K30" s="144">
        <f>IFERROR(J30/J31,"")</f>
        <v>4.762025316455696E-2</v>
      </c>
      <c r="L30" s="141"/>
      <c r="M30" s="144">
        <f t="shared" si="9"/>
        <v>-0.27444374027831508</v>
      </c>
      <c r="N30" s="141"/>
      <c r="O30" s="128"/>
      <c r="P30" s="128" cm="1">
        <f t="array" ref="P30">IFERROR(INDEX('Detail inputs'!$B$3:$K$195,MATCH($B30&amp;$C30&amp;$E30&amp;$G30&amp;P$5,'Detail inputs'!$B$3:$B$195&amp;'Detail inputs'!$D$3:$D$195&amp;'Detail inputs'!$F$3:$F$195&amp;'Detail inputs'!$G$3:$G$195&amp;'Detail inputs'!$H$3:$H$195,0),MATCH(P$4,'Detail inputs'!$B$3:$K$3,0)),0)*SUM(P26:P29)</f>
        <v>0.68238566226824471</v>
      </c>
      <c r="Q30" s="277">
        <f t="shared" si="8"/>
        <v>0.45037453709704151</v>
      </c>
      <c r="R30" s="144">
        <f>IFERROR(Q30/Q31,"")</f>
        <v>4.2841642055841067E-2</v>
      </c>
      <c r="S30" s="144"/>
      <c r="T30" s="377"/>
      <c r="U30" s="144"/>
      <c r="V30" s="144"/>
      <c r="W30" s="144"/>
      <c r="X30" s="144"/>
      <c r="Y30" s="144"/>
      <c r="Z30" s="144"/>
      <c r="AA30" s="144"/>
      <c r="AB30" s="144"/>
      <c r="AC30" s="144"/>
      <c r="AD30" s="144"/>
      <c r="AE30" s="144"/>
      <c r="AF30" s="144"/>
      <c r="AG30" s="144"/>
      <c r="AH30" s="144"/>
      <c r="AI30" s="144"/>
      <c r="AJ30" s="144"/>
    </row>
    <row r="31" spans="1:36" s="19" customFormat="1" x14ac:dyDescent="0.25">
      <c r="A31" s="3"/>
      <c r="B31" s="3" t="str">
        <f t="shared" si="5"/>
        <v>Ausgrid</v>
      </c>
      <c r="C31" s="3" t="str">
        <f t="shared" si="6"/>
        <v>Residential</v>
      </c>
      <c r="D31" s="3" t="str">
        <f t="shared" si="7"/>
        <v>with CL</v>
      </c>
      <c r="E31" s="3" t="s">
        <v>15</v>
      </c>
      <c r="F31" s="131">
        <f t="array" ref="F31">IFERROR(INDEX(Usage!$B$5:$P$18,MATCH($B31,Usage!$B$5:$B$18,0),MATCH($C31&amp;$D31&amp;$E31,Usage!$B$5:$S$5&amp;Usage!$B$6:$S$6&amp;Usage!$B$7:$S$7,0)),0)</f>
        <v>660</v>
      </c>
      <c r="G31" s="5" t="s">
        <v>55</v>
      </c>
      <c r="H31" s="130">
        <f>SUM(H26:H30)</f>
        <v>0</v>
      </c>
      <c r="I31" s="130">
        <v>19.75</v>
      </c>
      <c r="J31" s="130">
        <f>IF(AND(H31="",I31=""),"",H31+I31*+Usage!I$36/1000)</f>
        <v>13.035</v>
      </c>
      <c r="K31" s="145"/>
      <c r="L31" s="150"/>
      <c r="M31" s="145">
        <f t="shared" si="9"/>
        <v>-0.19351427454529735</v>
      </c>
      <c r="N31" s="150"/>
      <c r="O31" s="130">
        <f>SUM(O26:O30)</f>
        <v>0</v>
      </c>
      <c r="P31" s="130">
        <f>SUM(P26:P30)</f>
        <v>15.928093077730377</v>
      </c>
      <c r="Q31" s="130">
        <f>IF(AND(O31="",P31=""),"",O31+P31*$F31/1000)</f>
        <v>10.512541431302049</v>
      </c>
      <c r="R31" s="144"/>
      <c r="S31" s="144"/>
      <c r="T31" s="377"/>
      <c r="U31" s="144"/>
      <c r="V31" s="144"/>
      <c r="W31" s="144"/>
      <c r="X31" s="144"/>
      <c r="Y31" s="144"/>
      <c r="Z31" s="144"/>
      <c r="AA31" s="144"/>
      <c r="AB31" s="144"/>
      <c r="AC31" s="144"/>
      <c r="AD31" s="144"/>
      <c r="AE31" s="144"/>
      <c r="AF31" s="144"/>
      <c r="AG31" s="144"/>
      <c r="AH31" s="144"/>
      <c r="AI31" s="144"/>
      <c r="AJ31" s="144"/>
    </row>
    <row r="32" spans="1:36" s="19" customFormat="1" x14ac:dyDescent="0.25">
      <c r="A32" s="3"/>
      <c r="B32" s="3" t="str">
        <f t="shared" si="5"/>
        <v>Ausgrid</v>
      </c>
      <c r="C32" s="3" t="str">
        <f t="shared" si="6"/>
        <v>Residential</v>
      </c>
      <c r="D32" s="3" t="str">
        <f t="shared" si="7"/>
        <v>with CL</v>
      </c>
      <c r="E32" s="3" t="s">
        <v>55</v>
      </c>
      <c r="F32" s="131">
        <f t="array" ref="F32">IFERROR(INDEX(Usage!$B$5:$P$18,MATCH($B32,Usage!$B$5:$B$18,0),MATCH($C32&amp;$D32&amp;$E32,Usage!$B$5:$S$5&amp;Usage!$B$6:$S$6&amp;Usage!$B$7:$S$7,0)),0)</f>
        <v>6800</v>
      </c>
      <c r="G32" s="5" t="s">
        <v>55</v>
      </c>
      <c r="H32" s="130"/>
      <c r="I32" s="130"/>
      <c r="J32" s="130">
        <f>+J31+J25+J19</f>
        <v>133.77199999999999</v>
      </c>
      <c r="K32" s="145"/>
      <c r="L32" s="150"/>
      <c r="M32" s="145">
        <f t="shared" si="9"/>
        <v>-0.19033106383573117</v>
      </c>
      <c r="N32" s="150"/>
      <c r="O32" s="130"/>
      <c r="P32" s="130"/>
      <c r="Q32" s="130">
        <f>Q19+Q25+Q31</f>
        <v>108.31103292856656</v>
      </c>
      <c r="R32" s="144"/>
      <c r="S32" s="144"/>
      <c r="T32" s="377"/>
      <c r="U32" s="144"/>
      <c r="V32" s="144"/>
      <c r="W32" s="144"/>
      <c r="X32" s="144"/>
      <c r="Y32" s="144"/>
      <c r="Z32" s="144"/>
      <c r="AA32" s="144"/>
      <c r="AB32" s="144"/>
      <c r="AC32" s="144"/>
      <c r="AD32" s="144"/>
      <c r="AE32" s="144"/>
      <c r="AF32" s="144"/>
      <c r="AG32" s="144"/>
      <c r="AH32" s="144"/>
      <c r="AI32" s="144"/>
      <c r="AJ32" s="144"/>
    </row>
    <row r="33" spans="1:36" s="19" customFormat="1" x14ac:dyDescent="0.25">
      <c r="A33" s="3"/>
      <c r="B33" s="3" t="str">
        <f t="shared" ref="B33:D34" si="14">B32</f>
        <v>Ausgrid</v>
      </c>
      <c r="C33" s="3" t="str">
        <f t="shared" si="14"/>
        <v>Residential</v>
      </c>
      <c r="D33" s="3" t="str">
        <f t="shared" si="14"/>
        <v>with CL</v>
      </c>
      <c r="E33" s="3"/>
      <c r="F33" s="131"/>
      <c r="G33" s="3" t="s">
        <v>38</v>
      </c>
      <c r="H33" s="128"/>
      <c r="I33" s="128"/>
      <c r="J33" s="128">
        <f>J32*GST</f>
        <v>13.3772</v>
      </c>
      <c r="K33" s="144"/>
      <c r="L33" s="149"/>
      <c r="M33" s="144"/>
      <c r="N33" s="149"/>
      <c r="O33" s="128"/>
      <c r="P33" s="128"/>
      <c r="Q33" s="277">
        <f>Q32*GST</f>
        <v>10.831103292856657</v>
      </c>
      <c r="R33" s="145"/>
      <c r="S33" s="145"/>
      <c r="T33" s="379"/>
      <c r="U33" s="145"/>
      <c r="V33" s="145"/>
      <c r="W33" s="145"/>
      <c r="X33" s="145"/>
      <c r="Y33" s="145"/>
      <c r="Z33" s="145"/>
      <c r="AA33" s="145"/>
      <c r="AB33" s="145"/>
      <c r="AC33" s="145"/>
      <c r="AD33" s="145"/>
      <c r="AE33" s="145"/>
      <c r="AF33" s="145"/>
      <c r="AG33" s="145"/>
      <c r="AH33" s="145"/>
      <c r="AI33" s="145"/>
      <c r="AJ33" s="145"/>
    </row>
    <row r="34" spans="1:36" s="19" customFormat="1" x14ac:dyDescent="0.25">
      <c r="A34" s="3"/>
      <c r="B34" s="3" t="str">
        <f t="shared" si="14"/>
        <v>Ausgrid</v>
      </c>
      <c r="C34" s="3" t="str">
        <f t="shared" si="14"/>
        <v>Residential</v>
      </c>
      <c r="D34" s="3" t="str">
        <f t="shared" si="14"/>
        <v>with CL</v>
      </c>
      <c r="E34" s="3"/>
      <c r="F34" s="131"/>
      <c r="G34" s="5" t="s">
        <v>80</v>
      </c>
      <c r="H34" s="130"/>
      <c r="I34" s="130"/>
      <c r="J34" s="130">
        <f>SUM(J32:J33)</f>
        <v>147.14919999999998</v>
      </c>
      <c r="K34" s="145"/>
      <c r="L34" s="150"/>
      <c r="M34" s="145">
        <f>IF(OR(J34=0,Q34=""),"",Q34/J34-1)</f>
        <v>-0.19033106383573117</v>
      </c>
      <c r="N34" s="150"/>
      <c r="O34" s="130"/>
      <c r="P34" s="130"/>
      <c r="Q34" s="130">
        <f>SUM(Q32:Q33)</f>
        <v>119.14213622142321</v>
      </c>
      <c r="R34" s="145"/>
      <c r="S34" s="145"/>
      <c r="T34" s="379"/>
      <c r="U34" s="145"/>
      <c r="V34" s="145"/>
      <c r="W34" s="145"/>
      <c r="X34" s="145"/>
      <c r="Y34" s="145"/>
      <c r="Z34" s="145"/>
      <c r="AA34" s="145"/>
      <c r="AB34" s="145"/>
      <c r="AC34" s="145"/>
      <c r="AD34" s="145"/>
      <c r="AE34" s="145"/>
      <c r="AF34" s="145"/>
      <c r="AG34" s="145"/>
      <c r="AH34" s="145"/>
      <c r="AI34" s="145"/>
      <c r="AJ34" s="145"/>
    </row>
    <row r="35" spans="1:36" s="19" customFormat="1" x14ac:dyDescent="0.25">
      <c r="A35" s="3"/>
      <c r="B35" s="3"/>
      <c r="C35" s="3"/>
      <c r="D35" s="3"/>
      <c r="E35" s="3"/>
      <c r="F35" s="131"/>
      <c r="G35" s="3"/>
      <c r="H35" s="128"/>
      <c r="I35" s="128"/>
      <c r="J35" s="128"/>
      <c r="K35" s="143"/>
      <c r="L35" s="149"/>
      <c r="M35" s="143"/>
      <c r="N35" s="149"/>
      <c r="O35" s="128"/>
      <c r="P35" s="128"/>
      <c r="Q35" s="277"/>
      <c r="R35" s="143"/>
      <c r="S35" s="143"/>
      <c r="T35" s="377"/>
      <c r="U35" s="143"/>
      <c r="V35" s="143"/>
      <c r="W35" s="143"/>
      <c r="X35" s="143"/>
      <c r="Y35" s="143"/>
      <c r="Z35" s="143"/>
      <c r="AA35" s="143"/>
      <c r="AB35" s="143"/>
      <c r="AC35" s="143"/>
      <c r="AD35" s="143"/>
      <c r="AE35" s="143"/>
      <c r="AF35" s="143"/>
      <c r="AG35" s="143"/>
      <c r="AH35" s="143"/>
      <c r="AI35" s="143"/>
      <c r="AJ35" s="143"/>
    </row>
    <row r="36" spans="1:36" s="19" customFormat="1" x14ac:dyDescent="0.25">
      <c r="A36" s="3"/>
      <c r="B36" s="5" t="s">
        <v>2</v>
      </c>
      <c r="C36" s="5" t="s">
        <v>13</v>
      </c>
      <c r="D36" s="5" t="s">
        <v>127</v>
      </c>
      <c r="E36" s="3"/>
      <c r="F36" s="131"/>
      <c r="G36" s="3"/>
      <c r="H36" s="128"/>
      <c r="I36" s="128"/>
      <c r="J36" s="128"/>
      <c r="K36" s="143"/>
      <c r="L36" s="149"/>
      <c r="M36" s="143"/>
      <c r="N36" s="149"/>
      <c r="O36" s="128"/>
      <c r="P36" s="128"/>
      <c r="Q36" s="277"/>
      <c r="R36" s="143"/>
      <c r="S36" s="143"/>
      <c r="T36" s="377"/>
      <c r="U36" s="143"/>
      <c r="V36" s="143"/>
      <c r="W36" s="143"/>
      <c r="X36" s="143"/>
      <c r="Y36" s="143"/>
      <c r="Z36" s="143"/>
      <c r="AA36" s="143"/>
      <c r="AB36" s="143"/>
      <c r="AC36" s="143"/>
      <c r="AD36" s="143"/>
      <c r="AE36" s="143"/>
      <c r="AF36" s="143"/>
      <c r="AG36" s="143"/>
      <c r="AH36" s="143"/>
      <c r="AI36" s="143"/>
      <c r="AJ36" s="143"/>
    </row>
    <row r="37" spans="1:36" s="19" customFormat="1" x14ac:dyDescent="0.25">
      <c r="A37" s="3"/>
      <c r="B37" s="3" t="str">
        <f t="shared" ref="B37:D44" si="15">B36</f>
        <v>Ausgrid</v>
      </c>
      <c r="C37" s="3" t="str">
        <f t="shared" si="15"/>
        <v>Small business</v>
      </c>
      <c r="D37" s="3" t="str">
        <f t="shared" si="15"/>
        <v>without CL</v>
      </c>
      <c r="E37" s="3" t="s">
        <v>19</v>
      </c>
      <c r="F37" s="131">
        <f t="array" ref="F37">IFERROR(INDEX(Usage!$B$5:$P$18,MATCH($B37,Usage!$B$5:$B$18,0),MATCH($C37&amp;$D37&amp;$E37,Usage!$B$5:$S$5&amp;Usage!$B$6:$S$6&amp;Usage!$B$7:$S$7,0)),0)</f>
        <v>10000</v>
      </c>
      <c r="G37" s="3" t="s">
        <v>74</v>
      </c>
      <c r="H37" s="128"/>
      <c r="I37" s="128">
        <f t="array" ref="I37">IFERROR(INDEX('Detail inputs'!$B$3:$K$195,MATCH($B37&amp;$G37&amp;I$5,'Detail inputs'!$B$3:$B$195&amp;'Detail inputs'!$G$3:$G$195&amp;'Detail inputs'!$H$3:$H$195,0),MATCH(I$4,'Detail inputs'!$B$3:$K$3,0)),0)</f>
        <v>7.54</v>
      </c>
      <c r="J37" s="128">
        <f>IF(AND(H37="",I37=""),"",H37+I37*+Usage!M$36/1000)</f>
        <v>75.400000000000006</v>
      </c>
      <c r="K37" s="143">
        <f>IFERROR(J37/J42,"")</f>
        <v>0.38391038696537683</v>
      </c>
      <c r="L37" s="140"/>
      <c r="M37" s="143">
        <f t="shared" ref="M37:M42" si="16">IF(OR(J37=0,Q37=""),"",Q37/J37-1)</f>
        <v>-0.18872113387465661</v>
      </c>
      <c r="N37" s="140"/>
      <c r="O37" s="128"/>
      <c r="P37" s="128">
        <f t="array" ref="P37">IFERROR(INDEX('Detail inputs'!$B$3:$K$195,MATCH($B37&amp;$G37&amp;P$5,'Detail inputs'!$B$3:$B$195&amp;'Detail inputs'!$G$3:$G$195&amp;'Detail inputs'!$H$3:$H$195,0),MATCH(P$4,'Detail inputs'!$B$3:$K$3,0)),0)</f>
        <v>6.1170426505850894</v>
      </c>
      <c r="Q37" s="277">
        <f t="shared" ref="Q37:Q42" si="17">IF(AND(O37="",P37=""),"",O37+P37*$F37/1000)</f>
        <v>61.170426505850898</v>
      </c>
      <c r="R37" s="143">
        <f>IFERROR(Q37/Q42,"")</f>
        <v>0.38404111658146578</v>
      </c>
      <c r="S37" s="143"/>
      <c r="T37" s="378"/>
      <c r="U37" s="143"/>
      <c r="V37" s="143"/>
      <c r="W37" s="143"/>
      <c r="X37" s="143"/>
      <c r="Y37" s="143"/>
      <c r="Z37" s="143"/>
      <c r="AA37" s="143"/>
      <c r="AB37" s="143"/>
      <c r="AC37" s="143"/>
      <c r="AD37" s="143"/>
      <c r="AE37" s="143"/>
      <c r="AF37" s="143"/>
      <c r="AG37" s="143"/>
      <c r="AH37" s="143"/>
      <c r="AI37" s="143"/>
      <c r="AJ37" s="143"/>
    </row>
    <row r="38" spans="1:36" s="19" customFormat="1" x14ac:dyDescent="0.25">
      <c r="A38" s="3"/>
      <c r="B38" s="3" t="str">
        <f t="shared" si="15"/>
        <v>Ausgrid</v>
      </c>
      <c r="C38" s="3" t="str">
        <f t="shared" si="15"/>
        <v>Small business</v>
      </c>
      <c r="D38" s="3" t="str">
        <f t="shared" si="15"/>
        <v>without CL</v>
      </c>
      <c r="E38" s="3" t="s">
        <v>19</v>
      </c>
      <c r="F38" s="131">
        <f t="array" ref="F38">IFERROR(INDEX(Usage!$B$5:$P$18,MATCH($B38,Usage!$B$5:$B$18,0),MATCH($C38&amp;$D38&amp;$E38,Usage!$B$5:$S$5&amp;Usage!$B$6:$S$6&amp;Usage!$B$7:$S$7,0)),0)</f>
        <v>10000</v>
      </c>
      <c r="G38" s="3" t="s">
        <v>75</v>
      </c>
      <c r="H38" s="128"/>
      <c r="I38" s="128">
        <f t="array" ref="I38">IFERROR(INDEX('Detail inputs'!$B$3:$K$195,MATCH($B38&amp;$G38&amp;I$5,'Detail inputs'!$B$3:$B$195&amp;'Detail inputs'!$G$3:$G$195&amp;'Detail inputs'!$H$3:$H$195,0),MATCH(I$4,'Detail inputs'!$B$3:$K$3,0)),0)</f>
        <v>7.85</v>
      </c>
      <c r="J38" s="128">
        <f>IF(AND(H38="",I38=""),"",H38+I38*+Usage!M$36/1000)</f>
        <v>78.5</v>
      </c>
      <c r="K38" s="143">
        <f>IFERROR(J38/J42,"")</f>
        <v>0.39969450101832993</v>
      </c>
      <c r="L38" s="140"/>
      <c r="M38" s="143">
        <f t="shared" si="16"/>
        <v>-0.3457324840764332</v>
      </c>
      <c r="N38" s="140"/>
      <c r="O38" s="128"/>
      <c r="P38" s="128">
        <f t="array" ref="P38">IFERROR(INDEX('Detail inputs'!$B$3:$K$195,MATCH($B38&amp;$G38&amp;P$5,'Detail inputs'!$B$3:$B$195&amp;'Detail inputs'!$G$3:$G$195&amp;'Detail inputs'!$H$3:$H$195,0),MATCH(P$4,'Detail inputs'!$B$3:$K$3,0)),0)</f>
        <v>5.1359999999999992</v>
      </c>
      <c r="Q38" s="277">
        <f t="shared" si="17"/>
        <v>51.359999999999992</v>
      </c>
      <c r="R38" s="143">
        <f>IFERROR(Q38/Q42,"")</f>
        <v>0.32244914535192037</v>
      </c>
      <c r="S38" s="143"/>
      <c r="T38" s="377"/>
      <c r="U38" s="143"/>
      <c r="V38" s="143"/>
      <c r="W38" s="143"/>
      <c r="X38" s="143"/>
      <c r="Y38" s="143"/>
      <c r="Z38" s="143"/>
      <c r="AA38" s="143"/>
      <c r="AB38" s="143"/>
      <c r="AC38" s="143"/>
      <c r="AD38" s="143"/>
      <c r="AE38" s="143"/>
      <c r="AF38" s="143"/>
      <c r="AG38" s="143"/>
      <c r="AH38" s="143"/>
      <c r="AI38" s="143"/>
      <c r="AJ38" s="143"/>
    </row>
    <row r="39" spans="1:36" s="19" customFormat="1" x14ac:dyDescent="0.25">
      <c r="A39" s="3"/>
      <c r="B39" s="3" t="str">
        <f t="shared" si="15"/>
        <v>Ausgrid</v>
      </c>
      <c r="C39" s="3" t="str">
        <f t="shared" si="15"/>
        <v>Small business</v>
      </c>
      <c r="D39" s="3" t="str">
        <f t="shared" si="15"/>
        <v>without CL</v>
      </c>
      <c r="E39" s="3" t="s">
        <v>19</v>
      </c>
      <c r="F39" s="131">
        <f t="array" ref="F39">IFERROR(INDEX(Usage!$B$5:$P$18,MATCH($B39,Usage!$B$5:$B$18,0),MATCH($C39&amp;$D39&amp;$E39,Usage!$B$5:$S$5&amp;Usage!$B$6:$S$6&amp;Usage!$B$7:$S$7,0)),0)</f>
        <v>10000</v>
      </c>
      <c r="G39" s="3" t="s">
        <v>76</v>
      </c>
      <c r="H39" s="128"/>
      <c r="I39" s="128">
        <f t="array" ref="I39">IFERROR(INDEX('Detail inputs'!$B$3:$K$195,MATCH($B39&amp;$G39&amp;I$5,'Detail inputs'!$B$3:$B$195&amp;'Detail inputs'!$G$3:$G$195&amp;'Detail inputs'!$H$3:$H$195,0),MATCH(I$4,'Detail inputs'!$B$3:$K$3,0)),0)</f>
        <v>2.71</v>
      </c>
      <c r="J39" s="128">
        <f>IF(AND(H39="",I39=""),"",H39+I39*+Usage!M$36/1000)</f>
        <v>27.1</v>
      </c>
      <c r="K39" s="143">
        <f>IFERROR(J39/J42,"")</f>
        <v>0.13798370672097759</v>
      </c>
      <c r="L39" s="140"/>
      <c r="M39" s="143">
        <f t="shared" si="16"/>
        <v>-0.21431027168673578</v>
      </c>
      <c r="N39" s="140"/>
      <c r="O39" s="128"/>
      <c r="P39" s="128">
        <f t="array" ref="P39">IFERROR(INDEX('Detail inputs'!$B$3:$K$195,MATCH($B39&amp;$G39&amp;P$5,'Detail inputs'!$B$3:$B$195&amp;'Detail inputs'!$G$3:$G$195&amp;'Detail inputs'!$H$3:$H$195,0),MATCH(P$4,'Detail inputs'!$B$3:$K$3,0)),0)</f>
        <v>2.1292191637289464</v>
      </c>
      <c r="Q39" s="277">
        <f t="shared" si="17"/>
        <v>21.292191637289463</v>
      </c>
      <c r="R39" s="143">
        <f>IFERROR(Q39/Q42,"")</f>
        <v>0.1336769664352277</v>
      </c>
      <c r="S39" s="143"/>
      <c r="T39" s="377"/>
      <c r="U39" s="143"/>
      <c r="V39" s="143"/>
      <c r="W39" s="143"/>
      <c r="X39" s="143"/>
      <c r="Y39" s="143"/>
      <c r="Z39" s="143"/>
      <c r="AA39" s="143"/>
      <c r="AB39" s="143"/>
      <c r="AC39" s="143"/>
      <c r="AD39" s="143"/>
      <c r="AE39" s="143"/>
      <c r="AF39" s="143"/>
      <c r="AG39" s="143"/>
      <c r="AH39" s="143"/>
      <c r="AI39" s="143"/>
      <c r="AJ39" s="143"/>
    </row>
    <row r="40" spans="1:36" s="19" customFormat="1" x14ac:dyDescent="0.25">
      <c r="A40" s="3"/>
      <c r="B40" s="3" t="str">
        <f t="shared" si="15"/>
        <v>Ausgrid</v>
      </c>
      <c r="C40" s="3" t="str">
        <f t="shared" si="15"/>
        <v>Small business</v>
      </c>
      <c r="D40" s="3" t="str">
        <f t="shared" si="15"/>
        <v>without CL</v>
      </c>
      <c r="E40" s="3" t="s">
        <v>19</v>
      </c>
      <c r="F40" s="131">
        <f t="array" ref="F40">IFERROR(INDEX(Usage!$B$5:$P$18,MATCH($B40,Usage!$B$5:$B$18,0),MATCH($C40&amp;$D40&amp;$E40,Usage!$B$5:$S$5&amp;Usage!$B$6:$S$6&amp;Usage!$B$7:$S$7,0)),0)</f>
        <v>10000</v>
      </c>
      <c r="G40" s="3" t="s">
        <v>164</v>
      </c>
      <c r="H40" s="128"/>
      <c r="I40" s="128">
        <f t="array" ref="I40">IFERROR(INDEX('Detail inputs'!$B$3:$K$195,MATCH($B40&amp;$G40&amp;I$5,'Detail inputs'!$B$3:$B$195&amp;'Detail inputs'!$G$3:$G$195&amp;'Detail inputs'!$H$3:$H$195,0),MATCH(I$4,'Detail inputs'!$B$3:$K$3,0)),0)</f>
        <v>0.71</v>
      </c>
      <c r="J40" s="128">
        <f>IF(AND(H40="",I40=""),"",H40+I40*+Usage!M$36/1000)</f>
        <v>7.1</v>
      </c>
      <c r="K40" s="143">
        <f>IFERROR(J40/J42,"")</f>
        <v>3.6150712830957228E-2</v>
      </c>
      <c r="L40" s="140"/>
      <c r="M40" s="143">
        <f t="shared" si="16"/>
        <v>1.6245712692226713</v>
      </c>
      <c r="N40" s="140"/>
      <c r="O40" s="128"/>
      <c r="P40" s="128">
        <f t="array" ref="P40">IFERROR(INDEX('Detail inputs'!$B$3:$K$195,MATCH($B40&amp;$G40&amp;P$5,'Detail inputs'!$B$3:$B$195&amp;'Detail inputs'!$G$3:$G$195&amp;'Detail inputs'!$H$3:$H$195,0),MATCH(P$4,'Detail inputs'!$B$3:$K$3,0)),0)</f>
        <v>1.8634456011480964</v>
      </c>
      <c r="Q40" s="277">
        <f t="shared" si="17"/>
        <v>18.634456011480964</v>
      </c>
      <c r="R40" s="143">
        <f>IFERROR(Q40/Q42,"")</f>
        <v>0.11699112957554503</v>
      </c>
      <c r="S40" s="143"/>
      <c r="T40" s="377"/>
      <c r="U40" s="143"/>
      <c r="V40" s="143"/>
      <c r="W40" s="143"/>
      <c r="X40" s="143"/>
      <c r="Y40" s="143"/>
      <c r="Z40" s="143"/>
      <c r="AA40" s="143"/>
      <c r="AB40" s="143"/>
      <c r="AC40" s="143"/>
      <c r="AD40" s="143"/>
      <c r="AE40" s="143"/>
      <c r="AF40" s="143"/>
      <c r="AG40" s="143"/>
      <c r="AH40" s="143"/>
      <c r="AI40" s="143"/>
      <c r="AJ40" s="143"/>
    </row>
    <row r="41" spans="1:36" s="19" customFormat="1" x14ac:dyDescent="0.25">
      <c r="A41" s="3"/>
      <c r="B41" s="3" t="str">
        <f t="shared" si="15"/>
        <v>Ausgrid</v>
      </c>
      <c r="C41" s="3" t="str">
        <f t="shared" si="15"/>
        <v>Small business</v>
      </c>
      <c r="D41" s="3" t="str">
        <f t="shared" si="15"/>
        <v>without CL</v>
      </c>
      <c r="E41" s="3" t="s">
        <v>19</v>
      </c>
      <c r="F41" s="131">
        <f t="array" ref="F41">IFERROR(INDEX(Usage!$B$5:$P$18,MATCH($B41,Usage!$B$5:$B$18,0),MATCH($C41&amp;$D41&amp;$E41,Usage!$B$5:$S$5&amp;Usage!$B$6:$S$6&amp;Usage!$B$7:$S$7,0)),0)</f>
        <v>10000</v>
      </c>
      <c r="G41" s="3" t="s">
        <v>73</v>
      </c>
      <c r="H41" s="128"/>
      <c r="I41" s="128" cm="1">
        <f t="array" ref="I41">IFERROR(INDEX('Detail inputs'!$B$3:$K$195,MATCH($B41&amp;$C41&amp;$E41&amp;$G41&amp;I$5,'Detail inputs'!$B$3:$B$195&amp;'Detail inputs'!$D$3:$D$195&amp;'Detail inputs'!$F$3:$F$195&amp;'Detail inputs'!$G$3:$G$195&amp;'Detail inputs'!$H$3:$H$195,0),MATCH(I$4,'Detail inputs'!$B$3:$K$3,0)),0)*SUM(I37:I40)</f>
        <v>0.82764000000000004</v>
      </c>
      <c r="J41" s="128">
        <f>IF(AND(H41="",I41=""),"",H41+I41*+Usage!M$36/1000)</f>
        <v>8.2763999999999989</v>
      </c>
      <c r="K41" s="143">
        <f>IFERROR(J41/J42,"")</f>
        <v>4.2140529531568223E-2</v>
      </c>
      <c r="L41" s="140"/>
      <c r="M41" s="143">
        <f t="shared" si="16"/>
        <v>-0.17550425031626693</v>
      </c>
      <c r="N41" s="140"/>
      <c r="O41" s="128"/>
      <c r="P41" s="128" cm="1">
        <f t="array" ref="P41">IFERROR(INDEX('Detail inputs'!$B$3:$K$195,MATCH($B41&amp;$C41&amp;$E41&amp;$G41&amp;P$5,'Detail inputs'!$B$3:$B$195&amp;'Detail inputs'!$D$3:$D$195&amp;'Detail inputs'!$F$3:$F$195&amp;'Detail inputs'!$G$3:$G$195&amp;'Detail inputs'!$H$3:$H$195,0),MATCH(P$4,'Detail inputs'!$B$3:$K$3,0)),0)*SUM(P37:P40)</f>
        <v>0.68238566226824471</v>
      </c>
      <c r="Q41" s="277">
        <f t="shared" si="17"/>
        <v>6.8238566226824471</v>
      </c>
      <c r="R41" s="143">
        <f>IFERROR(Q41/Q42,"")</f>
        <v>4.2841642055841067E-2</v>
      </c>
      <c r="S41" s="143"/>
      <c r="T41" s="377"/>
      <c r="U41" s="143"/>
      <c r="V41" s="143"/>
      <c r="W41" s="143"/>
      <c r="X41" s="143"/>
      <c r="Y41" s="143"/>
      <c r="Z41" s="143"/>
      <c r="AA41" s="143"/>
      <c r="AB41" s="143"/>
      <c r="AC41" s="143"/>
      <c r="AD41" s="143"/>
      <c r="AE41" s="143"/>
      <c r="AF41" s="143"/>
      <c r="AG41" s="143"/>
      <c r="AH41" s="143"/>
      <c r="AI41" s="143"/>
      <c r="AJ41" s="143"/>
    </row>
    <row r="42" spans="1:36" s="19" customFormat="1" x14ac:dyDescent="0.25">
      <c r="A42" s="3"/>
      <c r="B42" s="3" t="str">
        <f t="shared" si="15"/>
        <v>Ausgrid</v>
      </c>
      <c r="C42" s="3" t="str">
        <f t="shared" si="15"/>
        <v>Small business</v>
      </c>
      <c r="D42" s="3" t="str">
        <f t="shared" si="15"/>
        <v>without CL</v>
      </c>
      <c r="E42" s="3" t="s">
        <v>19</v>
      </c>
      <c r="F42" s="131">
        <f t="array" ref="F42">IFERROR(INDEX(Usage!$B$5:$P$18,MATCH($B42,Usage!$B$5:$B$18,0),MATCH($C42&amp;$D42&amp;$E42,Usage!$B$5:$S$5&amp;Usage!$B$6:$S$6&amp;Usage!$B$7:$S$7,0)),0)</f>
        <v>10000</v>
      </c>
      <c r="G42" s="5" t="s">
        <v>55</v>
      </c>
      <c r="H42" s="130">
        <f>SUM(H37:H41)</f>
        <v>0</v>
      </c>
      <c r="I42" s="130">
        <v>19.64</v>
      </c>
      <c r="J42" s="130">
        <f>IF(AND(H42="",I42=""),"",H42+I42*+Usage!M$36/1000)</f>
        <v>196.4</v>
      </c>
      <c r="K42" s="145"/>
      <c r="L42" s="150"/>
      <c r="M42" s="145">
        <f t="shared" si="16"/>
        <v>-0.18899729746790339</v>
      </c>
      <c r="N42" s="150"/>
      <c r="O42" s="130">
        <f>SUM(O37:O41)</f>
        <v>0</v>
      </c>
      <c r="P42" s="130">
        <f>SUM(P37:P41)</f>
        <v>15.928093077730377</v>
      </c>
      <c r="Q42" s="130">
        <f t="shared" si="17"/>
        <v>159.28093077730378</v>
      </c>
      <c r="R42" s="144"/>
      <c r="S42" s="144"/>
      <c r="T42" s="377"/>
      <c r="U42" s="144"/>
      <c r="V42" s="144"/>
      <c r="W42" s="144"/>
      <c r="X42" s="144"/>
      <c r="Y42" s="144"/>
      <c r="Z42" s="144"/>
      <c r="AA42" s="144"/>
      <c r="AB42" s="144"/>
      <c r="AC42" s="144"/>
      <c r="AD42" s="144"/>
      <c r="AE42" s="144"/>
      <c r="AF42" s="144"/>
      <c r="AG42" s="144"/>
      <c r="AH42" s="144"/>
      <c r="AI42" s="144"/>
      <c r="AJ42" s="144"/>
    </row>
    <row r="43" spans="1:36" s="19" customFormat="1" x14ac:dyDescent="0.25">
      <c r="A43" s="3"/>
      <c r="B43" s="3" t="str">
        <f t="shared" si="15"/>
        <v>Ausgrid</v>
      </c>
      <c r="C43" s="3" t="str">
        <f t="shared" si="15"/>
        <v>Small business</v>
      </c>
      <c r="D43" s="3" t="str">
        <f t="shared" si="15"/>
        <v>without CL</v>
      </c>
      <c r="E43" s="3"/>
      <c r="F43" s="131"/>
      <c r="G43" s="3" t="s">
        <v>38</v>
      </c>
      <c r="H43" s="128"/>
      <c r="I43" s="128"/>
      <c r="J43" s="128">
        <f>J42*GST</f>
        <v>19.64</v>
      </c>
      <c r="K43" s="144"/>
      <c r="L43" s="149"/>
      <c r="M43" s="144"/>
      <c r="N43" s="149"/>
      <c r="O43" s="128"/>
      <c r="P43" s="128"/>
      <c r="Q43" s="277">
        <f>Q42*GST</f>
        <v>15.928093077730379</v>
      </c>
      <c r="R43" s="143"/>
      <c r="S43" s="143"/>
      <c r="T43" s="377"/>
      <c r="U43" s="143"/>
      <c r="V43" s="143"/>
      <c r="W43" s="143"/>
      <c r="X43" s="143"/>
      <c r="Y43" s="143"/>
      <c r="Z43" s="143"/>
      <c r="AA43" s="143"/>
      <c r="AB43" s="143"/>
      <c r="AC43" s="143"/>
      <c r="AD43" s="143"/>
      <c r="AE43" s="143"/>
      <c r="AF43" s="143"/>
      <c r="AG43" s="143"/>
      <c r="AH43" s="143"/>
      <c r="AI43" s="143"/>
      <c r="AJ43" s="143"/>
    </row>
    <row r="44" spans="1:36" s="19" customFormat="1" x14ac:dyDescent="0.25">
      <c r="A44" s="3"/>
      <c r="B44" s="3" t="str">
        <f t="shared" si="15"/>
        <v>Ausgrid</v>
      </c>
      <c r="C44" s="3" t="str">
        <f t="shared" si="15"/>
        <v>Small business</v>
      </c>
      <c r="D44" s="3" t="str">
        <f t="shared" si="15"/>
        <v>without CL</v>
      </c>
      <c r="E44" s="3"/>
      <c r="F44" s="131"/>
      <c r="G44" s="5" t="s">
        <v>80</v>
      </c>
      <c r="H44" s="130"/>
      <c r="I44" s="130"/>
      <c r="J44" s="130">
        <f>SUM(J42:J43)</f>
        <v>216.04000000000002</v>
      </c>
      <c r="K44" s="145"/>
      <c r="L44" s="150"/>
      <c r="M44" s="145">
        <f>IF(OR(J44=0,Q44=""),"",Q44/J44-1)</f>
        <v>-0.18899729746790339</v>
      </c>
      <c r="N44" s="150"/>
      <c r="O44" s="130"/>
      <c r="P44" s="130"/>
      <c r="Q44" s="130">
        <f>SUM(Q42:Q43)</f>
        <v>175.20902385503416</v>
      </c>
      <c r="R44" s="143"/>
      <c r="S44" s="143"/>
      <c r="T44" s="377"/>
      <c r="U44" s="143"/>
      <c r="V44" s="143"/>
      <c r="W44" s="143"/>
      <c r="X44" s="143"/>
      <c r="Y44" s="143"/>
      <c r="Z44" s="143"/>
      <c r="AA44" s="143"/>
      <c r="AB44" s="143"/>
      <c r="AC44" s="143"/>
      <c r="AD44" s="143"/>
      <c r="AE44" s="143"/>
      <c r="AF44" s="143"/>
      <c r="AG44" s="143"/>
      <c r="AH44" s="143"/>
      <c r="AI44" s="143"/>
      <c r="AJ44" s="143"/>
    </row>
    <row r="45" spans="1:36" s="19" customFormat="1" x14ac:dyDescent="0.25">
      <c r="A45" s="3"/>
      <c r="B45" s="3"/>
      <c r="C45" s="3"/>
      <c r="D45" s="3"/>
      <c r="E45" s="3"/>
      <c r="F45" s="131"/>
      <c r="G45" s="3"/>
      <c r="H45" s="128"/>
      <c r="I45" s="128"/>
      <c r="J45" s="128"/>
      <c r="K45" s="143"/>
      <c r="L45" s="149"/>
      <c r="M45" s="143"/>
      <c r="N45" s="149"/>
      <c r="O45" s="128"/>
      <c r="P45" s="128"/>
      <c r="Q45" s="277"/>
      <c r="R45" s="143"/>
      <c r="S45" s="143"/>
      <c r="T45" s="377"/>
      <c r="U45" s="143"/>
      <c r="V45" s="143"/>
      <c r="W45" s="143"/>
      <c r="X45" s="143"/>
      <c r="Y45" s="143"/>
      <c r="Z45" s="143"/>
      <c r="AA45" s="143"/>
      <c r="AB45" s="143"/>
      <c r="AC45" s="143"/>
      <c r="AD45" s="143"/>
      <c r="AE45" s="143"/>
      <c r="AF45" s="143"/>
      <c r="AG45" s="143"/>
      <c r="AH45" s="143"/>
      <c r="AI45" s="143"/>
      <c r="AJ45" s="143"/>
    </row>
    <row r="46" spans="1:36" s="19" customFormat="1" x14ac:dyDescent="0.25">
      <c r="A46" s="3"/>
      <c r="B46" s="5" t="s">
        <v>4</v>
      </c>
      <c r="C46" s="5" t="s">
        <v>6</v>
      </c>
      <c r="D46" s="5" t="s">
        <v>127</v>
      </c>
      <c r="E46" s="3"/>
      <c r="F46" s="131"/>
      <c r="G46" s="3"/>
      <c r="H46" s="128"/>
      <c r="I46" s="128"/>
      <c r="J46" s="128"/>
      <c r="K46" s="143"/>
      <c r="L46" s="149"/>
      <c r="M46" s="143"/>
      <c r="N46" s="149"/>
      <c r="O46" s="128"/>
      <c r="P46" s="128"/>
      <c r="Q46" s="277"/>
      <c r="R46" s="143"/>
      <c r="S46" s="143"/>
      <c r="T46" s="377"/>
      <c r="U46" s="143"/>
      <c r="V46" s="143"/>
      <c r="W46" s="143"/>
      <c r="X46" s="143"/>
      <c r="Y46" s="143"/>
      <c r="Z46" s="143"/>
      <c r="AA46" s="143"/>
      <c r="AB46" s="143"/>
      <c r="AC46" s="143"/>
      <c r="AD46" s="143"/>
      <c r="AE46" s="143"/>
      <c r="AF46" s="143"/>
      <c r="AG46" s="143"/>
      <c r="AH46" s="143"/>
      <c r="AI46" s="143"/>
      <c r="AJ46" s="143"/>
    </row>
    <row r="47" spans="1:36" s="19" customFormat="1" x14ac:dyDescent="0.25">
      <c r="A47" s="3"/>
      <c r="B47" s="3" t="str">
        <f t="shared" ref="B47:D54" si="18">B46</f>
        <v>Endeavour</v>
      </c>
      <c r="C47" s="3" t="str">
        <f t="shared" si="18"/>
        <v>Residential</v>
      </c>
      <c r="D47" s="3" t="str">
        <f t="shared" si="18"/>
        <v>without CL</v>
      </c>
      <c r="E47" s="3" t="s">
        <v>19</v>
      </c>
      <c r="F47" s="131">
        <f t="array" ref="F47">IFERROR(INDEX(Usage!$B$5:$P$18,MATCH($B47,Usage!$B$5:$B$18,0),MATCH($C47&amp;$D47&amp;$E47&amp;"Total",Usage!$B$5:$S$5&amp;Usage!$B$6:$S$6&amp;Usage!$B$7:$S$7&amp;Usage!$B$13:$S$13,0)),0)</f>
        <v>4900</v>
      </c>
      <c r="G47" s="3" t="s">
        <v>74</v>
      </c>
      <c r="H47" s="128"/>
      <c r="I47" s="128">
        <f t="array" ref="I47">IFERROR(INDEX('Detail inputs'!$B$3:$K$195,MATCH($B47&amp;$G47&amp;I$5,'Detail inputs'!$B$3:$B$195&amp;'Detail inputs'!$G$3:$G$195&amp;'Detail inputs'!$H$3:$H$195,0),MATCH(I$4,'Detail inputs'!$B$3:$K$3,0)),0)</f>
        <v>7.54</v>
      </c>
      <c r="J47" s="128">
        <f>IF(AND(H47="",I47=""),"",H47+I47*+Usage!C$37/1000)</f>
        <v>36.945999999999998</v>
      </c>
      <c r="K47" s="143">
        <f>IFERROR(J47/J52,"")</f>
        <v>0.38061585058051484</v>
      </c>
      <c r="L47" s="140"/>
      <c r="M47" s="143">
        <f t="shared" ref="M47:M52" si="19">IF(OR(J47=0,Q47=""),"",Q47/J47-1)</f>
        <v>-0.1887211338746565</v>
      </c>
      <c r="N47" s="140"/>
      <c r="O47" s="128"/>
      <c r="P47" s="128">
        <f t="array" ref="P47">IFERROR(INDEX('Detail inputs'!$B$3:$K$195,MATCH($B47&amp;$G47&amp;P$5,'Detail inputs'!$B$3:$B$195&amp;'Detail inputs'!$G$3:$G$195&amp;'Detail inputs'!$H$3:$H$195,0),MATCH(P$4,'Detail inputs'!$B$3:$K$3,0)),0)</f>
        <v>6.1170426505850894</v>
      </c>
      <c r="Q47" s="277">
        <f t="shared" ref="Q47:Q52" si="20">IF(AND(O47="",P47=""),"",O47+P47*$F47/1000)</f>
        <v>29.973508987866939</v>
      </c>
      <c r="R47" s="143">
        <f>IFERROR(Q47/Q52,"")</f>
        <v>0.37720934580656779</v>
      </c>
      <c r="S47" s="143"/>
      <c r="T47" s="378"/>
      <c r="U47" s="143"/>
      <c r="V47" s="143"/>
      <c r="W47" s="143"/>
      <c r="X47" s="143"/>
      <c r="Y47" s="143"/>
      <c r="Z47" s="143"/>
      <c r="AA47" s="143"/>
      <c r="AB47" s="143"/>
      <c r="AC47" s="143"/>
      <c r="AD47" s="143"/>
      <c r="AE47" s="143"/>
      <c r="AF47" s="143"/>
      <c r="AG47" s="143"/>
      <c r="AH47" s="143"/>
      <c r="AI47" s="143"/>
      <c r="AJ47" s="143"/>
    </row>
    <row r="48" spans="1:36" s="19" customFormat="1" x14ac:dyDescent="0.25">
      <c r="A48" s="3"/>
      <c r="B48" s="3" t="str">
        <f t="shared" si="18"/>
        <v>Endeavour</v>
      </c>
      <c r="C48" s="3" t="str">
        <f t="shared" si="18"/>
        <v>Residential</v>
      </c>
      <c r="D48" s="3" t="str">
        <f t="shared" si="18"/>
        <v>without CL</v>
      </c>
      <c r="E48" s="3" t="s">
        <v>19</v>
      </c>
      <c r="F48" s="131">
        <f t="array" ref="F48">IFERROR(INDEX(Usage!$B$5:$P$18,MATCH($B48,Usage!$B$5:$B$18,0),MATCH($C48&amp;$D48&amp;$E48&amp;"Total",Usage!$B$5:$S$5&amp;Usage!$B$6:$S$6&amp;Usage!$B$7:$S$7&amp;Usage!$B$13:$S$13,0)),0)</f>
        <v>4900</v>
      </c>
      <c r="G48" s="3" t="s">
        <v>75</v>
      </c>
      <c r="H48" s="128"/>
      <c r="I48" s="128">
        <f t="array" ref="I48">IFERROR(INDEX('Detail inputs'!$B$3:$K$195,MATCH($B48&amp;$G48&amp;I$5,'Detail inputs'!$B$3:$B$195&amp;'Detail inputs'!$G$3:$G$195&amp;'Detail inputs'!$H$3:$H$195,0),MATCH(I$4,'Detail inputs'!$B$3:$K$3,0)),0)</f>
        <v>7.85</v>
      </c>
      <c r="J48" s="128">
        <f>IF(AND(H48="",I48=""),"",H48+I48*+Usage!C$37/1000)</f>
        <v>38.465000000000003</v>
      </c>
      <c r="K48" s="143">
        <f>IFERROR(J48/J52,"")</f>
        <v>0.39626451287228676</v>
      </c>
      <c r="L48" s="140"/>
      <c r="M48" s="143">
        <f t="shared" si="19"/>
        <v>-0.3457324840764332</v>
      </c>
      <c r="N48" s="140"/>
      <c r="O48" s="128"/>
      <c r="P48" s="128">
        <f t="array" ref="P48">IFERROR(INDEX('Detail inputs'!$B$3:$K$195,MATCH($B48&amp;$G48&amp;P$5,'Detail inputs'!$B$3:$B$195&amp;'Detail inputs'!$G$3:$G$195&amp;'Detail inputs'!$H$3:$H$195,0),MATCH(P$4,'Detail inputs'!$B$3:$K$3,0)),0)</f>
        <v>5.1359999999999992</v>
      </c>
      <c r="Q48" s="277">
        <f t="shared" si="20"/>
        <v>25.166399999999999</v>
      </c>
      <c r="R48" s="143">
        <f>IFERROR(Q48/Q52,"")</f>
        <v>0.31671304431353386</v>
      </c>
      <c r="S48" s="143"/>
      <c r="T48" s="377"/>
      <c r="U48" s="143"/>
      <c r="V48" s="143"/>
      <c r="W48" s="143"/>
      <c r="X48" s="143"/>
      <c r="Y48" s="143"/>
      <c r="Z48" s="143"/>
      <c r="AA48" s="143"/>
      <c r="AB48" s="143"/>
      <c r="AC48" s="143"/>
      <c r="AD48" s="143"/>
      <c r="AE48" s="143"/>
      <c r="AF48" s="143"/>
      <c r="AG48" s="143"/>
      <c r="AH48" s="143"/>
      <c r="AI48" s="143"/>
      <c r="AJ48" s="143"/>
    </row>
    <row r="49" spans="1:36" s="19" customFormat="1" x14ac:dyDescent="0.25">
      <c r="A49" s="3"/>
      <c r="B49" s="3" t="str">
        <f t="shared" si="18"/>
        <v>Endeavour</v>
      </c>
      <c r="C49" s="3" t="str">
        <f t="shared" si="18"/>
        <v>Residential</v>
      </c>
      <c r="D49" s="3" t="str">
        <f t="shared" si="18"/>
        <v>without CL</v>
      </c>
      <c r="E49" s="3" t="s">
        <v>19</v>
      </c>
      <c r="F49" s="131">
        <f t="array" ref="F49">IFERROR(INDEX(Usage!$B$5:$P$18,MATCH($B49,Usage!$B$5:$B$18,0),MATCH($C49&amp;$D49&amp;$E49&amp;"Total",Usage!$B$5:$S$5&amp;Usage!$B$6:$S$6&amp;Usage!$B$7:$S$7&amp;Usage!$B$13:$S$13,0)),0)</f>
        <v>4900</v>
      </c>
      <c r="G49" s="3" t="s">
        <v>76</v>
      </c>
      <c r="H49" s="128"/>
      <c r="I49" s="128">
        <f t="array" ref="I49">IFERROR(INDEX('Detail inputs'!$B$3:$K$195,MATCH($B49&amp;$G49&amp;I$5,'Detail inputs'!$B$3:$B$195&amp;'Detail inputs'!$G$3:$G$195&amp;'Detail inputs'!$H$3:$H$195,0),MATCH(I$4,'Detail inputs'!$B$3:$K$3,0)),0)</f>
        <v>2.71</v>
      </c>
      <c r="J49" s="128">
        <f>IF(AND(H49="",I49=""),"",H49+I49*+Usage!C$37/1000)</f>
        <v>13.279</v>
      </c>
      <c r="K49" s="143">
        <f>IFERROR(J49/J52,"")</f>
        <v>0.13679959616355375</v>
      </c>
      <c r="L49" s="140"/>
      <c r="M49" s="143">
        <f t="shared" si="19"/>
        <v>-0.21431027168673566</v>
      </c>
      <c r="N49" s="140"/>
      <c r="O49" s="128"/>
      <c r="P49" s="128">
        <f t="array" ref="P49">IFERROR(INDEX('Detail inputs'!$B$3:$K$195,MATCH($B49&amp;$G49&amp;P$5,'Detail inputs'!$B$3:$B$195&amp;'Detail inputs'!$G$3:$G$195&amp;'Detail inputs'!$H$3:$H$195,0),MATCH(P$4,'Detail inputs'!$B$3:$K$3,0)),0)</f>
        <v>2.1292191637289464</v>
      </c>
      <c r="Q49" s="277">
        <f t="shared" si="20"/>
        <v>10.433173902271838</v>
      </c>
      <c r="R49" s="143">
        <f>IFERROR(Q49/Q52,"")</f>
        <v>0.13129896482774753</v>
      </c>
      <c r="S49" s="143"/>
      <c r="T49" s="377"/>
      <c r="U49" s="143"/>
      <c r="V49" s="143"/>
      <c r="W49" s="143"/>
      <c r="X49" s="143"/>
      <c r="Y49" s="143"/>
      <c r="Z49" s="143"/>
      <c r="AA49" s="143"/>
      <c r="AB49" s="143"/>
      <c r="AC49" s="143"/>
      <c r="AD49" s="143"/>
      <c r="AE49" s="143"/>
      <c r="AF49" s="143"/>
      <c r="AG49" s="143"/>
      <c r="AH49" s="143"/>
      <c r="AI49" s="143"/>
      <c r="AJ49" s="143"/>
    </row>
    <row r="50" spans="1:36" s="19" customFormat="1" x14ac:dyDescent="0.25">
      <c r="A50" s="3"/>
      <c r="B50" s="3" t="str">
        <f t="shared" si="18"/>
        <v>Endeavour</v>
      </c>
      <c r="C50" s="3" t="str">
        <f t="shared" si="18"/>
        <v>Residential</v>
      </c>
      <c r="D50" s="3" t="str">
        <f t="shared" si="18"/>
        <v>without CL</v>
      </c>
      <c r="E50" s="3" t="s">
        <v>19</v>
      </c>
      <c r="F50" s="131">
        <f t="array" ref="F50">IFERROR(INDEX(Usage!$B$5:$P$18,MATCH($B50,Usage!$B$5:$B$18,0),MATCH($C50&amp;$D50&amp;$E50&amp;"Total",Usage!$B$5:$S$5&amp;Usage!$B$6:$S$6&amp;Usage!$B$7:$S$7&amp;Usage!$B$13:$S$13,0)),0)</f>
        <v>4900</v>
      </c>
      <c r="G50" s="3" t="s">
        <v>164</v>
      </c>
      <c r="H50" s="128"/>
      <c r="I50" s="128">
        <f t="array" ref="I50">IFERROR(INDEX('Detail inputs'!$B$3:$K$195,MATCH($B50&amp;$G50&amp;I$5,'Detail inputs'!$B$3:$B$195&amp;'Detail inputs'!$G$3:$G$195&amp;'Detail inputs'!$H$3:$H$195,0),MATCH(I$4,'Detail inputs'!$B$3:$K$3,0)),0)</f>
        <v>0.71</v>
      </c>
      <c r="J50" s="128">
        <f>IF(AND(H50="",I50=""),"",H50+I50*+Usage!C$37/1000)</f>
        <v>3.4790000000000001</v>
      </c>
      <c r="K50" s="143">
        <f>IFERROR(J50/J52,"")</f>
        <v>3.5840484603735484E-2</v>
      </c>
      <c r="L50" s="140"/>
      <c r="M50" s="143">
        <f t="shared" si="19"/>
        <v>1.6245712692226708</v>
      </c>
      <c r="N50" s="140"/>
      <c r="O50" s="128"/>
      <c r="P50" s="128">
        <f t="array" ref="P50">IFERROR(INDEX('Detail inputs'!$B$3:$K$195,MATCH($B50&amp;$G50&amp;P$5,'Detail inputs'!$B$3:$B$195&amp;'Detail inputs'!$G$3:$G$195&amp;'Detail inputs'!$H$3:$H$195,0),MATCH(P$4,'Detail inputs'!$B$3:$K$3,0)),0)</f>
        <v>1.8634456011480964</v>
      </c>
      <c r="Q50" s="277">
        <f t="shared" si="20"/>
        <v>9.1308834456256722</v>
      </c>
      <c r="R50" s="143">
        <f>IFERROR(Q50/Q52,"")</f>
        <v>0.1149099550724838</v>
      </c>
      <c r="S50" s="143"/>
      <c r="T50" s="377"/>
      <c r="U50" s="143"/>
      <c r="V50" s="143"/>
      <c r="W50" s="143"/>
      <c r="X50" s="143"/>
      <c r="Y50" s="143"/>
      <c r="Z50" s="143"/>
      <c r="AA50" s="143"/>
      <c r="AB50" s="143"/>
      <c r="AC50" s="143"/>
      <c r="AD50" s="143"/>
      <c r="AE50" s="143"/>
      <c r="AF50" s="143"/>
      <c r="AG50" s="143"/>
      <c r="AH50" s="143"/>
      <c r="AI50" s="143"/>
      <c r="AJ50" s="143"/>
    </row>
    <row r="51" spans="1:36" s="19" customFormat="1" x14ac:dyDescent="0.25">
      <c r="A51" s="3"/>
      <c r="B51" s="3" t="str">
        <f t="shared" si="18"/>
        <v>Endeavour</v>
      </c>
      <c r="C51" s="3" t="str">
        <f t="shared" si="18"/>
        <v>Residential</v>
      </c>
      <c r="D51" s="3" t="str">
        <f t="shared" si="18"/>
        <v>without CL</v>
      </c>
      <c r="E51" s="3" t="s">
        <v>19</v>
      </c>
      <c r="F51" s="131">
        <f t="array" ref="F51">IFERROR(INDEX(Usage!$B$5:$P$18,MATCH($B51,Usage!$B$5:$B$18,0),MATCH($C51&amp;$D51&amp;$E51&amp;"Total",Usage!$B$5:$S$5&amp;Usage!$B$6:$S$6&amp;Usage!$B$7:$S$7&amp;Usage!$B$13:$S$13,0)),0)</f>
        <v>4900</v>
      </c>
      <c r="G51" s="3" t="s">
        <v>73</v>
      </c>
      <c r="H51" s="128"/>
      <c r="I51" s="128" cm="1">
        <f t="array" ref="I51">IFERROR(INDEX('Detail inputs'!$B$3:$K$195,MATCH($B51&amp;$C51&amp;$E51&amp;$G51&amp;I$5,'Detail inputs'!$B$3:$B$195&amp;'Detail inputs'!$D$3:$D$195&amp;'Detail inputs'!$F$3:$F$195&amp;'Detail inputs'!$G$3:$G$195&amp;'Detail inputs'!$H$3:$H$195,0),MATCH(I$4,'Detail inputs'!$B$3:$K$3,0)),0)*SUM(I47:I50)</f>
        <v>0.99693000000000009</v>
      </c>
      <c r="J51" s="128">
        <f>IF(AND(H51="",I51=""),"",H51+I51*+Usage!C$37/1000)</f>
        <v>4.884957</v>
      </c>
      <c r="K51" s="143">
        <f>IFERROR(J51/J52,"")</f>
        <v>5.0324583543664814E-2</v>
      </c>
      <c r="L51" s="140"/>
      <c r="M51" s="143">
        <f t="shared" si="19"/>
        <v>-2.6145323076313787E-2</v>
      </c>
      <c r="N51" s="140"/>
      <c r="O51" s="128"/>
      <c r="P51" s="128" cm="1">
        <f t="array" ref="P51">IFERROR(INDEX('Detail inputs'!$B$3:$K$195,MATCH($B51&amp;$C51&amp;$E51&amp;$G51&amp;P$5,'Detail inputs'!$B$3:$B$195&amp;'Detail inputs'!$D$3:$D$195&amp;'Detail inputs'!$F$3:$F$195&amp;'Detail inputs'!$G$3:$G$195&amp;'Detail inputs'!$H$3:$H$195,0),MATCH(P$4,'Detail inputs'!$B$3:$K$3,0)),0)*SUM(P47:P50)</f>
        <v>0.97086494306553039</v>
      </c>
      <c r="Q51" s="277">
        <f t="shared" si="20"/>
        <v>4.7572382210210993</v>
      </c>
      <c r="R51" s="143">
        <f>IFERROR(Q51/Q52,"")</f>
        <v>5.9868689979667031E-2</v>
      </c>
      <c r="S51" s="143"/>
      <c r="T51" s="377"/>
      <c r="U51" s="143"/>
      <c r="V51" s="143"/>
      <c r="W51" s="143"/>
      <c r="X51" s="143"/>
      <c r="Y51" s="143"/>
      <c r="Z51" s="143"/>
      <c r="AA51" s="143"/>
      <c r="AB51" s="143"/>
      <c r="AC51" s="143"/>
      <c r="AD51" s="143"/>
      <c r="AE51" s="143"/>
      <c r="AF51" s="143"/>
      <c r="AG51" s="143"/>
      <c r="AH51" s="143"/>
      <c r="AI51" s="143"/>
      <c r="AJ51" s="143"/>
    </row>
    <row r="52" spans="1:36" s="19" customFormat="1" x14ac:dyDescent="0.25">
      <c r="A52" s="3"/>
      <c r="B52" s="3" t="str">
        <f t="shared" si="18"/>
        <v>Endeavour</v>
      </c>
      <c r="C52" s="3" t="str">
        <f t="shared" si="18"/>
        <v>Residential</v>
      </c>
      <c r="D52" s="3" t="str">
        <f t="shared" si="18"/>
        <v>without CL</v>
      </c>
      <c r="E52" s="3" t="s">
        <v>19</v>
      </c>
      <c r="F52" s="131">
        <f t="array" ref="F52">IFERROR(INDEX(Usage!$B$5:$P$18,MATCH($B52,Usage!$B$5:$B$18,0),MATCH($C52&amp;$D52&amp;$E52&amp;"Total",Usage!$B$5:$S$5&amp;Usage!$B$6:$S$6&amp;Usage!$B$7:$S$7&amp;Usage!$B$13:$S$13,0)),0)</f>
        <v>4900</v>
      </c>
      <c r="G52" s="5" t="s">
        <v>55</v>
      </c>
      <c r="H52" s="130">
        <f>SUM(H47:H51)</f>
        <v>0</v>
      </c>
      <c r="I52" s="130">
        <v>19.809999999999999</v>
      </c>
      <c r="J52" s="130">
        <f>IF(AND(H52="",I52=""),"",H52+I52*+Usage!C$37/1000)</f>
        <v>97.069000000000003</v>
      </c>
      <c r="K52" s="145"/>
      <c r="L52" s="150"/>
      <c r="M52" s="145">
        <f t="shared" si="19"/>
        <v>-0.18139463106877018</v>
      </c>
      <c r="N52" s="150"/>
      <c r="O52" s="130">
        <f>SUM(O47:O51)</f>
        <v>0</v>
      </c>
      <c r="P52" s="130">
        <f>SUM(P47:P51)</f>
        <v>16.216572358527664</v>
      </c>
      <c r="Q52" s="130">
        <f t="shared" si="20"/>
        <v>79.461204556785546</v>
      </c>
      <c r="R52" s="145"/>
      <c r="S52" s="145"/>
      <c r="T52" s="379"/>
      <c r="U52" s="145"/>
      <c r="V52" s="145"/>
      <c r="W52" s="145"/>
      <c r="X52" s="145"/>
      <c r="Y52" s="145"/>
      <c r="Z52" s="145"/>
      <c r="AA52" s="145"/>
      <c r="AB52" s="145"/>
      <c r="AC52" s="145"/>
      <c r="AD52" s="145"/>
      <c r="AE52" s="145"/>
      <c r="AF52" s="145"/>
      <c r="AG52" s="145"/>
      <c r="AH52" s="145"/>
      <c r="AI52" s="145"/>
      <c r="AJ52" s="145"/>
    </row>
    <row r="53" spans="1:36" s="19" customFormat="1" x14ac:dyDescent="0.25">
      <c r="A53" s="3"/>
      <c r="B53" s="3" t="str">
        <f t="shared" si="18"/>
        <v>Endeavour</v>
      </c>
      <c r="C53" s="3" t="str">
        <f t="shared" si="18"/>
        <v>Residential</v>
      </c>
      <c r="D53" s="3" t="str">
        <f t="shared" si="18"/>
        <v>without CL</v>
      </c>
      <c r="E53" s="3"/>
      <c r="F53" s="131"/>
      <c r="G53" s="3" t="s">
        <v>38</v>
      </c>
      <c r="H53" s="128"/>
      <c r="I53" s="128"/>
      <c r="J53" s="128">
        <f>J52*GST</f>
        <v>9.706900000000001</v>
      </c>
      <c r="K53" s="144"/>
      <c r="L53" s="149"/>
      <c r="M53" s="144"/>
      <c r="N53" s="149"/>
      <c r="O53" s="128"/>
      <c r="P53" s="128"/>
      <c r="Q53" s="277">
        <f>Q52*GST</f>
        <v>7.946120455678555</v>
      </c>
      <c r="R53" s="145"/>
      <c r="S53" s="145"/>
      <c r="T53" s="379"/>
      <c r="U53" s="145"/>
      <c r="V53" s="145"/>
      <c r="W53" s="145"/>
      <c r="X53" s="145"/>
      <c r="Y53" s="145"/>
      <c r="Z53" s="145"/>
      <c r="AA53" s="145"/>
      <c r="AB53" s="145"/>
      <c r="AC53" s="145"/>
      <c r="AD53" s="145"/>
      <c r="AE53" s="145"/>
      <c r="AF53" s="145"/>
      <c r="AG53" s="145"/>
      <c r="AH53" s="145"/>
      <c r="AI53" s="145"/>
      <c r="AJ53" s="145"/>
    </row>
    <row r="54" spans="1:36" s="19" customFormat="1" x14ac:dyDescent="0.25">
      <c r="A54" s="3"/>
      <c r="B54" s="3" t="str">
        <f t="shared" si="18"/>
        <v>Endeavour</v>
      </c>
      <c r="C54" s="3" t="str">
        <f t="shared" si="18"/>
        <v>Residential</v>
      </c>
      <c r="D54" s="3" t="str">
        <f t="shared" si="18"/>
        <v>without CL</v>
      </c>
      <c r="E54" s="3"/>
      <c r="F54" s="131"/>
      <c r="G54" s="5" t="s">
        <v>80</v>
      </c>
      <c r="H54" s="130"/>
      <c r="I54" s="130"/>
      <c r="J54" s="130">
        <f>SUM(J52:J53)</f>
        <v>106.77590000000001</v>
      </c>
      <c r="K54" s="145"/>
      <c r="L54" s="150"/>
      <c r="M54" s="145">
        <f>IF(OR(J54=0,Q54=""),"",Q54/J54-1)</f>
        <v>-0.1813946310687703</v>
      </c>
      <c r="N54" s="150"/>
      <c r="O54" s="130"/>
      <c r="P54" s="130"/>
      <c r="Q54" s="130">
        <f>SUM(Q52:Q53)</f>
        <v>87.407325012464099</v>
      </c>
      <c r="R54" s="145"/>
      <c r="S54" s="145"/>
      <c r="T54" s="379"/>
      <c r="U54" s="145"/>
      <c r="V54" s="145"/>
      <c r="W54" s="145"/>
      <c r="X54" s="145"/>
      <c r="Y54" s="145"/>
      <c r="Z54" s="145"/>
      <c r="AA54" s="145"/>
      <c r="AB54" s="145"/>
      <c r="AC54" s="145"/>
      <c r="AD54" s="145"/>
      <c r="AE54" s="145"/>
      <c r="AF54" s="145"/>
      <c r="AG54" s="145"/>
      <c r="AH54" s="145"/>
      <c r="AI54" s="145"/>
      <c r="AJ54" s="145"/>
    </row>
    <row r="55" spans="1:36" s="19" customFormat="1" x14ac:dyDescent="0.25">
      <c r="A55" s="3"/>
      <c r="B55" s="3"/>
      <c r="C55" s="3"/>
      <c r="D55" s="3"/>
      <c r="E55" s="3"/>
      <c r="F55" s="131"/>
      <c r="G55" s="3"/>
      <c r="H55" s="128"/>
      <c r="I55" s="128"/>
      <c r="J55" s="128"/>
      <c r="K55" s="143"/>
      <c r="L55" s="149"/>
      <c r="M55" s="143"/>
      <c r="N55" s="149"/>
      <c r="O55" s="128"/>
      <c r="P55" s="128"/>
      <c r="Q55" s="277"/>
      <c r="R55" s="143"/>
      <c r="S55" s="143"/>
      <c r="T55" s="377"/>
      <c r="U55" s="143"/>
      <c r="V55" s="143"/>
      <c r="W55" s="143"/>
      <c r="X55" s="143"/>
      <c r="Y55" s="143"/>
      <c r="Z55" s="143"/>
      <c r="AA55" s="143"/>
      <c r="AB55" s="143"/>
      <c r="AC55" s="143"/>
      <c r="AD55" s="143"/>
      <c r="AE55" s="143"/>
      <c r="AF55" s="143"/>
      <c r="AG55" s="143"/>
      <c r="AH55" s="143"/>
      <c r="AI55" s="143"/>
      <c r="AJ55" s="143"/>
    </row>
    <row r="56" spans="1:36" s="19" customFormat="1" x14ac:dyDescent="0.25">
      <c r="A56" s="3"/>
      <c r="B56" s="5" t="s">
        <v>4</v>
      </c>
      <c r="C56" s="5" t="s">
        <v>6</v>
      </c>
      <c r="D56" s="5" t="s">
        <v>128</v>
      </c>
      <c r="E56" s="3"/>
      <c r="F56" s="131"/>
      <c r="G56" s="3"/>
      <c r="H56" s="128"/>
      <c r="I56" s="128"/>
      <c r="J56" s="128"/>
      <c r="K56" s="143"/>
      <c r="L56" s="149"/>
      <c r="M56" s="143"/>
      <c r="N56" s="149"/>
      <c r="O56" s="128"/>
      <c r="P56" s="128"/>
      <c r="Q56" s="277"/>
      <c r="R56" s="143"/>
      <c r="S56" s="143"/>
      <c r="T56" s="377"/>
      <c r="U56" s="143"/>
      <c r="V56" s="143"/>
      <c r="W56" s="143"/>
      <c r="X56" s="143"/>
      <c r="Y56" s="143"/>
      <c r="Z56" s="143"/>
      <c r="AA56" s="143"/>
      <c r="AB56" s="143"/>
      <c r="AC56" s="143"/>
      <c r="AD56" s="143"/>
      <c r="AE56" s="143"/>
      <c r="AF56" s="143"/>
      <c r="AG56" s="143"/>
      <c r="AH56" s="143"/>
      <c r="AI56" s="143"/>
      <c r="AJ56" s="143"/>
    </row>
    <row r="57" spans="1:36" s="19" customFormat="1" x14ac:dyDescent="0.25">
      <c r="A57" s="3"/>
      <c r="B57" s="3" t="str">
        <f t="shared" ref="B57:B70" si="21">B56</f>
        <v>Endeavour</v>
      </c>
      <c r="C57" s="3" t="str">
        <f t="shared" ref="C57:C70" si="22">C56</f>
        <v>Residential</v>
      </c>
      <c r="D57" s="3" t="str">
        <f t="shared" ref="D57:D70" si="23">D56</f>
        <v>with CL</v>
      </c>
      <c r="E57" s="3" t="s">
        <v>19</v>
      </c>
      <c r="F57" s="131">
        <f t="array" ref="F57">IFERROR(INDEX(Usage!$B$5:$P$18,MATCH($B57,Usage!$B$5:$B$18,0),MATCH($C57&amp;$D57&amp;$E57&amp;"Total",Usage!$B$5:$S$5&amp;Usage!$B$6:$S$6&amp;Usage!$B$7:$S$7&amp;Usage!$B$13:$S$13,0)),0)</f>
        <v>5200</v>
      </c>
      <c r="G57" s="5" t="s">
        <v>55</v>
      </c>
      <c r="H57" s="130">
        <f>H52</f>
        <v>0</v>
      </c>
      <c r="I57" s="130">
        <v>19.809999999999999</v>
      </c>
      <c r="J57" s="130">
        <f>IF(AND(H57="",I57=""),"",H57+I57*+Usage!E37/1000)</f>
        <v>103.012</v>
      </c>
      <c r="K57" s="145"/>
      <c r="L57" s="150"/>
      <c r="M57" s="145">
        <f>IF(OR(J57=0,Q57=""),"",Q57/J57-1)</f>
        <v>-0.18139463106877007</v>
      </c>
      <c r="N57" s="150"/>
      <c r="O57" s="130">
        <f>O52</f>
        <v>0</v>
      </c>
      <c r="P57" s="130">
        <f>P52</f>
        <v>16.216572358527664</v>
      </c>
      <c r="Q57" s="130">
        <f t="shared" ref="Q57:Q69" si="24">IF(AND(O57="",P57=""),"",O57+P57*$F57/1000)</f>
        <v>84.326176264343857</v>
      </c>
      <c r="R57" s="145"/>
      <c r="S57" s="145"/>
      <c r="T57" s="379"/>
      <c r="U57" s="145"/>
      <c r="V57" s="145"/>
      <c r="W57" s="145"/>
      <c r="X57" s="145"/>
      <c r="Y57" s="145"/>
      <c r="Z57" s="145"/>
      <c r="AA57" s="145"/>
      <c r="AB57" s="145"/>
      <c r="AC57" s="145"/>
      <c r="AD57" s="145"/>
      <c r="AE57" s="145"/>
      <c r="AF57" s="145"/>
      <c r="AG57" s="145"/>
      <c r="AH57" s="145"/>
      <c r="AI57" s="145"/>
      <c r="AJ57" s="145"/>
    </row>
    <row r="58" spans="1:36" s="19" customFormat="1" x14ac:dyDescent="0.25">
      <c r="A58" s="3"/>
      <c r="B58" s="3" t="str">
        <f t="shared" si="21"/>
        <v>Endeavour</v>
      </c>
      <c r="C58" s="3" t="str">
        <f t="shared" si="22"/>
        <v>Residential</v>
      </c>
      <c r="D58" s="3" t="str">
        <f t="shared" si="23"/>
        <v>with CL</v>
      </c>
      <c r="E58" s="3" t="s">
        <v>14</v>
      </c>
      <c r="F58" s="131">
        <f t="array" ref="F58">IFERROR(INDEX(Usage!$B$5:$P$18,MATCH($B58,Usage!$B$5:$B$18,0),MATCH($C58&amp;$D58&amp;$E58,Usage!$B$5:$S$5&amp;Usage!$B$6:$S$6&amp;Usage!$B$7:$S$7,0)),0)</f>
        <v>1474</v>
      </c>
      <c r="G58" s="3" t="s">
        <v>74</v>
      </c>
      <c r="H58" s="128"/>
      <c r="I58" s="128">
        <f t="array" ref="I58">IFERROR(INDEX('Detail inputs'!$B$3:$K$195,MATCH($B58&amp;$G58&amp;I$5,'Detail inputs'!$B$3:$B$195&amp;'Detail inputs'!$G$3:$G$195&amp;'Detail inputs'!$H$3:$H$195,0),MATCH(I$4,'Detail inputs'!$B$3:$K$3,0)),0)</f>
        <v>7.54</v>
      </c>
      <c r="J58" s="128">
        <f>IF(AND(H58="",I58=""),"",H58+I58*+Usage!H$37/1000)</f>
        <v>11.113960000000001</v>
      </c>
      <c r="K58" s="143">
        <f>IFERROR(J58/J63,"")</f>
        <v>0.38061585058051495</v>
      </c>
      <c r="L58" s="140"/>
      <c r="M58" s="143">
        <f t="shared" ref="M58:M70" si="25">IF(OR(J58=0,Q58=""),"",Q58/J58-1)</f>
        <v>-0.18872113387465661</v>
      </c>
      <c r="N58" s="140"/>
      <c r="O58" s="128"/>
      <c r="P58" s="128">
        <f t="array" ref="P58">IFERROR(INDEX('Detail inputs'!$B$3:$K$195,MATCH($B58&amp;$G58&amp;P$5,'Detail inputs'!$B$3:$B$195&amp;'Detail inputs'!$G$3:$G$195&amp;'Detail inputs'!$H$3:$H$195,0),MATCH(P$4,'Detail inputs'!$B$3:$K$3,0)),0)</f>
        <v>6.1170426505850894</v>
      </c>
      <c r="Q58" s="277">
        <f t="shared" si="24"/>
        <v>9.0165208669624217</v>
      </c>
      <c r="R58" s="143">
        <f>IFERROR(Q58/Q63,"")</f>
        <v>0.37720934580656779</v>
      </c>
      <c r="S58" s="143"/>
      <c r="T58" s="378"/>
      <c r="U58" s="143"/>
      <c r="V58" s="143"/>
      <c r="W58" s="143"/>
      <c r="X58" s="143"/>
      <c r="Y58" s="143"/>
      <c r="Z58" s="143"/>
      <c r="AA58" s="143"/>
      <c r="AB58" s="143"/>
      <c r="AC58" s="143"/>
      <c r="AD58" s="143"/>
      <c r="AE58" s="143"/>
      <c r="AF58" s="143"/>
      <c r="AG58" s="143"/>
      <c r="AH58" s="143"/>
      <c r="AI58" s="143"/>
      <c r="AJ58" s="143"/>
    </row>
    <row r="59" spans="1:36" s="19" customFormat="1" x14ac:dyDescent="0.25">
      <c r="A59" s="3"/>
      <c r="B59" s="3" t="str">
        <f t="shared" si="21"/>
        <v>Endeavour</v>
      </c>
      <c r="C59" s="3" t="str">
        <f t="shared" si="22"/>
        <v>Residential</v>
      </c>
      <c r="D59" s="3" t="str">
        <f t="shared" si="23"/>
        <v>with CL</v>
      </c>
      <c r="E59" s="3" t="s">
        <v>14</v>
      </c>
      <c r="F59" s="131">
        <f t="array" ref="F59">IFERROR(INDEX(Usage!$B$5:$P$18,MATCH($B59,Usage!$B$5:$B$18,0),MATCH($C59&amp;$D59&amp;$E59,Usage!$B$5:$S$5&amp;Usage!$B$6:$S$6&amp;Usage!$B$7:$S$7,0)),0)</f>
        <v>1474</v>
      </c>
      <c r="G59" s="3" t="s">
        <v>75</v>
      </c>
      <c r="H59" s="128"/>
      <c r="I59" s="128">
        <f t="array" ref="I59">IFERROR(INDEX('Detail inputs'!$B$3:$K$195,MATCH($B59&amp;$G59&amp;I$5,'Detail inputs'!$B$3:$B$195&amp;'Detail inputs'!$G$3:$G$195&amp;'Detail inputs'!$H$3:$H$195,0),MATCH(I$4,'Detail inputs'!$B$3:$K$3,0)),0)</f>
        <v>7.85</v>
      </c>
      <c r="J59" s="128">
        <f>IF(AND(H59="",I59=""),"",H59+I59*+Usage!H$37/1000)</f>
        <v>11.5709</v>
      </c>
      <c r="K59" s="143">
        <f>IFERROR(J59/J63,"")</f>
        <v>0.39626451287228676</v>
      </c>
      <c r="L59" s="140"/>
      <c r="M59" s="143">
        <f t="shared" si="25"/>
        <v>-0.3457324840764332</v>
      </c>
      <c r="N59" s="140"/>
      <c r="O59" s="128"/>
      <c r="P59" s="128">
        <f t="array" ref="P59">IFERROR(INDEX('Detail inputs'!$B$3:$K$195,MATCH($B59&amp;$G59&amp;P$5,'Detail inputs'!$B$3:$B$195&amp;'Detail inputs'!$G$3:$G$195&amp;'Detail inputs'!$H$3:$H$195,0),MATCH(P$4,'Detail inputs'!$B$3:$K$3,0)),0)</f>
        <v>5.1359999999999992</v>
      </c>
      <c r="Q59" s="277">
        <f t="shared" si="24"/>
        <v>7.5704639999999994</v>
      </c>
      <c r="R59" s="143">
        <f>IFERROR(Q59/Q63,"")</f>
        <v>0.31671304431353386</v>
      </c>
      <c r="S59" s="143"/>
      <c r="T59" s="377"/>
      <c r="U59" s="143"/>
      <c r="V59" s="143"/>
      <c r="W59" s="143"/>
      <c r="X59" s="143"/>
      <c r="Y59" s="143"/>
      <c r="Z59" s="143"/>
      <c r="AA59" s="143"/>
      <c r="AB59" s="143"/>
      <c r="AC59" s="143"/>
      <c r="AD59" s="143"/>
      <c r="AE59" s="143"/>
      <c r="AF59" s="143"/>
      <c r="AG59" s="143"/>
      <c r="AH59" s="143"/>
      <c r="AI59" s="143"/>
      <c r="AJ59" s="143"/>
    </row>
    <row r="60" spans="1:36" s="19" customFormat="1" x14ac:dyDescent="0.25">
      <c r="A60" s="3"/>
      <c r="B60" s="3" t="str">
        <f t="shared" si="21"/>
        <v>Endeavour</v>
      </c>
      <c r="C60" s="3" t="str">
        <f t="shared" si="22"/>
        <v>Residential</v>
      </c>
      <c r="D60" s="3" t="str">
        <f t="shared" si="23"/>
        <v>with CL</v>
      </c>
      <c r="E60" s="3" t="s">
        <v>14</v>
      </c>
      <c r="F60" s="131">
        <f t="array" ref="F60">IFERROR(INDEX(Usage!$B$5:$P$18,MATCH($B60,Usage!$B$5:$B$18,0),MATCH($C60&amp;$D60&amp;$E60,Usage!$B$5:$S$5&amp;Usage!$B$6:$S$6&amp;Usage!$B$7:$S$7,0)),0)</f>
        <v>1474</v>
      </c>
      <c r="G60" s="3" t="s">
        <v>76</v>
      </c>
      <c r="H60" s="128"/>
      <c r="I60" s="128">
        <f t="array" ref="I60">IFERROR(INDEX('Detail inputs'!$B$3:$K$195,MATCH($B60&amp;$G60&amp;I$5,'Detail inputs'!$B$3:$B$195&amp;'Detail inputs'!$G$3:$G$195&amp;'Detail inputs'!$H$3:$H$195,0),MATCH(I$4,'Detail inputs'!$B$3:$K$3,0)),0)</f>
        <v>2.71</v>
      </c>
      <c r="J60" s="128">
        <f>IF(AND(H60="",I60=""),"",H60+I60*+Usage!H$37/1000)</f>
        <v>3.9945399999999998</v>
      </c>
      <c r="K60" s="143">
        <f>IFERROR(J60/J63,"")</f>
        <v>0.13679959616355375</v>
      </c>
      <c r="L60" s="140"/>
      <c r="M60" s="143">
        <f t="shared" si="25"/>
        <v>-0.21431027168673555</v>
      </c>
      <c r="N60" s="140"/>
      <c r="O60" s="128"/>
      <c r="P60" s="128">
        <f t="array" ref="P60">IFERROR(INDEX('Detail inputs'!$B$3:$K$195,MATCH($B60&amp;$G60&amp;P$5,'Detail inputs'!$B$3:$B$195&amp;'Detail inputs'!$G$3:$G$195&amp;'Detail inputs'!$H$3:$H$195,0),MATCH(P$4,'Detail inputs'!$B$3:$K$3,0)),0)</f>
        <v>2.1292191637289464</v>
      </c>
      <c r="Q60" s="277">
        <f t="shared" si="24"/>
        <v>3.1384690473364674</v>
      </c>
      <c r="R60" s="143">
        <f>IFERROR(Q60/Q63,"")</f>
        <v>0.13129896482774756</v>
      </c>
      <c r="S60" s="143"/>
      <c r="T60" s="377"/>
      <c r="U60" s="143"/>
      <c r="V60" s="143"/>
      <c r="W60" s="143"/>
      <c r="X60" s="143"/>
      <c r="Y60" s="143"/>
      <c r="Z60" s="143"/>
      <c r="AA60" s="143"/>
      <c r="AB60" s="143"/>
      <c r="AC60" s="143"/>
      <c r="AD60" s="143"/>
      <c r="AE60" s="143"/>
      <c r="AF60" s="143"/>
      <c r="AG60" s="143"/>
      <c r="AH60" s="143"/>
      <c r="AI60" s="143"/>
      <c r="AJ60" s="143"/>
    </row>
    <row r="61" spans="1:36" s="19" customFormat="1" x14ac:dyDescent="0.25">
      <c r="A61" s="3"/>
      <c r="B61" s="3" t="str">
        <f t="shared" si="21"/>
        <v>Endeavour</v>
      </c>
      <c r="C61" s="3" t="str">
        <f t="shared" si="22"/>
        <v>Residential</v>
      </c>
      <c r="D61" s="3" t="str">
        <f t="shared" si="23"/>
        <v>with CL</v>
      </c>
      <c r="E61" s="3" t="s">
        <v>14</v>
      </c>
      <c r="F61" s="131">
        <f t="array" ref="F61">IFERROR(INDEX(Usage!$B$5:$P$18,MATCH($B61,Usage!$B$5:$B$18,0),MATCH($C61&amp;$D61&amp;$E61,Usage!$B$5:$S$5&amp;Usage!$B$6:$S$6&amp;Usage!$B$7:$S$7,0)),0)</f>
        <v>1474</v>
      </c>
      <c r="G61" s="3" t="s">
        <v>164</v>
      </c>
      <c r="H61" s="128"/>
      <c r="I61" s="128">
        <f t="array" ref="I61">IFERROR(INDEX('Detail inputs'!$B$3:$K$195,MATCH($B61&amp;$G61&amp;I$5,'Detail inputs'!$B$3:$B$195&amp;'Detail inputs'!$G$3:$G$195&amp;'Detail inputs'!$H$3:$H$195,0),MATCH(I$4,'Detail inputs'!$B$3:$K$3,0)),0)</f>
        <v>0.71</v>
      </c>
      <c r="J61" s="128">
        <f>IF(AND(H61="",I61=""),"",H61+I61*+Usage!H$37/1000)</f>
        <v>1.04654</v>
      </c>
      <c r="K61" s="143">
        <f>IFERROR(J61/J63,"")</f>
        <v>3.5840484603735491E-2</v>
      </c>
      <c r="L61" s="140"/>
      <c r="M61" s="143">
        <f t="shared" ref="M61" si="26">IF(OR(J61=0,Q61=""),"",Q61/J61-1)</f>
        <v>1.6245712692226708</v>
      </c>
      <c r="N61" s="140"/>
      <c r="O61" s="128"/>
      <c r="P61" s="128">
        <f t="array" ref="P61">IFERROR(INDEX('Detail inputs'!$B$3:$K$195,MATCH($B61&amp;$G61&amp;P$5,'Detail inputs'!$B$3:$B$195&amp;'Detail inputs'!$G$3:$G$195&amp;'Detail inputs'!$H$3:$H$195,0),MATCH(P$4,'Detail inputs'!$B$3:$K$3,0)),0)</f>
        <v>1.8634456011480964</v>
      </c>
      <c r="Q61" s="277">
        <f t="shared" ref="Q61" si="27">IF(AND(O61="",P61=""),"",O61+P61*$F61/1000)</f>
        <v>2.7467188160922942</v>
      </c>
      <c r="R61" s="143">
        <f>IFERROR(Q61/Q63,"")</f>
        <v>0.1149099550724838</v>
      </c>
      <c r="S61" s="143"/>
      <c r="T61" s="377"/>
      <c r="U61" s="143"/>
      <c r="V61" s="143"/>
      <c r="W61" s="143"/>
      <c r="X61" s="143"/>
      <c r="Y61" s="143"/>
      <c r="Z61" s="143"/>
      <c r="AA61" s="143"/>
      <c r="AB61" s="143"/>
      <c r="AC61" s="143"/>
      <c r="AD61" s="143"/>
      <c r="AE61" s="143"/>
      <c r="AF61" s="143"/>
      <c r="AG61" s="143"/>
      <c r="AH61" s="143"/>
      <c r="AI61" s="143"/>
      <c r="AJ61" s="143"/>
    </row>
    <row r="62" spans="1:36" s="19" customFormat="1" x14ac:dyDescent="0.25">
      <c r="A62" s="3"/>
      <c r="B62" s="3" t="str">
        <f t="shared" si="21"/>
        <v>Endeavour</v>
      </c>
      <c r="C62" s="3" t="str">
        <f t="shared" si="22"/>
        <v>Residential</v>
      </c>
      <c r="D62" s="3" t="str">
        <f t="shared" si="23"/>
        <v>with CL</v>
      </c>
      <c r="E62" s="3" t="s">
        <v>14</v>
      </c>
      <c r="F62" s="131">
        <f t="array" ref="F62">IFERROR(INDEX(Usage!$B$5:$P$18,MATCH($B62,Usage!$B$5:$B$18,0),MATCH($C62&amp;$D62&amp;$E62,Usage!$B$5:$S$5&amp;Usage!$B$6:$S$6&amp;Usage!$B$7:$S$7,0)),0)</f>
        <v>1474</v>
      </c>
      <c r="G62" s="3" t="s">
        <v>73</v>
      </c>
      <c r="H62" s="128"/>
      <c r="I62" s="128" cm="1">
        <f t="array" ref="I62">IFERROR(INDEX('Detail inputs'!$B$3:$K$195,MATCH($B62&amp;$C62&amp;$E62&amp;$G62&amp;I$5,'Detail inputs'!$B$3:$B$195&amp;'Detail inputs'!$D$3:$D$195&amp;'Detail inputs'!$F$3:$F$195&amp;'Detail inputs'!$G$3:$G$195&amp;'Detail inputs'!$H$3:$H$195,0),MATCH(I$4,'Detail inputs'!$B$3:$K$3,0)),0)*SUM(I58:I61)</f>
        <v>0.99693000000000009</v>
      </c>
      <c r="J62" s="128">
        <f>IF(AND(H62="",I62=""),"",H62+I62*+Usage!H$37/1000)</f>
        <v>1.4694748200000001</v>
      </c>
      <c r="K62" s="143">
        <f>IFERROR(J62/J63,"")</f>
        <v>5.0324583543664821E-2</v>
      </c>
      <c r="L62" s="140"/>
      <c r="M62" s="143">
        <f t="shared" si="25"/>
        <v>-2.6145323076314009E-2</v>
      </c>
      <c r="N62" s="140"/>
      <c r="O62" s="128"/>
      <c r="P62" s="128" cm="1">
        <f t="array" ref="P62">IFERROR(INDEX('Detail inputs'!$B$3:$K$195,MATCH($B62&amp;$C62&amp;$E62&amp;$G62&amp;P$5,'Detail inputs'!$B$3:$B$195&amp;'Detail inputs'!$D$3:$D$195&amp;'Detail inputs'!$F$3:$F$195&amp;'Detail inputs'!$G$3:$G$195&amp;'Detail inputs'!$H$3:$H$195,0),MATCH(P$4,'Detail inputs'!$B$3:$K$3,0)),0)*SUM(P58:P61)</f>
        <v>0.97086494306553039</v>
      </c>
      <c r="Q62" s="277">
        <f t="shared" si="24"/>
        <v>1.4310549260785916</v>
      </c>
      <c r="R62" s="143">
        <f>IFERROR(Q62/Q63,"")</f>
        <v>5.9868689979667024E-2</v>
      </c>
      <c r="S62" s="143"/>
      <c r="T62" s="377"/>
      <c r="U62" s="143"/>
      <c r="V62" s="143"/>
      <c r="W62" s="143"/>
      <c r="X62" s="143"/>
      <c r="Y62" s="143"/>
      <c r="Z62" s="143"/>
      <c r="AA62" s="143"/>
      <c r="AB62" s="143"/>
      <c r="AC62" s="143"/>
      <c r="AD62" s="143"/>
      <c r="AE62" s="143"/>
      <c r="AF62" s="143"/>
      <c r="AG62" s="143"/>
      <c r="AH62" s="143"/>
      <c r="AI62" s="143"/>
      <c r="AJ62" s="143"/>
    </row>
    <row r="63" spans="1:36" s="19" customFormat="1" x14ac:dyDescent="0.25">
      <c r="A63" s="3"/>
      <c r="B63" s="3" t="str">
        <f t="shared" si="21"/>
        <v>Endeavour</v>
      </c>
      <c r="C63" s="3" t="str">
        <f t="shared" si="22"/>
        <v>Residential</v>
      </c>
      <c r="D63" s="3" t="str">
        <f t="shared" si="23"/>
        <v>with CL</v>
      </c>
      <c r="E63" s="3" t="s">
        <v>14</v>
      </c>
      <c r="F63" s="131">
        <f t="array" ref="F63">IFERROR(INDEX(Usage!$B$5:$P$18,MATCH($B63,Usage!$B$5:$B$18,0),MATCH($C63&amp;$D63&amp;$E63,Usage!$B$5:$S$5&amp;Usage!$B$6:$S$6&amp;Usage!$B$7:$S$7,0)),0)</f>
        <v>1474</v>
      </c>
      <c r="G63" s="5" t="s">
        <v>55</v>
      </c>
      <c r="H63" s="130">
        <f>SUM(H58:H62)</f>
        <v>0</v>
      </c>
      <c r="I63" s="130">
        <v>19.809999999999999</v>
      </c>
      <c r="J63" s="130">
        <f>IF(AND(H63="",I63=""),"",H63+I63*+Usage!H$37/1000)</f>
        <v>29.199939999999998</v>
      </c>
      <c r="K63" s="145"/>
      <c r="L63" s="150"/>
      <c r="M63" s="145">
        <f t="shared" si="25"/>
        <v>-0.18139463106877018</v>
      </c>
      <c r="N63" s="150"/>
      <c r="O63" s="130">
        <f>SUM(O58:O62)</f>
        <v>0</v>
      </c>
      <c r="P63" s="130">
        <f>SUM(P58:P62)</f>
        <v>16.216572358527664</v>
      </c>
      <c r="Q63" s="130">
        <f t="shared" si="24"/>
        <v>23.903227656469774</v>
      </c>
      <c r="R63" s="145"/>
      <c r="S63" s="145"/>
      <c r="T63" s="379"/>
      <c r="U63" s="145"/>
      <c r="V63" s="145"/>
      <c r="W63" s="145"/>
      <c r="X63" s="145"/>
      <c r="Y63" s="145"/>
      <c r="Z63" s="145"/>
      <c r="AA63" s="145"/>
      <c r="AB63" s="145"/>
      <c r="AC63" s="145"/>
      <c r="AD63" s="145"/>
      <c r="AE63" s="145"/>
      <c r="AF63" s="145"/>
      <c r="AG63" s="145"/>
      <c r="AH63" s="145"/>
      <c r="AI63" s="145"/>
      <c r="AJ63" s="145"/>
    </row>
    <row r="64" spans="1:36" s="19" customFormat="1" x14ac:dyDescent="0.25">
      <c r="A64" s="3"/>
      <c r="B64" s="3" t="str">
        <f t="shared" si="21"/>
        <v>Endeavour</v>
      </c>
      <c r="C64" s="3" t="str">
        <f t="shared" si="22"/>
        <v>Residential</v>
      </c>
      <c r="D64" s="3" t="str">
        <f t="shared" si="23"/>
        <v>with CL</v>
      </c>
      <c r="E64" s="3" t="s">
        <v>15</v>
      </c>
      <c r="F64" s="131">
        <f t="array" ref="F64">IFERROR(INDEX(Usage!$B$5:$P$18,MATCH($B64,Usage!$B$5:$B$18,0),MATCH($C64&amp;$D64&amp;$E64,Usage!$B$5:$S$5&amp;Usage!$B$6:$S$6&amp;Usage!$B$7:$S$7,0)),0)</f>
        <v>726</v>
      </c>
      <c r="G64" s="3" t="s">
        <v>74</v>
      </c>
      <c r="H64" s="128"/>
      <c r="I64" s="128">
        <f t="array" ref="I64">IFERROR(INDEX('Detail inputs'!$B$3:$K$195,MATCH($B64&amp;$G64&amp;I$5,'Detail inputs'!$B$3:$B$195&amp;'Detail inputs'!$G$3:$G$195&amp;'Detail inputs'!$H$3:$H$195,0),MATCH(I$4,'Detail inputs'!$B$3:$K$3,0)),0)</f>
        <v>7.54</v>
      </c>
      <c r="J64" s="128">
        <f>IF(AND(H64="",I64=""),"",H64+I64*+Usage!I$37/1000)</f>
        <v>5.4740399999999996</v>
      </c>
      <c r="K64" s="143">
        <f>IFERROR(J64/J69,"")</f>
        <v>0.38061585058051489</v>
      </c>
      <c r="L64" s="140"/>
      <c r="M64" s="143">
        <f t="shared" si="25"/>
        <v>-0.1887211338746565</v>
      </c>
      <c r="N64" s="140"/>
      <c r="O64" s="128"/>
      <c r="P64" s="128">
        <f t="array" ref="P64">IFERROR(INDEX('Detail inputs'!$B$3:$K$195,MATCH($B64&amp;$G64&amp;P$5,'Detail inputs'!$B$3:$B$195&amp;'Detail inputs'!$G$3:$G$195&amp;'Detail inputs'!$H$3:$H$195,0),MATCH(P$4,'Detail inputs'!$B$3:$K$3,0)),0)</f>
        <v>6.1170426505850894</v>
      </c>
      <c r="Q64" s="277">
        <f t="shared" si="24"/>
        <v>4.4409729643247751</v>
      </c>
      <c r="R64" s="143">
        <f>IFERROR(Q64/Q69,"")</f>
        <v>0.37720934580656779</v>
      </c>
      <c r="S64" s="143"/>
      <c r="T64" s="378"/>
      <c r="U64" s="143"/>
      <c r="V64" s="143"/>
      <c r="W64" s="143"/>
      <c r="X64" s="143"/>
      <c r="Y64" s="143"/>
      <c r="Z64" s="143"/>
      <c r="AA64" s="143"/>
      <c r="AB64" s="143"/>
      <c r="AC64" s="143"/>
      <c r="AD64" s="143"/>
      <c r="AE64" s="143"/>
      <c r="AF64" s="143"/>
      <c r="AG64" s="143"/>
      <c r="AH64" s="143"/>
      <c r="AI64" s="143"/>
      <c r="AJ64" s="143"/>
    </row>
    <row r="65" spans="1:36" s="19" customFormat="1" x14ac:dyDescent="0.25">
      <c r="A65" s="3"/>
      <c r="B65" s="3" t="str">
        <f t="shared" si="21"/>
        <v>Endeavour</v>
      </c>
      <c r="C65" s="3" t="str">
        <f t="shared" si="22"/>
        <v>Residential</v>
      </c>
      <c r="D65" s="3" t="str">
        <f t="shared" si="23"/>
        <v>with CL</v>
      </c>
      <c r="E65" s="3" t="s">
        <v>15</v>
      </c>
      <c r="F65" s="131">
        <f t="array" ref="F65">IFERROR(INDEX(Usage!$B$5:$P$18,MATCH($B65,Usage!$B$5:$B$18,0),MATCH($C65&amp;$D65&amp;$E65,Usage!$B$5:$S$5&amp;Usage!$B$6:$S$6&amp;Usage!$B$7:$S$7,0)),0)</f>
        <v>726</v>
      </c>
      <c r="G65" s="3" t="s">
        <v>75</v>
      </c>
      <c r="H65" s="128"/>
      <c r="I65" s="128">
        <f t="array" ref="I65">IFERROR(INDEX('Detail inputs'!$B$3:$K$195,MATCH($B65&amp;$G65&amp;I$5,'Detail inputs'!$B$3:$B$195&amp;'Detail inputs'!$G$3:$G$195&amp;'Detail inputs'!$H$3:$H$195,0),MATCH(I$4,'Detail inputs'!$B$3:$K$3,0)),0)</f>
        <v>7.85</v>
      </c>
      <c r="J65" s="128">
        <f>IF(AND(H65="",I65=""),"",H65+I65*+Usage!I$37/1000)</f>
        <v>5.6990999999999996</v>
      </c>
      <c r="K65" s="144">
        <f>IFERROR(J65/J69,"")</f>
        <v>0.3962645128722867</v>
      </c>
      <c r="L65" s="141"/>
      <c r="M65" s="144">
        <f t="shared" si="25"/>
        <v>-0.3457324840764332</v>
      </c>
      <c r="N65" s="141"/>
      <c r="O65" s="128"/>
      <c r="P65" s="128">
        <f t="array" ref="P65">IFERROR(INDEX('Detail inputs'!$B$3:$K$195,MATCH($B65&amp;$G65&amp;P$5,'Detail inputs'!$B$3:$B$195&amp;'Detail inputs'!$G$3:$G$195&amp;'Detail inputs'!$H$3:$H$195,0),MATCH(P$4,'Detail inputs'!$B$3:$K$3,0)),0)</f>
        <v>5.1359999999999992</v>
      </c>
      <c r="Q65" s="277">
        <f t="shared" si="24"/>
        <v>3.7287359999999996</v>
      </c>
      <c r="R65" s="144">
        <f>IFERROR(Q65/Q69,"")</f>
        <v>0.31671304431353381</v>
      </c>
      <c r="S65" s="144"/>
      <c r="T65" s="377"/>
      <c r="U65" s="144"/>
      <c r="V65" s="144"/>
      <c r="W65" s="144"/>
      <c r="X65" s="144"/>
      <c r="Y65" s="144"/>
      <c r="Z65" s="144"/>
      <c r="AA65" s="144"/>
      <c r="AB65" s="144"/>
      <c r="AC65" s="144"/>
      <c r="AD65" s="144"/>
      <c r="AE65" s="144"/>
      <c r="AF65" s="144"/>
      <c r="AG65" s="144"/>
      <c r="AH65" s="144"/>
      <c r="AI65" s="144"/>
      <c r="AJ65" s="144"/>
    </row>
    <row r="66" spans="1:36" s="19" customFormat="1" x14ac:dyDescent="0.25">
      <c r="A66" s="3"/>
      <c r="B66" s="3" t="str">
        <f t="shared" si="21"/>
        <v>Endeavour</v>
      </c>
      <c r="C66" s="3" t="str">
        <f t="shared" si="22"/>
        <v>Residential</v>
      </c>
      <c r="D66" s="3" t="str">
        <f t="shared" si="23"/>
        <v>with CL</v>
      </c>
      <c r="E66" s="3" t="s">
        <v>15</v>
      </c>
      <c r="F66" s="131">
        <f t="array" ref="F66">IFERROR(INDEX(Usage!$B$5:$P$18,MATCH($B66,Usage!$B$5:$B$18,0),MATCH($C66&amp;$D66&amp;$E66,Usage!$B$5:$S$5&amp;Usage!$B$6:$S$6&amp;Usage!$B$7:$S$7,0)),0)</f>
        <v>726</v>
      </c>
      <c r="G66" s="3" t="s">
        <v>76</v>
      </c>
      <c r="H66" s="128"/>
      <c r="I66" s="128">
        <f t="array" ref="I66">IFERROR(INDEX('Detail inputs'!$B$3:$K$195,MATCH($B66&amp;$G66&amp;I$5,'Detail inputs'!$B$3:$B$195&amp;'Detail inputs'!$G$3:$G$195&amp;'Detail inputs'!$H$3:$H$195,0),MATCH(I$4,'Detail inputs'!$B$3:$K$3,0)),0)</f>
        <v>2.71</v>
      </c>
      <c r="J66" s="128">
        <f>IF(AND(H66="",I66=""),"",H66+I66*+Usage!I$37/1000)</f>
        <v>1.96746</v>
      </c>
      <c r="K66" s="144">
        <f>IFERROR(J66/J69,"")</f>
        <v>0.13679959616355378</v>
      </c>
      <c r="L66" s="141"/>
      <c r="M66" s="144">
        <f t="shared" si="25"/>
        <v>-0.21431027168673566</v>
      </c>
      <c r="N66" s="141"/>
      <c r="O66" s="128"/>
      <c r="P66" s="128">
        <f t="array" ref="P66">IFERROR(INDEX('Detail inputs'!$B$3:$K$195,MATCH($B66&amp;$G66&amp;P$5,'Detail inputs'!$B$3:$B$195&amp;'Detail inputs'!$G$3:$G$195&amp;'Detail inputs'!$H$3:$H$195,0),MATCH(P$4,'Detail inputs'!$B$3:$K$3,0)),0)</f>
        <v>2.1292191637289464</v>
      </c>
      <c r="Q66" s="277">
        <f t="shared" si="24"/>
        <v>1.545813112867215</v>
      </c>
      <c r="R66" s="144">
        <f>IFERROR(Q66/Q69,"")</f>
        <v>0.13129896482774753</v>
      </c>
      <c r="S66" s="144"/>
      <c r="T66" s="377"/>
      <c r="U66" s="144"/>
      <c r="V66" s="144"/>
      <c r="W66" s="144"/>
      <c r="X66" s="144"/>
      <c r="Y66" s="144"/>
      <c r="Z66" s="144"/>
      <c r="AA66" s="144"/>
      <c r="AB66" s="144"/>
      <c r="AC66" s="144"/>
      <c r="AD66" s="144"/>
      <c r="AE66" s="144"/>
      <c r="AF66" s="144"/>
      <c r="AG66" s="144"/>
      <c r="AH66" s="144"/>
      <c r="AI66" s="144"/>
      <c r="AJ66" s="144"/>
    </row>
    <row r="67" spans="1:36" s="19" customFormat="1" x14ac:dyDescent="0.25">
      <c r="A67" s="3"/>
      <c r="B67" s="3" t="str">
        <f t="shared" si="21"/>
        <v>Endeavour</v>
      </c>
      <c r="C67" s="3" t="str">
        <f t="shared" si="22"/>
        <v>Residential</v>
      </c>
      <c r="D67" s="3" t="str">
        <f t="shared" si="23"/>
        <v>with CL</v>
      </c>
      <c r="E67" s="3" t="s">
        <v>15</v>
      </c>
      <c r="F67" s="131">
        <f t="array" ref="F67">IFERROR(INDEX(Usage!$B$5:$P$18,MATCH($B67,Usage!$B$5:$B$18,0),MATCH($C67&amp;$D67&amp;$E67,Usage!$B$5:$S$5&amp;Usage!$B$6:$S$6&amp;Usage!$B$7:$S$7,0)),0)</f>
        <v>726</v>
      </c>
      <c r="G67" s="3" t="s">
        <v>164</v>
      </c>
      <c r="H67" s="128"/>
      <c r="I67" s="128">
        <f t="array" ref="I67">IFERROR(INDEX('Detail inputs'!$B$3:$K$195,MATCH($B67&amp;$G67&amp;I$5,'Detail inputs'!$B$3:$B$195&amp;'Detail inputs'!$G$3:$G$195&amp;'Detail inputs'!$H$3:$H$195,0),MATCH(I$4,'Detail inputs'!$B$3:$K$3,0)),0)</f>
        <v>0.71</v>
      </c>
      <c r="J67" s="128">
        <f>IF(AND(H67="",I67=""),"",H67+I67*+Usage!I$37/1000)</f>
        <v>0.51545999999999992</v>
      </c>
      <c r="K67" s="144">
        <f>IFERROR(J67/J69,"")</f>
        <v>3.5840484603735484E-2</v>
      </c>
      <c r="L67" s="141"/>
      <c r="M67" s="144">
        <f t="shared" ref="M67" si="28">IF(OR(J67=0,Q67=""),"",Q67/J67-1)</f>
        <v>1.6245712692226717</v>
      </c>
      <c r="N67" s="141"/>
      <c r="O67" s="128"/>
      <c r="P67" s="128">
        <f t="array" ref="P67">IFERROR(INDEX('Detail inputs'!$B$3:$K$195,MATCH($B67&amp;$G67&amp;P$5,'Detail inputs'!$B$3:$B$195&amp;'Detail inputs'!$G$3:$G$195&amp;'Detail inputs'!$H$3:$H$195,0),MATCH(P$4,'Detail inputs'!$B$3:$K$3,0)),0)</f>
        <v>1.8634456011480964</v>
      </c>
      <c r="Q67" s="277">
        <f t="shared" ref="Q67" si="29">IF(AND(O67="",P67=""),"",O67+P67*$F67/1000)</f>
        <v>1.3528615064335181</v>
      </c>
      <c r="R67" s="144">
        <f>IFERROR(Q67/Q69,"")</f>
        <v>0.1149099550724838</v>
      </c>
      <c r="S67" s="144"/>
      <c r="T67" s="377"/>
      <c r="U67" s="144"/>
      <c r="V67" s="144"/>
      <c r="W67" s="144"/>
      <c r="X67" s="144"/>
      <c r="Y67" s="144"/>
      <c r="Z67" s="144"/>
      <c r="AA67" s="144"/>
      <c r="AB67" s="144"/>
      <c r="AC67" s="144"/>
      <c r="AD67" s="144"/>
      <c r="AE67" s="144"/>
      <c r="AF67" s="144"/>
      <c r="AG67" s="144"/>
      <c r="AH67" s="144"/>
      <c r="AI67" s="144"/>
      <c r="AJ67" s="144"/>
    </row>
    <row r="68" spans="1:36" s="19" customFormat="1" x14ac:dyDescent="0.25">
      <c r="A68" s="3"/>
      <c r="B68" s="3" t="str">
        <f t="shared" si="21"/>
        <v>Endeavour</v>
      </c>
      <c r="C68" s="3" t="str">
        <f t="shared" si="22"/>
        <v>Residential</v>
      </c>
      <c r="D68" s="3" t="str">
        <f t="shared" si="23"/>
        <v>with CL</v>
      </c>
      <c r="E68" s="3" t="s">
        <v>15</v>
      </c>
      <c r="F68" s="131">
        <f t="array" ref="F68">IFERROR(INDEX(Usage!$B$5:$P$18,MATCH($B68,Usage!$B$5:$B$18,0),MATCH($C68&amp;$D68&amp;$E68,Usage!$B$5:$S$5&amp;Usage!$B$6:$S$6&amp;Usage!$B$7:$S$7,0)),0)</f>
        <v>726</v>
      </c>
      <c r="G68" s="3" t="s">
        <v>73</v>
      </c>
      <c r="H68" s="128"/>
      <c r="I68" s="128" cm="1">
        <f t="array" ref="I68">IFERROR(INDEX('Detail inputs'!$B$3:$K$195,MATCH($B68&amp;$C68&amp;$E68&amp;$G68&amp;I$5,'Detail inputs'!$B$3:$B$195&amp;'Detail inputs'!$D$3:$D$195&amp;'Detail inputs'!$F$3:$F$195&amp;'Detail inputs'!$G$3:$G$195&amp;'Detail inputs'!$H$3:$H$195,0),MATCH(I$4,'Detail inputs'!$B$3:$K$3,0)),0)*SUM(I64:I67)</f>
        <v>0.99693000000000009</v>
      </c>
      <c r="J68" s="128">
        <f>IF(AND(H68="",I68=""),"",H68+I68*+Usage!I$37/1000)</f>
        <v>0.72377118000000007</v>
      </c>
      <c r="K68" s="144">
        <f>IFERROR(J68/J69,"")</f>
        <v>5.0324583543664821E-2</v>
      </c>
      <c r="L68" s="141"/>
      <c r="M68" s="144">
        <f t="shared" si="25"/>
        <v>-2.614532307631412E-2</v>
      </c>
      <c r="N68" s="141"/>
      <c r="O68" s="128"/>
      <c r="P68" s="128" cm="1">
        <f t="array" ref="P68">IFERROR(INDEX('Detail inputs'!$B$3:$K$195,MATCH($B68&amp;$C68&amp;$E68&amp;$G68&amp;P$5,'Detail inputs'!$B$3:$B$195&amp;'Detail inputs'!$D$3:$D$195&amp;'Detail inputs'!$F$3:$F$195&amp;'Detail inputs'!$G$3:$G$195&amp;'Detail inputs'!$H$3:$H$195,0),MATCH(P$4,'Detail inputs'!$B$3:$K$3,0)),0)*SUM(P64:P67)</f>
        <v>0.97086494306553039</v>
      </c>
      <c r="Q68" s="277">
        <f t="shared" si="24"/>
        <v>0.70484794866557499</v>
      </c>
      <c r="R68" s="144">
        <f>IFERROR(Q68/Q69,"")</f>
        <v>5.9868689979667024E-2</v>
      </c>
      <c r="S68" s="144"/>
      <c r="T68" s="377"/>
      <c r="U68" s="144"/>
      <c r="V68" s="144"/>
      <c r="W68" s="144"/>
      <c r="X68" s="144"/>
      <c r="Y68" s="144"/>
      <c r="Z68" s="144"/>
      <c r="AA68" s="144"/>
      <c r="AB68" s="144"/>
      <c r="AC68" s="144"/>
      <c r="AD68" s="144"/>
      <c r="AE68" s="144"/>
      <c r="AF68" s="144"/>
      <c r="AG68" s="144"/>
      <c r="AH68" s="144"/>
      <c r="AI68" s="144"/>
      <c r="AJ68" s="144"/>
    </row>
    <row r="69" spans="1:36" s="19" customFormat="1" x14ac:dyDescent="0.25">
      <c r="A69" s="3"/>
      <c r="B69" s="3" t="str">
        <f t="shared" si="21"/>
        <v>Endeavour</v>
      </c>
      <c r="C69" s="3" t="str">
        <f t="shared" si="22"/>
        <v>Residential</v>
      </c>
      <c r="D69" s="3" t="str">
        <f t="shared" si="23"/>
        <v>with CL</v>
      </c>
      <c r="E69" s="3" t="s">
        <v>15</v>
      </c>
      <c r="F69" s="131">
        <f t="array" ref="F69">IFERROR(INDEX(Usage!$B$5:$P$18,MATCH($B69,Usage!$B$5:$B$18,0),MATCH($C69&amp;$D69&amp;$E69,Usage!$B$5:$S$5&amp;Usage!$B$6:$S$6&amp;Usage!$B$7:$S$7,0)),0)</f>
        <v>726</v>
      </c>
      <c r="G69" s="5" t="s">
        <v>55</v>
      </c>
      <c r="H69" s="130">
        <f>SUM(H64:H68)</f>
        <v>0</v>
      </c>
      <c r="I69" s="130">
        <v>19.809999999999999</v>
      </c>
      <c r="J69" s="130">
        <f>IF(AND(H69="",I69=""),"",H69+I69*+Usage!I$37/1000)</f>
        <v>14.382059999999999</v>
      </c>
      <c r="K69" s="145"/>
      <c r="L69" s="150"/>
      <c r="M69" s="145">
        <f t="shared" si="25"/>
        <v>-0.18139463106877007</v>
      </c>
      <c r="N69" s="150"/>
      <c r="O69" s="130">
        <f>SUM(O64:O68)</f>
        <v>0</v>
      </c>
      <c r="P69" s="130">
        <f>SUM(P64:P68)</f>
        <v>16.216572358527664</v>
      </c>
      <c r="Q69" s="130">
        <f t="shared" si="24"/>
        <v>11.773231532291083</v>
      </c>
      <c r="R69" s="145"/>
      <c r="S69" s="145"/>
      <c r="T69" s="379"/>
      <c r="U69" s="145"/>
      <c r="V69" s="145"/>
      <c r="W69" s="145"/>
      <c r="X69" s="145"/>
      <c r="Y69" s="145"/>
      <c r="Z69" s="145"/>
      <c r="AA69" s="145"/>
      <c r="AB69" s="145"/>
      <c r="AC69" s="145"/>
      <c r="AD69" s="145"/>
      <c r="AE69" s="145"/>
      <c r="AF69" s="145"/>
      <c r="AG69" s="145"/>
      <c r="AH69" s="145"/>
      <c r="AI69" s="145"/>
      <c r="AJ69" s="145"/>
    </row>
    <row r="70" spans="1:36" s="19" customFormat="1" x14ac:dyDescent="0.25">
      <c r="A70" s="3"/>
      <c r="B70" s="3" t="str">
        <f t="shared" si="21"/>
        <v>Endeavour</v>
      </c>
      <c r="C70" s="3" t="str">
        <f t="shared" si="22"/>
        <v>Residential</v>
      </c>
      <c r="D70" s="3" t="str">
        <f t="shared" si="23"/>
        <v>with CL</v>
      </c>
      <c r="E70" s="3" t="s">
        <v>55</v>
      </c>
      <c r="F70" s="131">
        <f t="array" ref="F70">IFERROR(INDEX(Usage!$B$5:$P$18,MATCH($B70,Usage!$B$5:$B$18,0),MATCH($C70&amp;$D70&amp;$E70,Usage!$B$5:$S$5&amp;Usage!$B$6:$S$6&amp;Usage!$B$7:$S$7,0)),0)</f>
        <v>7400</v>
      </c>
      <c r="G70" s="5" t="s">
        <v>55</v>
      </c>
      <c r="H70" s="130"/>
      <c r="I70" s="130"/>
      <c r="J70" s="130">
        <f>J57+J63+J69</f>
        <v>146.59399999999999</v>
      </c>
      <c r="K70" s="145"/>
      <c r="L70" s="150"/>
      <c r="M70" s="145">
        <f t="shared" si="25"/>
        <v>-0.18139463106877007</v>
      </c>
      <c r="N70" s="150"/>
      <c r="O70" s="130"/>
      <c r="P70" s="130"/>
      <c r="Q70" s="130">
        <f>Q57+Q63+Q69</f>
        <v>120.00263545310472</v>
      </c>
      <c r="R70" s="145"/>
      <c r="S70" s="145"/>
      <c r="T70" s="379"/>
      <c r="U70" s="145"/>
      <c r="V70" s="145"/>
      <c r="W70" s="145"/>
      <c r="X70" s="145"/>
      <c r="Y70" s="145"/>
      <c r="Z70" s="145"/>
      <c r="AA70" s="145"/>
      <c r="AB70" s="145"/>
      <c r="AC70" s="145"/>
      <c r="AD70" s="145"/>
      <c r="AE70" s="145"/>
      <c r="AF70" s="145"/>
      <c r="AG70" s="145"/>
      <c r="AH70" s="145"/>
      <c r="AI70" s="145"/>
      <c r="AJ70" s="145"/>
    </row>
    <row r="71" spans="1:36" s="19" customFormat="1" x14ac:dyDescent="0.25">
      <c r="A71" s="3"/>
      <c r="B71" s="3" t="str">
        <f t="shared" ref="B71:D72" si="30">B70</f>
        <v>Endeavour</v>
      </c>
      <c r="C71" s="3" t="str">
        <f t="shared" si="30"/>
        <v>Residential</v>
      </c>
      <c r="D71" s="3" t="str">
        <f t="shared" si="30"/>
        <v>with CL</v>
      </c>
      <c r="E71" s="3"/>
      <c r="F71" s="131"/>
      <c r="G71" s="3" t="s">
        <v>38</v>
      </c>
      <c r="H71" s="128"/>
      <c r="I71" s="128"/>
      <c r="J71" s="128">
        <f>J70*GST</f>
        <v>14.6594</v>
      </c>
      <c r="K71" s="144"/>
      <c r="L71" s="149"/>
      <c r="M71" s="144"/>
      <c r="N71" s="149"/>
      <c r="O71" s="128"/>
      <c r="P71" s="128"/>
      <c r="Q71" s="277">
        <f>Q70*GST</f>
        <v>12.000263545310473</v>
      </c>
      <c r="R71" s="145"/>
      <c r="S71" s="145"/>
      <c r="T71" s="379"/>
      <c r="U71" s="145"/>
      <c r="V71" s="145"/>
      <c r="W71" s="145"/>
      <c r="X71" s="145"/>
      <c r="Y71" s="145"/>
      <c r="Z71" s="145"/>
      <c r="AA71" s="145"/>
      <c r="AB71" s="145"/>
      <c r="AC71" s="145"/>
      <c r="AD71" s="145"/>
      <c r="AE71" s="145"/>
      <c r="AF71" s="145"/>
      <c r="AG71" s="145"/>
      <c r="AH71" s="145"/>
      <c r="AI71" s="145"/>
      <c r="AJ71" s="145"/>
    </row>
    <row r="72" spans="1:36" s="19" customFormat="1" x14ac:dyDescent="0.25">
      <c r="A72" s="3"/>
      <c r="B72" s="3" t="str">
        <f t="shared" si="30"/>
        <v>Endeavour</v>
      </c>
      <c r="C72" s="3" t="str">
        <f t="shared" si="30"/>
        <v>Residential</v>
      </c>
      <c r="D72" s="3" t="str">
        <f t="shared" si="30"/>
        <v>with CL</v>
      </c>
      <c r="E72" s="3"/>
      <c r="F72" s="131"/>
      <c r="G72" s="5" t="s">
        <v>80</v>
      </c>
      <c r="H72" s="130"/>
      <c r="I72" s="130"/>
      <c r="J72" s="130">
        <f>SUM(J70:J71)</f>
        <v>161.2534</v>
      </c>
      <c r="K72" s="145"/>
      <c r="L72" s="150"/>
      <c r="M72" s="145">
        <f>IF(OR(J72=0,Q72=""),"",Q72/J72-1)</f>
        <v>-0.18139463106877007</v>
      </c>
      <c r="N72" s="150"/>
      <c r="O72" s="130"/>
      <c r="P72" s="130"/>
      <c r="Q72" s="130">
        <f>SUM(Q70:Q71)</f>
        <v>132.00289899841519</v>
      </c>
      <c r="R72" s="145"/>
      <c r="S72" s="145"/>
      <c r="T72" s="379"/>
      <c r="U72" s="145"/>
      <c r="V72" s="145"/>
      <c r="W72" s="145"/>
      <c r="X72" s="145"/>
      <c r="Y72" s="145"/>
      <c r="Z72" s="145"/>
      <c r="AA72" s="145"/>
      <c r="AB72" s="145"/>
      <c r="AC72" s="145"/>
      <c r="AD72" s="145"/>
      <c r="AE72" s="145"/>
      <c r="AF72" s="145"/>
      <c r="AG72" s="145"/>
      <c r="AH72" s="145"/>
      <c r="AI72" s="145"/>
      <c r="AJ72" s="145"/>
    </row>
    <row r="73" spans="1:36" s="19" customFormat="1" x14ac:dyDescent="0.25">
      <c r="A73" s="3"/>
      <c r="B73" s="3"/>
      <c r="C73" s="3"/>
      <c r="D73" s="3"/>
      <c r="E73" s="3"/>
      <c r="F73" s="131"/>
      <c r="G73" s="3"/>
      <c r="H73" s="128"/>
      <c r="I73" s="128"/>
      <c r="J73" s="128"/>
      <c r="K73" s="143"/>
      <c r="L73" s="149"/>
      <c r="M73" s="143"/>
      <c r="N73" s="149"/>
      <c r="O73" s="128"/>
      <c r="P73" s="128"/>
      <c r="Q73" s="277"/>
      <c r="R73" s="143"/>
      <c r="S73" s="143"/>
      <c r="T73" s="377"/>
      <c r="U73" s="143"/>
      <c r="V73" s="143"/>
      <c r="W73" s="143"/>
      <c r="X73" s="143"/>
      <c r="Y73" s="143"/>
      <c r="Z73" s="143"/>
      <c r="AA73" s="143"/>
      <c r="AB73" s="143"/>
      <c r="AC73" s="143"/>
      <c r="AD73" s="143"/>
      <c r="AE73" s="143"/>
      <c r="AF73" s="143"/>
      <c r="AG73" s="143"/>
      <c r="AH73" s="143"/>
      <c r="AI73" s="143"/>
      <c r="AJ73" s="143"/>
    </row>
    <row r="74" spans="1:36" s="19" customFormat="1" x14ac:dyDescent="0.25">
      <c r="A74" s="3"/>
      <c r="B74" s="5" t="s">
        <v>4</v>
      </c>
      <c r="C74" s="5" t="s">
        <v>13</v>
      </c>
      <c r="D74" s="5" t="s">
        <v>127</v>
      </c>
      <c r="E74" s="3"/>
      <c r="F74" s="131"/>
      <c r="G74" s="3"/>
      <c r="H74" s="128"/>
      <c r="I74" s="128"/>
      <c r="J74" s="128"/>
      <c r="K74" s="143"/>
      <c r="L74" s="149"/>
      <c r="M74" s="143"/>
      <c r="N74" s="149"/>
      <c r="O74" s="128"/>
      <c r="P74" s="128"/>
      <c r="Q74" s="277"/>
      <c r="R74" s="143"/>
      <c r="S74" s="143"/>
      <c r="T74" s="377"/>
      <c r="U74" s="143"/>
      <c r="V74" s="143"/>
      <c r="W74" s="143"/>
      <c r="X74" s="143"/>
      <c r="Y74" s="143"/>
      <c r="Z74" s="143"/>
      <c r="AA74" s="143"/>
      <c r="AB74" s="143"/>
      <c r="AC74" s="143"/>
      <c r="AD74" s="143"/>
      <c r="AE74" s="143"/>
      <c r="AF74" s="143"/>
      <c r="AG74" s="143"/>
      <c r="AH74" s="143"/>
      <c r="AI74" s="143"/>
      <c r="AJ74" s="143"/>
    </row>
    <row r="75" spans="1:36" s="19" customFormat="1" x14ac:dyDescent="0.25">
      <c r="A75" s="3"/>
      <c r="B75" s="3" t="str">
        <f t="shared" ref="B75:D82" si="31">B74</f>
        <v>Endeavour</v>
      </c>
      <c r="C75" s="3" t="str">
        <f t="shared" si="31"/>
        <v>Small business</v>
      </c>
      <c r="D75" s="3" t="str">
        <f t="shared" si="31"/>
        <v>without CL</v>
      </c>
      <c r="E75" s="3" t="s">
        <v>19</v>
      </c>
      <c r="F75" s="131">
        <f t="array" ref="F75">IFERROR(INDEX(Usage!$B$5:$P$18,MATCH($B75,Usage!$B$5:$B$18,0),MATCH($C75&amp;$D75&amp;$E75,Usage!$B$5:$S$5&amp;Usage!$B$6:$S$6&amp;Usage!$B$7:$S$7,0)),0)</f>
        <v>10000</v>
      </c>
      <c r="G75" s="3" t="s">
        <v>74</v>
      </c>
      <c r="H75" s="128"/>
      <c r="I75" s="128">
        <f t="array" ref="I75">IFERROR(INDEX('Detail inputs'!$B$3:$K$195,MATCH($B75&amp;$G75&amp;I$5,'Detail inputs'!$B$3:$B$195&amp;'Detail inputs'!$G$3:$G$195&amp;'Detail inputs'!$H$3:$H$195,0),MATCH(I$4,'Detail inputs'!$B$3:$K$3,0)),0)</f>
        <v>7.54</v>
      </c>
      <c r="J75" s="128">
        <f>IF(AND(H75="",I75=""),"",H75+I75*+Usage!M$37/1000)</f>
        <v>75.400000000000006</v>
      </c>
      <c r="K75" s="143">
        <f>IFERROR(J75/J80,"")</f>
        <v>0.38061585058051495</v>
      </c>
      <c r="L75" s="140"/>
      <c r="M75" s="143">
        <f t="shared" ref="M75:M80" si="32">IF(OR(J75=0,Q75=""),"",Q75/J75-1)</f>
        <v>-0.18872113387465661</v>
      </c>
      <c r="N75" s="140"/>
      <c r="O75" s="128"/>
      <c r="P75" s="128">
        <f t="array" ref="P75">IFERROR(INDEX('Detail inputs'!$B$3:$K$195,MATCH($B75&amp;$G75&amp;P$5,'Detail inputs'!$B$3:$B$195&amp;'Detail inputs'!$G$3:$G$195&amp;'Detail inputs'!$H$3:$H$195,0),MATCH(P$4,'Detail inputs'!$B$3:$K$3,0)),0)</f>
        <v>6.1170426505850894</v>
      </c>
      <c r="Q75" s="277">
        <f t="shared" ref="Q75:Q80" si="33">IF(AND(O75="",P75=""),"",O75+P75*$F75/1000)</f>
        <v>61.170426505850898</v>
      </c>
      <c r="R75" s="143">
        <f>IFERROR(Q75/Q80,"")</f>
        <v>0.37720934580656779</v>
      </c>
      <c r="S75" s="143"/>
      <c r="T75" s="378"/>
      <c r="U75" s="143"/>
      <c r="V75" s="143"/>
      <c r="W75" s="143"/>
      <c r="X75" s="143"/>
      <c r="Y75" s="143"/>
      <c r="Z75" s="143"/>
      <c r="AA75" s="143"/>
      <c r="AB75" s="143"/>
      <c r="AC75" s="143"/>
      <c r="AD75" s="143"/>
      <c r="AE75" s="143"/>
      <c r="AF75" s="143"/>
      <c r="AG75" s="143"/>
      <c r="AH75" s="143"/>
      <c r="AI75" s="143"/>
      <c r="AJ75" s="143"/>
    </row>
    <row r="76" spans="1:36" s="19" customFormat="1" x14ac:dyDescent="0.25">
      <c r="A76" s="3"/>
      <c r="B76" s="3" t="str">
        <f t="shared" si="31"/>
        <v>Endeavour</v>
      </c>
      <c r="C76" s="3" t="str">
        <f t="shared" si="31"/>
        <v>Small business</v>
      </c>
      <c r="D76" s="3" t="str">
        <f t="shared" si="31"/>
        <v>without CL</v>
      </c>
      <c r="E76" s="3" t="s">
        <v>19</v>
      </c>
      <c r="F76" s="131">
        <f t="array" ref="F76">IFERROR(INDEX(Usage!$B$5:$P$18,MATCH($B76,Usage!$B$5:$B$18,0),MATCH($C76&amp;$D76&amp;$E76,Usage!$B$5:$S$5&amp;Usage!$B$6:$S$6&amp;Usage!$B$7:$S$7,0)),0)</f>
        <v>10000</v>
      </c>
      <c r="G76" s="3" t="s">
        <v>75</v>
      </c>
      <c r="H76" s="128"/>
      <c r="I76" s="128">
        <f t="array" ref="I76">IFERROR(INDEX('Detail inputs'!$B$3:$K$195,MATCH($B76&amp;$G76&amp;I$5,'Detail inputs'!$B$3:$B$195&amp;'Detail inputs'!$G$3:$G$195&amp;'Detail inputs'!$H$3:$H$195,0),MATCH(I$4,'Detail inputs'!$B$3:$K$3,0)),0)</f>
        <v>7.85</v>
      </c>
      <c r="J76" s="128">
        <f>IF(AND(H76="",I76=""),"",H76+I76*+Usage!M$37/1000)</f>
        <v>78.5</v>
      </c>
      <c r="K76" s="143">
        <f>IFERROR(J76/J80,"")</f>
        <v>0.39626451287228676</v>
      </c>
      <c r="L76" s="140"/>
      <c r="M76" s="143">
        <f t="shared" si="32"/>
        <v>-0.3457324840764332</v>
      </c>
      <c r="N76" s="140"/>
      <c r="O76" s="128"/>
      <c r="P76" s="128">
        <f t="array" ref="P76">IFERROR(INDEX('Detail inputs'!$B$3:$K$195,MATCH($B76&amp;$G76&amp;P$5,'Detail inputs'!$B$3:$B$195&amp;'Detail inputs'!$G$3:$G$195&amp;'Detail inputs'!$H$3:$H$195,0),MATCH(P$4,'Detail inputs'!$B$3:$K$3,0)),0)</f>
        <v>5.1359999999999992</v>
      </c>
      <c r="Q76" s="277">
        <f t="shared" si="33"/>
        <v>51.359999999999992</v>
      </c>
      <c r="R76" s="143">
        <f>IFERROR(Q76/Q80,"")</f>
        <v>0.31671304431353381</v>
      </c>
      <c r="S76" s="143"/>
      <c r="T76" s="377"/>
      <c r="U76" s="143"/>
      <c r="V76" s="143"/>
      <c r="W76" s="143"/>
      <c r="X76" s="143"/>
      <c r="Y76" s="143"/>
      <c r="Z76" s="143"/>
      <c r="AA76" s="143"/>
      <c r="AB76" s="143"/>
      <c r="AC76" s="143"/>
      <c r="AD76" s="143"/>
      <c r="AE76" s="143"/>
      <c r="AF76" s="143"/>
      <c r="AG76" s="143"/>
      <c r="AH76" s="143"/>
      <c r="AI76" s="143"/>
      <c r="AJ76" s="143"/>
    </row>
    <row r="77" spans="1:36" s="19" customFormat="1" x14ac:dyDescent="0.25">
      <c r="A77" s="3"/>
      <c r="B77" s="3" t="str">
        <f t="shared" si="31"/>
        <v>Endeavour</v>
      </c>
      <c r="C77" s="3" t="str">
        <f t="shared" si="31"/>
        <v>Small business</v>
      </c>
      <c r="D77" s="3" t="str">
        <f t="shared" si="31"/>
        <v>without CL</v>
      </c>
      <c r="E77" s="3" t="s">
        <v>19</v>
      </c>
      <c r="F77" s="131">
        <f t="array" ref="F77">IFERROR(INDEX(Usage!$B$5:$P$18,MATCH($B77,Usage!$B$5:$B$18,0),MATCH($C77&amp;$D77&amp;$E77,Usage!$B$5:$S$5&amp;Usage!$B$6:$S$6&amp;Usage!$B$7:$S$7,0)),0)</f>
        <v>10000</v>
      </c>
      <c r="G77" s="3" t="s">
        <v>76</v>
      </c>
      <c r="H77" s="128"/>
      <c r="I77" s="128">
        <f t="array" ref="I77">IFERROR(INDEX('Detail inputs'!$B$3:$K$195,MATCH($B77&amp;$G77&amp;I$5,'Detail inputs'!$B$3:$B$195&amp;'Detail inputs'!$G$3:$G$195&amp;'Detail inputs'!$H$3:$H$195,0),MATCH(I$4,'Detail inputs'!$B$3:$K$3,0)),0)</f>
        <v>2.71</v>
      </c>
      <c r="J77" s="128">
        <f>IF(AND(H77="",I77=""),"",H77+I77*+Usage!M$37/1000)</f>
        <v>27.1</v>
      </c>
      <c r="K77" s="143">
        <f>IFERROR(J77/J80,"")</f>
        <v>0.13679959616355378</v>
      </c>
      <c r="L77" s="140"/>
      <c r="M77" s="143">
        <f t="shared" si="32"/>
        <v>-0.21431027168673578</v>
      </c>
      <c r="N77" s="140"/>
      <c r="O77" s="128"/>
      <c r="P77" s="128">
        <f t="array" ref="P77">IFERROR(INDEX('Detail inputs'!$B$3:$K$195,MATCH($B77&amp;$G77&amp;P$5,'Detail inputs'!$B$3:$B$195&amp;'Detail inputs'!$G$3:$G$195&amp;'Detail inputs'!$H$3:$H$195,0),MATCH(P$4,'Detail inputs'!$B$3:$K$3,0)),0)</f>
        <v>2.1292191637289464</v>
      </c>
      <c r="Q77" s="277">
        <f t="shared" si="33"/>
        <v>21.292191637289463</v>
      </c>
      <c r="R77" s="143">
        <f>IFERROR(Q77/Q80,"")</f>
        <v>0.13129896482774753</v>
      </c>
      <c r="S77" s="143"/>
      <c r="T77" s="377"/>
      <c r="U77" s="143"/>
      <c r="V77" s="143"/>
      <c r="W77" s="143"/>
      <c r="X77" s="143"/>
      <c r="Y77" s="143"/>
      <c r="Z77" s="143"/>
      <c r="AA77" s="143"/>
      <c r="AB77" s="143"/>
      <c r="AC77" s="143"/>
      <c r="AD77" s="143"/>
      <c r="AE77" s="143"/>
      <c r="AF77" s="143"/>
      <c r="AG77" s="143"/>
      <c r="AH77" s="143"/>
      <c r="AI77" s="143"/>
      <c r="AJ77" s="143"/>
    </row>
    <row r="78" spans="1:36" s="19" customFormat="1" x14ac:dyDescent="0.25">
      <c r="A78" s="3"/>
      <c r="B78" s="3" t="str">
        <f t="shared" si="31"/>
        <v>Endeavour</v>
      </c>
      <c r="C78" s="3" t="str">
        <f t="shared" si="31"/>
        <v>Small business</v>
      </c>
      <c r="D78" s="3" t="str">
        <f t="shared" si="31"/>
        <v>without CL</v>
      </c>
      <c r="E78" s="3" t="s">
        <v>19</v>
      </c>
      <c r="F78" s="131">
        <f t="array" ref="F78">IFERROR(INDEX(Usage!$B$5:$P$18,MATCH($B78,Usage!$B$5:$B$18,0),MATCH($C78&amp;$D78&amp;$E78,Usage!$B$5:$S$5&amp;Usage!$B$6:$S$6&amp;Usage!$B$7:$S$7,0)),0)</f>
        <v>10000</v>
      </c>
      <c r="G78" s="3" t="s">
        <v>164</v>
      </c>
      <c r="H78" s="128"/>
      <c r="I78" s="128">
        <f t="array" ref="I78">IFERROR(INDEX('Detail inputs'!$B$3:$K$195,MATCH($B78&amp;$G78&amp;I$5,'Detail inputs'!$B$3:$B$195&amp;'Detail inputs'!$G$3:$G$195&amp;'Detail inputs'!$H$3:$H$195,0),MATCH(I$4,'Detail inputs'!$B$3:$K$3,0)),0)</f>
        <v>0.71</v>
      </c>
      <c r="J78" s="128">
        <f>IF(AND(H78="",I78=""),"",H78+I78*+Usage!M$37/1000)</f>
        <v>7.1</v>
      </c>
      <c r="K78" s="143">
        <f>IFERROR(J78/J80,"")</f>
        <v>3.5840484603735484E-2</v>
      </c>
      <c r="L78" s="140"/>
      <c r="M78" s="143">
        <f t="shared" si="32"/>
        <v>1.6245712692226713</v>
      </c>
      <c r="N78" s="140"/>
      <c r="O78" s="128"/>
      <c r="P78" s="128">
        <f t="array" ref="P78">IFERROR(INDEX('Detail inputs'!$B$3:$K$195,MATCH($B78&amp;$G78&amp;P$5,'Detail inputs'!$B$3:$B$195&amp;'Detail inputs'!$G$3:$G$195&amp;'Detail inputs'!$H$3:$H$195,0),MATCH(P$4,'Detail inputs'!$B$3:$K$3,0)),0)</f>
        <v>1.8634456011480964</v>
      </c>
      <c r="Q78" s="277">
        <f t="shared" si="33"/>
        <v>18.634456011480964</v>
      </c>
      <c r="R78" s="143">
        <f>IFERROR(Q78/Q80,"")</f>
        <v>0.1149099550724838</v>
      </c>
      <c r="S78" s="143"/>
      <c r="T78" s="377"/>
      <c r="U78" s="143"/>
      <c r="V78" s="143"/>
      <c r="W78" s="143"/>
      <c r="X78" s="143"/>
      <c r="Y78" s="143"/>
      <c r="Z78" s="143"/>
      <c r="AA78" s="143"/>
      <c r="AB78" s="143"/>
      <c r="AC78" s="143"/>
      <c r="AD78" s="143"/>
      <c r="AE78" s="143"/>
      <c r="AF78" s="143"/>
      <c r="AG78" s="143"/>
      <c r="AH78" s="143"/>
      <c r="AI78" s="143"/>
      <c r="AJ78" s="143"/>
    </row>
    <row r="79" spans="1:36" s="19" customFormat="1" x14ac:dyDescent="0.25">
      <c r="A79" s="3"/>
      <c r="B79" s="3" t="str">
        <f t="shared" si="31"/>
        <v>Endeavour</v>
      </c>
      <c r="C79" s="3" t="str">
        <f t="shared" si="31"/>
        <v>Small business</v>
      </c>
      <c r="D79" s="3" t="str">
        <f t="shared" si="31"/>
        <v>without CL</v>
      </c>
      <c r="E79" s="3" t="s">
        <v>19</v>
      </c>
      <c r="F79" s="131">
        <f t="array" ref="F79">IFERROR(INDEX(Usage!$B$5:$P$18,MATCH($B79,Usage!$B$5:$B$18,0),MATCH($C79&amp;$D79&amp;$E79,Usage!$B$5:$S$5&amp;Usage!$B$6:$S$6&amp;Usage!$B$7:$S$7,0)),0)</f>
        <v>10000</v>
      </c>
      <c r="G79" s="3" t="s">
        <v>73</v>
      </c>
      <c r="H79" s="128"/>
      <c r="I79" s="128" cm="1">
        <f t="array" ref="I79">IFERROR(INDEX('Detail inputs'!$B$3:$K$195,MATCH($B79&amp;$C79&amp;$E79&amp;$G79&amp;I$5,'Detail inputs'!$B$3:$B$195&amp;'Detail inputs'!$D$3:$D$195&amp;'Detail inputs'!$F$3:$F$195&amp;'Detail inputs'!$G$3:$G$195&amp;'Detail inputs'!$H$3:$H$195,0),MATCH(I$4,'Detail inputs'!$B$3:$K$3,0)),0)*SUM(I75:I78)</f>
        <v>0.99693000000000009</v>
      </c>
      <c r="J79" s="128">
        <f>IF(AND(H79="",I79=""),"",H79+I79*+Usage!M$37/1000)</f>
        <v>9.9693000000000005</v>
      </c>
      <c r="K79" s="143">
        <f>IFERROR(J79/J80,"")</f>
        <v>5.0324583543664821E-2</v>
      </c>
      <c r="L79" s="140"/>
      <c r="M79" s="143">
        <f t="shared" si="32"/>
        <v>-2.6145323076314009E-2</v>
      </c>
      <c r="N79" s="140"/>
      <c r="O79" s="128"/>
      <c r="P79" s="128" cm="1">
        <f t="array" ref="P79">IFERROR(INDEX('Detail inputs'!$B$3:$K$195,MATCH($B79&amp;$C79&amp;$E79&amp;$G79&amp;P$5,'Detail inputs'!$B$3:$B$195&amp;'Detail inputs'!$D$3:$D$195&amp;'Detail inputs'!$F$3:$F$195&amp;'Detail inputs'!$G$3:$G$195&amp;'Detail inputs'!$H$3:$H$195,0),MATCH(P$4,'Detail inputs'!$B$3:$K$3,0)),0)*SUM(P75:P78)</f>
        <v>0.97086494306553039</v>
      </c>
      <c r="Q79" s="277">
        <f t="shared" si="33"/>
        <v>9.7086494306553028</v>
      </c>
      <c r="R79" s="143">
        <f>IFERROR(Q79/Q80,"")</f>
        <v>5.9868689979667024E-2</v>
      </c>
      <c r="S79" s="143"/>
      <c r="T79" s="377"/>
      <c r="U79" s="143"/>
      <c r="V79" s="143"/>
      <c r="W79" s="143"/>
      <c r="X79" s="143"/>
      <c r="Y79" s="143"/>
      <c r="Z79" s="143"/>
      <c r="AA79" s="143"/>
      <c r="AB79" s="143"/>
      <c r="AC79" s="143"/>
      <c r="AD79" s="143"/>
      <c r="AE79" s="143"/>
      <c r="AF79" s="143"/>
      <c r="AG79" s="143"/>
      <c r="AH79" s="143"/>
      <c r="AI79" s="143"/>
      <c r="AJ79" s="143"/>
    </row>
    <row r="80" spans="1:36" s="19" customFormat="1" x14ac:dyDescent="0.25">
      <c r="A80" s="3"/>
      <c r="B80" s="3" t="str">
        <f t="shared" si="31"/>
        <v>Endeavour</v>
      </c>
      <c r="C80" s="3" t="str">
        <f t="shared" si="31"/>
        <v>Small business</v>
      </c>
      <c r="D80" s="3" t="str">
        <f t="shared" si="31"/>
        <v>without CL</v>
      </c>
      <c r="E80" s="3" t="s">
        <v>19</v>
      </c>
      <c r="F80" s="131">
        <f t="array" ref="F80">IFERROR(INDEX(Usage!$B$5:$P$18,MATCH($B80,Usage!$B$5:$B$18,0),MATCH($C80&amp;$D80&amp;$E80,Usage!$B$5:$S$5&amp;Usage!$B$6:$S$6&amp;Usage!$B$7:$S$7,0)),0)</f>
        <v>10000</v>
      </c>
      <c r="G80" s="5" t="s">
        <v>55</v>
      </c>
      <c r="H80" s="130">
        <f>SUM(H75:H79)</f>
        <v>0</v>
      </c>
      <c r="I80" s="130">
        <v>19.809999999999999</v>
      </c>
      <c r="J80" s="130">
        <f>IF(AND(H80="",I80=""),"",H80+I80*+Usage!M$37/1000)</f>
        <v>198.1</v>
      </c>
      <c r="K80" s="145"/>
      <c r="L80" s="150"/>
      <c r="M80" s="145">
        <f t="shared" si="32"/>
        <v>-0.18139463106877018</v>
      </c>
      <c r="N80" s="150"/>
      <c r="O80" s="130">
        <f>SUM(O75:O79)</f>
        <v>0</v>
      </c>
      <c r="P80" s="130">
        <f>SUM(P75:P79)</f>
        <v>16.216572358527664</v>
      </c>
      <c r="Q80" s="130">
        <f t="shared" si="33"/>
        <v>162.16572358527662</v>
      </c>
      <c r="R80" s="145"/>
      <c r="S80" s="145"/>
      <c r="T80" s="379"/>
      <c r="U80" s="145"/>
      <c r="V80" s="145"/>
      <c r="W80" s="145"/>
      <c r="X80" s="145"/>
      <c r="Y80" s="145"/>
      <c r="Z80" s="145"/>
      <c r="AA80" s="145"/>
      <c r="AB80" s="145"/>
      <c r="AC80" s="145"/>
      <c r="AD80" s="145"/>
      <c r="AE80" s="145"/>
      <c r="AF80" s="145"/>
      <c r="AG80" s="145"/>
      <c r="AH80" s="145"/>
      <c r="AI80" s="145"/>
      <c r="AJ80" s="145"/>
    </row>
    <row r="81" spans="1:36" s="19" customFormat="1" x14ac:dyDescent="0.25">
      <c r="A81" s="3"/>
      <c r="B81" s="3" t="str">
        <f t="shared" si="31"/>
        <v>Endeavour</v>
      </c>
      <c r="C81" s="3" t="str">
        <f t="shared" si="31"/>
        <v>Small business</v>
      </c>
      <c r="D81" s="3" t="str">
        <f t="shared" si="31"/>
        <v>without CL</v>
      </c>
      <c r="E81" s="3"/>
      <c r="F81" s="131"/>
      <c r="G81" s="3" t="s">
        <v>38</v>
      </c>
      <c r="H81" s="128"/>
      <c r="I81" s="128"/>
      <c r="J81" s="128">
        <f>J80*GST</f>
        <v>19.810000000000002</v>
      </c>
      <c r="K81" s="144"/>
      <c r="L81" s="149"/>
      <c r="M81" s="144"/>
      <c r="N81" s="149"/>
      <c r="O81" s="128"/>
      <c r="P81" s="128"/>
      <c r="Q81" s="277">
        <f>Q80*GST</f>
        <v>16.216572358527664</v>
      </c>
      <c r="R81" s="145"/>
      <c r="S81" s="145"/>
      <c r="T81" s="379"/>
      <c r="U81" s="145"/>
      <c r="V81" s="145"/>
      <c r="W81" s="145"/>
      <c r="X81" s="145"/>
      <c r="Y81" s="145"/>
      <c r="Z81" s="145"/>
      <c r="AA81" s="145"/>
      <c r="AB81" s="145"/>
      <c r="AC81" s="145"/>
      <c r="AD81" s="145"/>
      <c r="AE81" s="145"/>
      <c r="AF81" s="145"/>
      <c r="AG81" s="145"/>
      <c r="AH81" s="145"/>
      <c r="AI81" s="145"/>
      <c r="AJ81" s="145"/>
    </row>
    <row r="82" spans="1:36" s="19" customFormat="1" x14ac:dyDescent="0.25">
      <c r="A82" s="3"/>
      <c r="B82" s="3" t="str">
        <f t="shared" si="31"/>
        <v>Endeavour</v>
      </c>
      <c r="C82" s="3" t="str">
        <f t="shared" si="31"/>
        <v>Small business</v>
      </c>
      <c r="D82" s="3" t="str">
        <f t="shared" si="31"/>
        <v>without CL</v>
      </c>
      <c r="E82" s="3"/>
      <c r="F82" s="131"/>
      <c r="G82" s="5" t="s">
        <v>80</v>
      </c>
      <c r="H82" s="130"/>
      <c r="I82" s="130"/>
      <c r="J82" s="130">
        <f>SUM(J80:J81)</f>
        <v>217.91</v>
      </c>
      <c r="K82" s="145"/>
      <c r="L82" s="150"/>
      <c r="M82" s="145">
        <f>IF(OR(J82=0,Q82=""),"",Q82/J82-1)</f>
        <v>-0.18139463106877018</v>
      </c>
      <c r="N82" s="150"/>
      <c r="O82" s="130"/>
      <c r="P82" s="130"/>
      <c r="Q82" s="130">
        <f>SUM(Q80:Q81)</f>
        <v>178.38229594380428</v>
      </c>
      <c r="R82" s="145"/>
      <c r="S82" s="145"/>
      <c r="T82" s="379"/>
      <c r="U82" s="145"/>
      <c r="V82" s="145"/>
      <c r="W82" s="145"/>
      <c r="X82" s="145"/>
      <c r="Y82" s="145"/>
      <c r="Z82" s="145"/>
      <c r="AA82" s="145"/>
      <c r="AB82" s="145"/>
      <c r="AC82" s="145"/>
      <c r="AD82" s="145"/>
      <c r="AE82" s="145"/>
      <c r="AF82" s="145"/>
      <c r="AG82" s="145"/>
      <c r="AH82" s="145"/>
      <c r="AI82" s="145"/>
      <c r="AJ82" s="145"/>
    </row>
    <row r="83" spans="1:36" s="19" customFormat="1" x14ac:dyDescent="0.25">
      <c r="A83" s="3"/>
      <c r="B83" s="3"/>
      <c r="C83" s="3"/>
      <c r="D83" s="3"/>
      <c r="E83" s="3"/>
      <c r="F83" s="131"/>
      <c r="G83" s="3"/>
      <c r="H83" s="128"/>
      <c r="I83" s="128"/>
      <c r="J83" s="128"/>
      <c r="K83" s="143"/>
      <c r="L83" s="149"/>
      <c r="M83" s="143"/>
      <c r="N83" s="149"/>
      <c r="O83" s="128"/>
      <c r="P83" s="128"/>
      <c r="Q83" s="277"/>
      <c r="R83" s="143"/>
      <c r="S83" s="143"/>
      <c r="T83" s="377"/>
      <c r="U83" s="143"/>
      <c r="V83" s="143"/>
      <c r="W83" s="143"/>
      <c r="X83" s="143"/>
      <c r="Y83" s="143"/>
      <c r="Z83" s="143"/>
      <c r="AA83" s="143"/>
      <c r="AB83" s="143"/>
      <c r="AC83" s="143"/>
      <c r="AD83" s="143"/>
      <c r="AE83" s="143"/>
      <c r="AF83" s="143"/>
      <c r="AG83" s="143"/>
      <c r="AH83" s="143"/>
      <c r="AI83" s="143"/>
      <c r="AJ83" s="143"/>
    </row>
    <row r="84" spans="1:36" s="19" customFormat="1" x14ac:dyDescent="0.25">
      <c r="A84" s="3"/>
      <c r="B84" s="5" t="s">
        <v>3</v>
      </c>
      <c r="C84" s="5" t="s">
        <v>6</v>
      </c>
      <c r="D84" s="5" t="s">
        <v>127</v>
      </c>
      <c r="E84" s="3"/>
      <c r="F84" s="131"/>
      <c r="G84" s="3"/>
      <c r="H84" s="128"/>
      <c r="I84" s="128"/>
      <c r="J84" s="128"/>
      <c r="K84" s="143"/>
      <c r="L84" s="149"/>
      <c r="M84" s="143"/>
      <c r="N84" s="149"/>
      <c r="O84" s="128"/>
      <c r="P84" s="128"/>
      <c r="Q84" s="277"/>
      <c r="R84" s="143"/>
      <c r="S84" s="143"/>
      <c r="T84" s="377"/>
      <c r="U84" s="143"/>
      <c r="V84" s="143"/>
      <c r="W84" s="143"/>
      <c r="X84" s="143"/>
      <c r="Y84" s="143"/>
      <c r="Z84" s="143"/>
      <c r="AA84" s="143"/>
      <c r="AB84" s="143"/>
      <c r="AC84" s="143"/>
      <c r="AD84" s="143"/>
      <c r="AE84" s="143"/>
      <c r="AF84" s="143"/>
      <c r="AG84" s="143"/>
      <c r="AH84" s="143"/>
      <c r="AI84" s="143"/>
      <c r="AJ84" s="143"/>
    </row>
    <row r="85" spans="1:36" s="19" customFormat="1" x14ac:dyDescent="0.25">
      <c r="A85" s="3"/>
      <c r="B85" s="3" t="str">
        <f t="shared" ref="B85:D92" si="34">B84</f>
        <v>Essential</v>
      </c>
      <c r="C85" s="3" t="str">
        <f t="shared" si="34"/>
        <v>Residential</v>
      </c>
      <c r="D85" s="3" t="str">
        <f t="shared" si="34"/>
        <v>without CL</v>
      </c>
      <c r="E85" s="3" t="s">
        <v>19</v>
      </c>
      <c r="F85" s="131">
        <f t="array" ref="F85">IFERROR(INDEX(Usage!$B$5:$P$18,MATCH($B85,Usage!$B$5:$B$18,0),MATCH($C85&amp;$D85&amp;$E85&amp;"Total",Usage!$B$5:$S$5&amp;Usage!$B$6:$S$6&amp;Usage!$B$7:$S$7&amp;Usage!$B$13:$S$13,0)),0)</f>
        <v>4600</v>
      </c>
      <c r="G85" s="3" t="s">
        <v>74</v>
      </c>
      <c r="H85" s="128"/>
      <c r="I85" s="128">
        <f t="array" ref="I85">IFERROR(INDEX('Detail inputs'!$B$3:$K$195,MATCH($B85&amp;$G85&amp;I$5,'Detail inputs'!$B$3:$B$195&amp;'Detail inputs'!$G$3:$G$195&amp;'Detail inputs'!$H$3:$H$195,0),MATCH(I$4,'Detail inputs'!$B$3:$K$3,0)),0)</f>
        <v>7.54</v>
      </c>
      <c r="J85" s="128">
        <f>IF(AND(H85="",I85=""),"",H85+I85*+Usage!C$39/1000)</f>
        <v>34.683999999999997</v>
      </c>
      <c r="K85" s="143">
        <f>IFERROR(J85/J90,"")</f>
        <v>0.38986556359875901</v>
      </c>
      <c r="L85" s="140"/>
      <c r="M85" s="143">
        <f t="shared" ref="M85:M90" si="35">IF(OR(J85=0,Q85=""),"",Q85/J85-1)</f>
        <v>-0.1887211338746565</v>
      </c>
      <c r="N85" s="140"/>
      <c r="O85" s="128"/>
      <c r="P85" s="128">
        <f t="array" ref="P85">IFERROR(INDEX('Detail inputs'!$B$3:$K$195,MATCH($B85&amp;$G85&amp;P$5,'Detail inputs'!$B$3:$B$195&amp;'Detail inputs'!$G$3:$G$195&amp;'Detail inputs'!$H$3:$H$195,0),MATCH(P$4,'Detail inputs'!$B$3:$K$3,0)),0)</f>
        <v>6.1170426505850894</v>
      </c>
      <c r="Q85" s="277">
        <f t="shared" ref="Q85:Q90" si="36">IF(AND(O85="",P85=""),"",O85+P85*$F85/1000)</f>
        <v>28.138396192691413</v>
      </c>
      <c r="R85" s="143">
        <f>IFERROR(Q85/Q90,"")</f>
        <v>0.3860805643521843</v>
      </c>
      <c r="S85" s="143"/>
      <c r="T85" s="378"/>
      <c r="U85" s="143"/>
      <c r="V85" s="143"/>
      <c r="W85" s="143"/>
      <c r="X85" s="143"/>
      <c r="Y85" s="143"/>
      <c r="Z85" s="143"/>
      <c r="AA85" s="143"/>
      <c r="AB85" s="143"/>
      <c r="AC85" s="143"/>
      <c r="AD85" s="143"/>
      <c r="AE85" s="143"/>
      <c r="AF85" s="143"/>
      <c r="AG85" s="143"/>
      <c r="AH85" s="143"/>
      <c r="AI85" s="143"/>
      <c r="AJ85" s="143"/>
    </row>
    <row r="86" spans="1:36" s="19" customFormat="1" x14ac:dyDescent="0.25">
      <c r="A86" s="3"/>
      <c r="B86" s="3" t="str">
        <f t="shared" si="34"/>
        <v>Essential</v>
      </c>
      <c r="C86" s="3" t="str">
        <f t="shared" si="34"/>
        <v>Residential</v>
      </c>
      <c r="D86" s="3" t="str">
        <f t="shared" si="34"/>
        <v>without CL</v>
      </c>
      <c r="E86" s="3" t="s">
        <v>19</v>
      </c>
      <c r="F86" s="131">
        <f t="array" ref="F86">IFERROR(INDEX(Usage!$B$5:$P$18,MATCH($B86,Usage!$B$5:$B$18,0),MATCH($C86&amp;$D86&amp;$E86&amp;"Total",Usage!$B$5:$S$5&amp;Usage!$B$6:$S$6&amp;Usage!$B$7:$S$7&amp;Usage!$B$13:$S$13,0)),0)</f>
        <v>4600</v>
      </c>
      <c r="G86" s="3" t="s">
        <v>75</v>
      </c>
      <c r="H86" s="128"/>
      <c r="I86" s="128">
        <f t="array" ref="I86">IFERROR(INDEX('Detail inputs'!$B$3:$K$195,MATCH($B86&amp;$G86&amp;I$5,'Detail inputs'!$B$3:$B$195&amp;'Detail inputs'!$G$3:$G$195&amp;'Detail inputs'!$H$3:$H$195,0),MATCH(I$4,'Detail inputs'!$B$3:$K$3,0)),0)</f>
        <v>7.85</v>
      </c>
      <c r="J86" s="128">
        <f>IF(AND(H86="",I86=""),"",H86+I86*+Usage!C$39/1000)</f>
        <v>36.11</v>
      </c>
      <c r="K86" s="143">
        <f>IFERROR(J86/J90,"")</f>
        <v>0.40589451913133401</v>
      </c>
      <c r="L86" s="140"/>
      <c r="M86" s="143">
        <f t="shared" si="35"/>
        <v>-0.3457324840764332</v>
      </c>
      <c r="N86" s="140"/>
      <c r="O86" s="128"/>
      <c r="P86" s="128">
        <f t="array" ref="P86">IFERROR(INDEX('Detail inputs'!$B$3:$K$195,MATCH($B86&amp;$G86&amp;P$5,'Detail inputs'!$B$3:$B$195&amp;'Detail inputs'!$G$3:$G$195&amp;'Detail inputs'!$H$3:$H$195,0),MATCH(P$4,'Detail inputs'!$B$3:$K$3,0)),0)</f>
        <v>5.1359999999999992</v>
      </c>
      <c r="Q86" s="277">
        <f t="shared" si="36"/>
        <v>23.625599999999995</v>
      </c>
      <c r="R86" s="143">
        <f>IFERROR(Q86/Q90,"")</f>
        <v>0.32416150937302268</v>
      </c>
      <c r="S86" s="143"/>
      <c r="T86" s="377"/>
      <c r="U86" s="143"/>
      <c r="V86" s="143"/>
      <c r="W86" s="143"/>
      <c r="X86" s="143"/>
      <c r="Y86" s="143"/>
      <c r="Z86" s="143"/>
      <c r="AA86" s="143"/>
      <c r="AB86" s="143"/>
      <c r="AC86" s="143"/>
      <c r="AD86" s="143"/>
      <c r="AE86" s="143"/>
      <c r="AF86" s="143"/>
      <c r="AG86" s="143"/>
      <c r="AH86" s="143"/>
      <c r="AI86" s="143"/>
      <c r="AJ86" s="143"/>
    </row>
    <row r="87" spans="1:36" s="19" customFormat="1" x14ac:dyDescent="0.25">
      <c r="A87" s="3"/>
      <c r="B87" s="3" t="str">
        <f t="shared" si="34"/>
        <v>Essential</v>
      </c>
      <c r="C87" s="3" t="str">
        <f t="shared" si="34"/>
        <v>Residential</v>
      </c>
      <c r="D87" s="3" t="str">
        <f t="shared" si="34"/>
        <v>without CL</v>
      </c>
      <c r="E87" s="3" t="s">
        <v>19</v>
      </c>
      <c r="F87" s="131">
        <f t="array" ref="F87">IFERROR(INDEX(Usage!$B$5:$P$18,MATCH($B87,Usage!$B$5:$B$18,0),MATCH($C87&amp;$D87&amp;$E87&amp;"Total",Usage!$B$5:$S$5&amp;Usage!$B$6:$S$6&amp;Usage!$B$7:$S$7&amp;Usage!$B$13:$S$13,0)),0)</f>
        <v>4600</v>
      </c>
      <c r="G87" s="3" t="s">
        <v>76</v>
      </c>
      <c r="H87" s="128"/>
      <c r="I87" s="128">
        <f t="array" ref="I87">IFERROR(INDEX('Detail inputs'!$B$3:$K$195,MATCH($B87&amp;$G87&amp;I$5,'Detail inputs'!$B$3:$B$195&amp;'Detail inputs'!$G$3:$G$195&amp;'Detail inputs'!$H$3:$H$195,0),MATCH(I$4,'Detail inputs'!$B$3:$K$3,0)),0)</f>
        <v>2.71</v>
      </c>
      <c r="J87" s="128">
        <f>IF(AND(H87="",I87=""),"",H87+I87*+Usage!C$39/1000)</f>
        <v>12.465999999999999</v>
      </c>
      <c r="K87" s="143">
        <f>IFERROR(J87/J90,"")</f>
        <v>0.14012409513960702</v>
      </c>
      <c r="L87" s="140"/>
      <c r="M87" s="143">
        <f t="shared" si="35"/>
        <v>-0.21431027168673566</v>
      </c>
      <c r="N87" s="140"/>
      <c r="O87" s="128"/>
      <c r="P87" s="128">
        <f t="array" ref="P87">IFERROR(INDEX('Detail inputs'!$B$3:$K$195,MATCH($B87&amp;$G87&amp;P$5,'Detail inputs'!$B$3:$B$195&amp;'Detail inputs'!$G$3:$G$195&amp;'Detail inputs'!$H$3:$H$195,0),MATCH(P$4,'Detail inputs'!$B$3:$K$3,0)),0)</f>
        <v>2.1292191637289464</v>
      </c>
      <c r="Q87" s="277">
        <f t="shared" si="36"/>
        <v>9.7944081531531531</v>
      </c>
      <c r="R87" s="143">
        <f>IFERROR(Q87/Q90,"")</f>
        <v>0.1343868570678233</v>
      </c>
      <c r="S87" s="143"/>
      <c r="T87" s="377"/>
      <c r="U87" s="143"/>
      <c r="V87" s="143"/>
      <c r="W87" s="143"/>
      <c r="X87" s="143"/>
      <c r="Y87" s="143"/>
      <c r="Z87" s="143"/>
      <c r="AA87" s="143"/>
      <c r="AB87" s="143"/>
      <c r="AC87" s="143"/>
      <c r="AD87" s="143"/>
      <c r="AE87" s="143"/>
      <c r="AF87" s="143"/>
      <c r="AG87" s="143"/>
      <c r="AH87" s="143"/>
      <c r="AI87" s="143"/>
      <c r="AJ87" s="143"/>
    </row>
    <row r="88" spans="1:36" s="19" customFormat="1" x14ac:dyDescent="0.25">
      <c r="A88" s="3"/>
      <c r="B88" s="3" t="str">
        <f t="shared" si="34"/>
        <v>Essential</v>
      </c>
      <c r="C88" s="3" t="str">
        <f t="shared" si="34"/>
        <v>Residential</v>
      </c>
      <c r="D88" s="3" t="str">
        <f t="shared" si="34"/>
        <v>without CL</v>
      </c>
      <c r="E88" s="3" t="s">
        <v>19</v>
      </c>
      <c r="F88" s="131">
        <f t="array" ref="F88">IFERROR(INDEX(Usage!$B$5:$P$18,MATCH($B88,Usage!$B$5:$B$18,0),MATCH($C88&amp;$D88&amp;$E88&amp;"Total",Usage!$B$5:$S$5&amp;Usage!$B$6:$S$6&amp;Usage!$B$7:$S$7&amp;Usage!$B$13:$S$13,0)),0)</f>
        <v>4600</v>
      </c>
      <c r="G88" s="3" t="s">
        <v>164</v>
      </c>
      <c r="H88" s="128"/>
      <c r="I88" s="128">
        <f t="array" ref="I88">IFERROR(INDEX('Detail inputs'!$B$3:$K$195,MATCH($B88&amp;$G88&amp;I$5,'Detail inputs'!$B$3:$B$195&amp;'Detail inputs'!$G$3:$G$195&amp;'Detail inputs'!$H$3:$H$195,0),MATCH(I$4,'Detail inputs'!$B$3:$K$3,0)),0)</f>
        <v>0.71</v>
      </c>
      <c r="J88" s="128">
        <f>IF(AND(H88="",I88=""),"",H88+I88*+Usage!C$39/1000)</f>
        <v>3.266</v>
      </c>
      <c r="K88" s="143">
        <f>IFERROR(J88/J90,"")</f>
        <v>3.6711478800413651E-2</v>
      </c>
      <c r="L88" s="140"/>
      <c r="M88" s="143">
        <f t="shared" si="35"/>
        <v>1.6245712692226708</v>
      </c>
      <c r="N88" s="140"/>
      <c r="O88" s="128"/>
      <c r="P88" s="128">
        <f t="array" ref="P88">IFERROR(INDEX('Detail inputs'!$B$3:$K$195,MATCH($B88&amp;$G88&amp;P$5,'Detail inputs'!$B$3:$B$195&amp;'Detail inputs'!$G$3:$G$195&amp;'Detail inputs'!$H$3:$H$195,0),MATCH(P$4,'Detail inputs'!$B$3:$K$3,0)),0)</f>
        <v>1.8634456011480964</v>
      </c>
      <c r="Q88" s="277">
        <f t="shared" si="36"/>
        <v>8.5718497652812431</v>
      </c>
      <c r="R88" s="143">
        <f>IFERROR(Q88/Q90,"")</f>
        <v>0.1176124101835449</v>
      </c>
      <c r="S88" s="143"/>
      <c r="T88" s="377"/>
      <c r="U88" s="143"/>
      <c r="V88" s="143"/>
      <c r="W88" s="143"/>
      <c r="X88" s="143"/>
      <c r="Y88" s="143"/>
      <c r="Z88" s="143"/>
      <c r="AA88" s="143"/>
      <c r="AB88" s="143"/>
      <c r="AC88" s="143"/>
      <c r="AD88" s="143"/>
      <c r="AE88" s="143"/>
      <c r="AF88" s="143"/>
      <c r="AG88" s="143"/>
      <c r="AH88" s="143"/>
      <c r="AI88" s="143"/>
      <c r="AJ88" s="143"/>
    </row>
    <row r="89" spans="1:36" s="19" customFormat="1" x14ac:dyDescent="0.25">
      <c r="A89" s="3"/>
      <c r="B89" s="3" t="str">
        <f t="shared" si="34"/>
        <v>Essential</v>
      </c>
      <c r="C89" s="3" t="str">
        <f t="shared" si="34"/>
        <v>Residential</v>
      </c>
      <c r="D89" s="3" t="str">
        <f t="shared" si="34"/>
        <v>without CL</v>
      </c>
      <c r="E89" s="3" t="s">
        <v>19</v>
      </c>
      <c r="F89" s="131">
        <f t="array" ref="F89">IFERROR(INDEX(Usage!$B$5:$P$18,MATCH($B89,Usage!$B$5:$B$18,0),MATCH($C89&amp;$D89&amp;$E89&amp;"Total",Usage!$B$5:$S$5&amp;Usage!$B$6:$S$6&amp;Usage!$B$7:$S$7&amp;Usage!$B$13:$S$13,0)),0)</f>
        <v>4600</v>
      </c>
      <c r="G89" s="3" t="s">
        <v>73</v>
      </c>
      <c r="H89" s="128"/>
      <c r="I89" s="128" cm="1">
        <f t="array" ref="I89">IFERROR(INDEX('Detail inputs'!$B$3:$K$195,MATCH($B89&amp;$C89&amp;$E89&amp;$G89&amp;I$5,'Detail inputs'!$B$3:$B$195&amp;'Detail inputs'!$D$3:$D$195&amp;'Detail inputs'!$F$3:$F$195&amp;'Detail inputs'!$G$3:$G$195&amp;'Detail inputs'!$H$3:$H$195,0),MATCH(I$4,'Detail inputs'!$B$3:$K$3,0)),0)*SUM(I85:I88)</f>
        <v>0.52668000000000004</v>
      </c>
      <c r="J89" s="128">
        <f>IF(AND(H89="",I89=""),"",H89+I89*+Usage!C$39/1000)</f>
        <v>2.4227280000000002</v>
      </c>
      <c r="K89" s="143">
        <f>IFERROR(J89/J90,"")</f>
        <v>2.7232678386763187E-2</v>
      </c>
      <c r="L89" s="140"/>
      <c r="M89" s="143">
        <f t="shared" si="35"/>
        <v>0.13588222763576518</v>
      </c>
      <c r="N89" s="140"/>
      <c r="O89" s="128"/>
      <c r="P89" s="128" cm="1">
        <f t="array" ref="P89">IFERROR(INDEX('Detail inputs'!$B$3:$K$195,MATCH($B89&amp;$C89&amp;$E89&amp;$G89&amp;P$5,'Detail inputs'!$B$3:$B$195&amp;'Detail inputs'!$D$3:$D$195&amp;'Detail inputs'!$F$3:$F$195&amp;'Detail inputs'!$G$3:$G$195&amp;'Detail inputs'!$H$3:$H$195,0),MATCH(P$4,'Detail inputs'!$B$3:$K$3,0)),0)*SUM(P85:P88)</f>
        <v>0.59824645165120494</v>
      </c>
      <c r="Q89" s="277">
        <f t="shared" si="36"/>
        <v>2.7519336775955425</v>
      </c>
      <c r="R89" s="143">
        <f>IFERROR(Q89/Q90,"")</f>
        <v>3.7758659023424776E-2</v>
      </c>
      <c r="S89" s="143"/>
      <c r="T89" s="377"/>
      <c r="U89" s="143"/>
      <c r="V89" s="143"/>
      <c r="W89" s="143"/>
      <c r="X89" s="143"/>
      <c r="Y89" s="143"/>
      <c r="Z89" s="143"/>
      <c r="AA89" s="143"/>
      <c r="AB89" s="143"/>
      <c r="AC89" s="143"/>
      <c r="AD89" s="143"/>
      <c r="AE89" s="143"/>
      <c r="AF89" s="143"/>
      <c r="AG89" s="143"/>
      <c r="AH89" s="143"/>
      <c r="AI89" s="143"/>
      <c r="AJ89" s="143"/>
    </row>
    <row r="90" spans="1:36" s="19" customFormat="1" x14ac:dyDescent="0.25">
      <c r="A90" s="3"/>
      <c r="B90" s="3" t="str">
        <f t="shared" si="34"/>
        <v>Essential</v>
      </c>
      <c r="C90" s="3" t="str">
        <f t="shared" si="34"/>
        <v>Residential</v>
      </c>
      <c r="D90" s="3" t="str">
        <f t="shared" si="34"/>
        <v>without CL</v>
      </c>
      <c r="E90" s="3" t="s">
        <v>19</v>
      </c>
      <c r="F90" s="131">
        <f t="array" ref="F90">IFERROR(INDEX(Usage!$B$5:$P$18,MATCH($B90,Usage!$B$5:$B$18,0),MATCH($C90&amp;$D90&amp;$E90&amp;"Total",Usage!$B$5:$S$5&amp;Usage!$B$6:$S$6&amp;Usage!$B$7:$S$7&amp;Usage!$B$13:$S$13,0)),0)</f>
        <v>4600</v>
      </c>
      <c r="G90" s="5" t="s">
        <v>55</v>
      </c>
      <c r="H90" s="130">
        <f>SUM(H85:H89)</f>
        <v>0</v>
      </c>
      <c r="I90" s="130">
        <v>19.34</v>
      </c>
      <c r="J90" s="130">
        <f>IF(AND(H90="",I90=""),"",H90+I90*+Usage!C$39/1000)</f>
        <v>88.963999999999999</v>
      </c>
      <c r="K90" s="145"/>
      <c r="L90" s="150"/>
      <c r="M90" s="145">
        <f t="shared" si="35"/>
        <v>-0.1807676387221645</v>
      </c>
      <c r="N90" s="150"/>
      <c r="O90" s="130">
        <f>SUM(O85:O89)</f>
        <v>0</v>
      </c>
      <c r="P90" s="130">
        <f>SUM(P85:P89)</f>
        <v>15.843953867113337</v>
      </c>
      <c r="Q90" s="130">
        <f t="shared" si="36"/>
        <v>72.882187788721353</v>
      </c>
      <c r="R90" s="144"/>
      <c r="S90" s="144"/>
      <c r="T90" s="377"/>
      <c r="U90" s="144"/>
      <c r="V90" s="144"/>
      <c r="W90" s="144"/>
      <c r="X90" s="144"/>
      <c r="Y90" s="144"/>
      <c r="Z90" s="144"/>
      <c r="AA90" s="144"/>
      <c r="AB90" s="144"/>
      <c r="AC90" s="144"/>
      <c r="AD90" s="144"/>
      <c r="AE90" s="144"/>
      <c r="AF90" s="144"/>
      <c r="AG90" s="144"/>
      <c r="AH90" s="144"/>
      <c r="AI90" s="144"/>
      <c r="AJ90" s="144"/>
    </row>
    <row r="91" spans="1:36" s="19" customFormat="1" x14ac:dyDescent="0.25">
      <c r="A91" s="3"/>
      <c r="B91" s="3" t="str">
        <f t="shared" si="34"/>
        <v>Essential</v>
      </c>
      <c r="C91" s="3" t="str">
        <f t="shared" si="34"/>
        <v>Residential</v>
      </c>
      <c r="D91" s="3" t="str">
        <f t="shared" si="34"/>
        <v>without CL</v>
      </c>
      <c r="E91" s="3"/>
      <c r="F91" s="131"/>
      <c r="G91" s="3" t="s">
        <v>38</v>
      </c>
      <c r="H91" s="128"/>
      <c r="I91" s="128"/>
      <c r="J91" s="128">
        <f>J90*GST</f>
        <v>8.8963999999999999</v>
      </c>
      <c r="K91" s="144"/>
      <c r="L91" s="149"/>
      <c r="M91" s="144"/>
      <c r="N91" s="149"/>
      <c r="O91" s="128"/>
      <c r="P91" s="128"/>
      <c r="Q91" s="277">
        <f>Q90*GST</f>
        <v>7.2882187788721353</v>
      </c>
      <c r="R91" s="145"/>
      <c r="S91" s="145"/>
      <c r="T91" s="379"/>
      <c r="U91" s="145"/>
      <c r="V91" s="145"/>
      <c r="W91" s="145"/>
      <c r="X91" s="145"/>
      <c r="Y91" s="145"/>
      <c r="Z91" s="145"/>
      <c r="AA91" s="145"/>
      <c r="AB91" s="145"/>
      <c r="AC91" s="145"/>
      <c r="AD91" s="145"/>
      <c r="AE91" s="145"/>
      <c r="AF91" s="145"/>
      <c r="AG91" s="145"/>
      <c r="AH91" s="145"/>
      <c r="AI91" s="145"/>
      <c r="AJ91" s="145"/>
    </row>
    <row r="92" spans="1:36" s="19" customFormat="1" x14ac:dyDescent="0.25">
      <c r="A92" s="3"/>
      <c r="B92" s="3" t="str">
        <f t="shared" si="34"/>
        <v>Essential</v>
      </c>
      <c r="C92" s="3" t="str">
        <f t="shared" si="34"/>
        <v>Residential</v>
      </c>
      <c r="D92" s="3" t="str">
        <f t="shared" si="34"/>
        <v>without CL</v>
      </c>
      <c r="E92" s="3"/>
      <c r="F92" s="131"/>
      <c r="G92" s="5" t="s">
        <v>80</v>
      </c>
      <c r="H92" s="130"/>
      <c r="I92" s="130"/>
      <c r="J92" s="130">
        <f>SUM(J90:J91)</f>
        <v>97.860399999999998</v>
      </c>
      <c r="K92" s="145"/>
      <c r="L92" s="150"/>
      <c r="M92" s="145">
        <f>IF(OR(J92=0,Q92=""),"",Q92/J92-1)</f>
        <v>-0.1807676387221645</v>
      </c>
      <c r="N92" s="150"/>
      <c r="O92" s="130"/>
      <c r="P92" s="130"/>
      <c r="Q92" s="130">
        <f>SUM(Q90:Q91)</f>
        <v>80.170406567593488</v>
      </c>
      <c r="R92" s="145"/>
      <c r="S92" s="145"/>
      <c r="T92" s="379"/>
      <c r="U92" s="145"/>
      <c r="V92" s="145"/>
      <c r="W92" s="145"/>
      <c r="X92" s="145"/>
      <c r="Y92" s="145"/>
      <c r="Z92" s="145"/>
      <c r="AA92" s="145"/>
      <c r="AB92" s="145"/>
      <c r="AC92" s="145"/>
      <c r="AD92" s="145"/>
      <c r="AE92" s="145"/>
      <c r="AF92" s="145"/>
      <c r="AG92" s="145"/>
      <c r="AH92" s="145"/>
      <c r="AI92" s="145"/>
      <c r="AJ92" s="145"/>
    </row>
    <row r="93" spans="1:36" s="19" customFormat="1" x14ac:dyDescent="0.25">
      <c r="A93" s="3"/>
      <c r="B93" s="3"/>
      <c r="C93" s="3"/>
      <c r="D93" s="3"/>
      <c r="E93" s="3"/>
      <c r="F93" s="131"/>
      <c r="G93" s="3"/>
      <c r="H93" s="128"/>
      <c r="I93" s="128"/>
      <c r="J93" s="128"/>
      <c r="K93" s="143"/>
      <c r="L93" s="149"/>
      <c r="M93" s="143"/>
      <c r="N93" s="149"/>
      <c r="O93" s="128"/>
      <c r="P93" s="128"/>
      <c r="Q93" s="277"/>
      <c r="R93" s="143"/>
      <c r="S93" s="143"/>
      <c r="T93" s="377"/>
      <c r="U93" s="143"/>
      <c r="V93" s="143"/>
      <c r="W93" s="143"/>
      <c r="X93" s="143"/>
      <c r="Y93" s="143"/>
      <c r="Z93" s="143"/>
      <c r="AA93" s="143"/>
      <c r="AB93" s="143"/>
      <c r="AC93" s="143"/>
      <c r="AD93" s="143"/>
      <c r="AE93" s="143"/>
      <c r="AF93" s="143"/>
      <c r="AG93" s="143"/>
      <c r="AH93" s="143"/>
      <c r="AI93" s="143"/>
      <c r="AJ93" s="143"/>
    </row>
    <row r="94" spans="1:36" s="19" customFormat="1" x14ac:dyDescent="0.25">
      <c r="A94" s="3"/>
      <c r="B94" s="5" t="s">
        <v>3</v>
      </c>
      <c r="C94" s="5" t="s">
        <v>6</v>
      </c>
      <c r="D94" s="5" t="s">
        <v>128</v>
      </c>
      <c r="E94" s="3"/>
      <c r="F94" s="131"/>
      <c r="G94" s="3"/>
      <c r="H94" s="128"/>
      <c r="I94" s="128"/>
      <c r="J94" s="128"/>
      <c r="K94" s="143"/>
      <c r="L94" s="149"/>
      <c r="M94" s="143"/>
      <c r="N94" s="149"/>
      <c r="O94" s="128"/>
      <c r="P94" s="128"/>
      <c r="Q94" s="277"/>
      <c r="R94" s="143"/>
      <c r="S94" s="143"/>
      <c r="T94" s="377"/>
      <c r="U94" s="143"/>
      <c r="V94" s="143"/>
      <c r="W94" s="143"/>
      <c r="X94" s="143"/>
      <c r="Y94" s="143"/>
      <c r="Z94" s="143"/>
      <c r="AA94" s="143"/>
      <c r="AB94" s="143"/>
      <c r="AC94" s="143"/>
      <c r="AD94" s="143"/>
      <c r="AE94" s="143"/>
      <c r="AF94" s="143"/>
      <c r="AG94" s="143"/>
      <c r="AH94" s="143"/>
      <c r="AI94" s="143"/>
      <c r="AJ94" s="143"/>
    </row>
    <row r="95" spans="1:36" s="19" customFormat="1" x14ac:dyDescent="0.25">
      <c r="A95" s="3"/>
      <c r="B95" s="3" t="str">
        <f t="shared" ref="B95:B108" si="37">B94</f>
        <v>Essential</v>
      </c>
      <c r="C95" s="3" t="str">
        <f t="shared" ref="C95:C108" si="38">C94</f>
        <v>Residential</v>
      </c>
      <c r="D95" s="3" t="str">
        <f t="shared" ref="D95:D108" si="39">D94</f>
        <v>with CL</v>
      </c>
      <c r="E95" s="3" t="s">
        <v>19</v>
      </c>
      <c r="F95" s="131">
        <f t="array" ref="F95">IFERROR(INDEX(Usage!$B$5:$P$18,MATCH($B95,Usage!$B$5:$B$18,0),MATCH($C95&amp;$D95&amp;$E95&amp;"Total",Usage!$B$5:$S$5&amp;Usage!$B$6:$S$6&amp;Usage!$B$7:$S$7&amp;Usage!$B$13:$S$13,0)),0)</f>
        <v>4600</v>
      </c>
      <c r="G95" s="5" t="s">
        <v>55</v>
      </c>
      <c r="H95" s="130">
        <f>H90</f>
        <v>0</v>
      </c>
      <c r="I95" s="130">
        <v>19.34</v>
      </c>
      <c r="J95" s="130">
        <f>IF(AND(H95="",I95=""),"",H95+I95*+Usage!E39/1000)</f>
        <v>88.963999999999999</v>
      </c>
      <c r="K95" s="145"/>
      <c r="L95" s="150"/>
      <c r="M95" s="145">
        <f>IF(OR(J95=0,Q95=""),"",Q95/J95-1)</f>
        <v>-0.1807676387221645</v>
      </c>
      <c r="N95" s="150"/>
      <c r="O95" s="130">
        <f>O90</f>
        <v>0</v>
      </c>
      <c r="P95" s="130">
        <f>P90</f>
        <v>15.843953867113337</v>
      </c>
      <c r="Q95" s="130">
        <f t="shared" ref="Q95:Q107" si="40">IF(AND(O95="",P95=""),"",O95+P95*$F95/1000)</f>
        <v>72.882187788721353</v>
      </c>
      <c r="R95" s="143"/>
      <c r="S95" s="143"/>
      <c r="T95" s="377"/>
      <c r="U95" s="143"/>
      <c r="V95" s="143"/>
      <c r="W95" s="143"/>
      <c r="X95" s="143"/>
      <c r="Y95" s="143"/>
      <c r="Z95" s="143"/>
      <c r="AA95" s="143"/>
      <c r="AB95" s="143"/>
      <c r="AC95" s="143"/>
      <c r="AD95" s="143"/>
      <c r="AE95" s="143"/>
      <c r="AF95" s="143"/>
      <c r="AG95" s="143"/>
      <c r="AH95" s="143"/>
      <c r="AI95" s="143"/>
      <c r="AJ95" s="143"/>
    </row>
    <row r="96" spans="1:36" s="19" customFormat="1" x14ac:dyDescent="0.25">
      <c r="A96" s="3"/>
      <c r="B96" s="3" t="str">
        <f t="shared" si="37"/>
        <v>Essential</v>
      </c>
      <c r="C96" s="3" t="str">
        <f t="shared" si="38"/>
        <v>Residential</v>
      </c>
      <c r="D96" s="3" t="str">
        <f t="shared" si="39"/>
        <v>with CL</v>
      </c>
      <c r="E96" s="3" t="s">
        <v>14</v>
      </c>
      <c r="F96" s="131">
        <f t="array" ref="F96">IFERROR(INDEX(Usage!$B$5:$P$18,MATCH($B96,Usage!$B$5:$B$18,0),MATCH($C96&amp;$D96&amp;$E96,Usage!$B$5:$S$5&amp;Usage!$B$6:$S$6&amp;Usage!$B$7:$S$7,0)),0)</f>
        <v>1540</v>
      </c>
      <c r="G96" s="3" t="s">
        <v>74</v>
      </c>
      <c r="H96" s="128"/>
      <c r="I96" s="128">
        <f t="array" ref="I96">IFERROR(INDEX('Detail inputs'!$B$3:$K$195,MATCH($B96&amp;$G96&amp;I$5,'Detail inputs'!$B$3:$B$195&amp;'Detail inputs'!$G$3:$G$195&amp;'Detail inputs'!$H$3:$H$195,0),MATCH(I$4,'Detail inputs'!$B$3:$K$3,0)),0)</f>
        <v>7.54</v>
      </c>
      <c r="J96" s="128">
        <f>IF(AND(H96="",I96=""),"",H96+I96*+Usage!H$39/1000)</f>
        <v>11.611600000000001</v>
      </c>
      <c r="K96" s="143">
        <f>IFERROR(J96/J101,"")</f>
        <v>0.38986556359875907</v>
      </c>
      <c r="L96" s="140"/>
      <c r="M96" s="143">
        <f t="shared" ref="M96:M108" si="41">IF(OR(J96=0,Q96=""),"",Q96/J96-1)</f>
        <v>-0.18872113387465661</v>
      </c>
      <c r="N96" s="140"/>
      <c r="O96" s="128"/>
      <c r="P96" s="128">
        <f t="array" ref="P96">IFERROR(INDEX('Detail inputs'!$B$3:$K$195,MATCH($B96&amp;$G96&amp;P$5,'Detail inputs'!$B$3:$B$195&amp;'Detail inputs'!$G$3:$G$195&amp;'Detail inputs'!$H$3:$H$195,0),MATCH(P$4,'Detail inputs'!$B$3:$K$3,0)),0)</f>
        <v>6.1170426505850894</v>
      </c>
      <c r="Q96" s="277">
        <f t="shared" si="40"/>
        <v>9.4202456819010383</v>
      </c>
      <c r="R96" s="143">
        <f>IFERROR(Q96/Q101,"")</f>
        <v>0.3860805643521843</v>
      </c>
      <c r="S96" s="143"/>
      <c r="T96" s="378"/>
      <c r="U96" s="143"/>
      <c r="V96" s="143"/>
      <c r="W96" s="143"/>
      <c r="X96" s="143"/>
      <c r="Y96" s="143"/>
      <c r="Z96" s="143"/>
      <c r="AA96" s="143"/>
      <c r="AB96" s="143"/>
      <c r="AC96" s="143"/>
      <c r="AD96" s="143"/>
      <c r="AE96" s="143"/>
      <c r="AF96" s="143"/>
      <c r="AG96" s="143"/>
      <c r="AH96" s="143"/>
      <c r="AI96" s="143"/>
      <c r="AJ96" s="143"/>
    </row>
    <row r="97" spans="1:36" s="19" customFormat="1" x14ac:dyDescent="0.25">
      <c r="A97" s="3"/>
      <c r="B97" s="3" t="str">
        <f t="shared" si="37"/>
        <v>Essential</v>
      </c>
      <c r="C97" s="3" t="str">
        <f t="shared" si="38"/>
        <v>Residential</v>
      </c>
      <c r="D97" s="3" t="str">
        <f t="shared" si="39"/>
        <v>with CL</v>
      </c>
      <c r="E97" s="3" t="s">
        <v>14</v>
      </c>
      <c r="F97" s="131">
        <f t="array" ref="F97">IFERROR(INDEX(Usage!$B$5:$P$18,MATCH($B97,Usage!$B$5:$B$18,0),MATCH($C97&amp;$D97&amp;$E97,Usage!$B$5:$S$5&amp;Usage!$B$6:$S$6&amp;Usage!$B$7:$S$7,0)),0)</f>
        <v>1540</v>
      </c>
      <c r="G97" s="3" t="s">
        <v>75</v>
      </c>
      <c r="H97" s="128"/>
      <c r="I97" s="128">
        <f t="array" ref="I97">IFERROR(INDEX('Detail inputs'!$B$3:$K$195,MATCH($B97&amp;$G97&amp;I$5,'Detail inputs'!$B$3:$B$195&amp;'Detail inputs'!$G$3:$G$195&amp;'Detail inputs'!$H$3:$H$195,0),MATCH(I$4,'Detail inputs'!$B$3:$K$3,0)),0)</f>
        <v>7.85</v>
      </c>
      <c r="J97" s="128">
        <f>IF(AND(H97="",I97=""),"",H97+I97*+Usage!H$39/1000)</f>
        <v>12.089</v>
      </c>
      <c r="K97" s="143">
        <f>IFERROR(J97/J101,"")</f>
        <v>0.40589451913133406</v>
      </c>
      <c r="L97" s="140"/>
      <c r="M97" s="143">
        <f t="shared" si="41"/>
        <v>-0.34573248407643331</v>
      </c>
      <c r="N97" s="140"/>
      <c r="O97" s="128"/>
      <c r="P97" s="128">
        <f t="array" ref="P97">IFERROR(INDEX('Detail inputs'!$B$3:$K$195,MATCH($B97&amp;$G97&amp;P$5,'Detail inputs'!$B$3:$B$195&amp;'Detail inputs'!$G$3:$G$195&amp;'Detail inputs'!$H$3:$H$195,0),MATCH(P$4,'Detail inputs'!$B$3:$K$3,0)),0)</f>
        <v>5.1359999999999992</v>
      </c>
      <c r="Q97" s="277">
        <f t="shared" si="40"/>
        <v>7.9094399999999982</v>
      </c>
      <c r="R97" s="143">
        <f>IFERROR(Q97/Q101,"")</f>
        <v>0.32416150937302268</v>
      </c>
      <c r="S97" s="143"/>
      <c r="T97" s="377"/>
      <c r="U97" s="143"/>
      <c r="V97" s="143"/>
      <c r="W97" s="143"/>
      <c r="X97" s="143"/>
      <c r="Y97" s="143"/>
      <c r="Z97" s="143"/>
      <c r="AA97" s="143"/>
      <c r="AB97" s="143"/>
      <c r="AC97" s="143"/>
      <c r="AD97" s="143"/>
      <c r="AE97" s="143"/>
      <c r="AF97" s="143"/>
      <c r="AG97" s="143"/>
      <c r="AH97" s="143"/>
      <c r="AI97" s="143"/>
      <c r="AJ97" s="143"/>
    </row>
    <row r="98" spans="1:36" s="19" customFormat="1" x14ac:dyDescent="0.25">
      <c r="A98" s="3"/>
      <c r="B98" s="3" t="str">
        <f t="shared" si="37"/>
        <v>Essential</v>
      </c>
      <c r="C98" s="3" t="str">
        <f t="shared" si="38"/>
        <v>Residential</v>
      </c>
      <c r="D98" s="3" t="str">
        <f t="shared" si="39"/>
        <v>with CL</v>
      </c>
      <c r="E98" s="3" t="s">
        <v>14</v>
      </c>
      <c r="F98" s="131">
        <f t="array" ref="F98">IFERROR(INDEX(Usage!$B$5:$P$18,MATCH($B98,Usage!$B$5:$B$18,0),MATCH($C98&amp;$D98&amp;$E98,Usage!$B$5:$S$5&amp;Usage!$B$6:$S$6&amp;Usage!$B$7:$S$7,0)),0)</f>
        <v>1540</v>
      </c>
      <c r="G98" s="3" t="s">
        <v>76</v>
      </c>
      <c r="H98" s="128"/>
      <c r="I98" s="128">
        <f t="array" ref="I98">IFERROR(INDEX('Detail inputs'!$B$3:$K$195,MATCH($B98&amp;$G98&amp;I$5,'Detail inputs'!$B$3:$B$195&amp;'Detail inputs'!$G$3:$G$195&amp;'Detail inputs'!$H$3:$H$195,0),MATCH(I$4,'Detail inputs'!$B$3:$K$3,0)),0)</f>
        <v>2.71</v>
      </c>
      <c r="J98" s="128">
        <f>IF(AND(H98="",I98=""),"",H98+I98*+Usage!H$39/1000)</f>
        <v>4.1734</v>
      </c>
      <c r="K98" s="143">
        <f>IFERROR(J98/J101,"")</f>
        <v>0.14012409513960702</v>
      </c>
      <c r="L98" s="140"/>
      <c r="M98" s="143">
        <f t="shared" si="41"/>
        <v>-0.21431027168673566</v>
      </c>
      <c r="N98" s="140"/>
      <c r="O98" s="128"/>
      <c r="P98" s="128">
        <f t="array" ref="P98">IFERROR(INDEX('Detail inputs'!$B$3:$K$195,MATCH($B98&amp;$G98&amp;P$5,'Detail inputs'!$B$3:$B$195&amp;'Detail inputs'!$G$3:$G$195&amp;'Detail inputs'!$H$3:$H$195,0),MATCH(P$4,'Detail inputs'!$B$3:$K$3,0)),0)</f>
        <v>2.1292191637289464</v>
      </c>
      <c r="Q98" s="277">
        <f t="shared" si="40"/>
        <v>3.2789975121425772</v>
      </c>
      <c r="R98" s="143">
        <f>IFERROR(Q98/Q101,"")</f>
        <v>0.1343868570678233</v>
      </c>
      <c r="S98" s="143"/>
      <c r="T98" s="377"/>
      <c r="U98" s="143"/>
      <c r="V98" s="143"/>
      <c r="W98" s="143"/>
      <c r="X98" s="143"/>
      <c r="Y98" s="143"/>
      <c r="Z98" s="143"/>
      <c r="AA98" s="143"/>
      <c r="AB98" s="143"/>
      <c r="AC98" s="143"/>
      <c r="AD98" s="143"/>
      <c r="AE98" s="143"/>
      <c r="AF98" s="143"/>
      <c r="AG98" s="143"/>
      <c r="AH98" s="143"/>
      <c r="AI98" s="143"/>
      <c r="AJ98" s="143"/>
    </row>
    <row r="99" spans="1:36" s="19" customFormat="1" x14ac:dyDescent="0.25">
      <c r="A99" s="3"/>
      <c r="B99" s="3" t="str">
        <f t="shared" si="37"/>
        <v>Essential</v>
      </c>
      <c r="C99" s="3" t="str">
        <f t="shared" si="38"/>
        <v>Residential</v>
      </c>
      <c r="D99" s="3" t="str">
        <f t="shared" si="39"/>
        <v>with CL</v>
      </c>
      <c r="E99" s="3" t="s">
        <v>14</v>
      </c>
      <c r="F99" s="131">
        <f t="array" ref="F99">IFERROR(INDEX(Usage!$B$5:$P$18,MATCH($B99,Usage!$B$5:$B$18,0),MATCH($C99&amp;$D99&amp;$E99,Usage!$B$5:$S$5&amp;Usage!$B$6:$S$6&amp;Usage!$B$7:$S$7,0)),0)</f>
        <v>1540</v>
      </c>
      <c r="G99" s="3" t="s">
        <v>164</v>
      </c>
      <c r="H99" s="128"/>
      <c r="I99" s="128">
        <f t="array" ref="I99">IFERROR(INDEX('Detail inputs'!$B$3:$K$195,MATCH($B99&amp;$G99&amp;I$5,'Detail inputs'!$B$3:$B$195&amp;'Detail inputs'!$G$3:$G$195&amp;'Detail inputs'!$H$3:$H$195,0),MATCH(I$4,'Detail inputs'!$B$3:$K$3,0)),0)</f>
        <v>0.71</v>
      </c>
      <c r="J99" s="128">
        <f>IF(AND(H99="",I99=""),"",H99+I99*+Usage!H$39/1000)</f>
        <v>1.0933999999999999</v>
      </c>
      <c r="K99" s="143">
        <f>IFERROR(J99/J101,"")</f>
        <v>3.6711478800413651E-2</v>
      </c>
      <c r="L99" s="140"/>
      <c r="M99" s="143">
        <f t="shared" ref="M99" si="42">IF(OR(J99=0,Q99=""),"",Q99/J99-1)</f>
        <v>1.6245712692226713</v>
      </c>
      <c r="N99" s="140"/>
      <c r="O99" s="128"/>
      <c r="P99" s="128">
        <f t="array" ref="P99">IFERROR(INDEX('Detail inputs'!$B$3:$K$195,MATCH($B99&amp;$G99&amp;P$5,'Detail inputs'!$B$3:$B$195&amp;'Detail inputs'!$G$3:$G$195&amp;'Detail inputs'!$H$3:$H$195,0),MATCH(P$4,'Detail inputs'!$B$3:$K$3,0)),0)</f>
        <v>1.8634456011480964</v>
      </c>
      <c r="Q99" s="277">
        <f t="shared" ref="Q99" si="43">IF(AND(O99="",P99=""),"",O99+P99*$F99/1000)</f>
        <v>2.8697062257680686</v>
      </c>
      <c r="R99" s="143">
        <f>IFERROR(Q99/Q101,"")</f>
        <v>0.11761241018354492</v>
      </c>
      <c r="S99" s="143"/>
      <c r="T99" s="377"/>
      <c r="U99" s="143"/>
      <c r="V99" s="143"/>
      <c r="W99" s="143"/>
      <c r="X99" s="143"/>
      <c r="Y99" s="143"/>
      <c r="Z99" s="143"/>
      <c r="AA99" s="143"/>
      <c r="AB99" s="143"/>
      <c r="AC99" s="143"/>
      <c r="AD99" s="143"/>
      <c r="AE99" s="143"/>
      <c r="AF99" s="143"/>
      <c r="AG99" s="143"/>
      <c r="AH99" s="143"/>
      <c r="AI99" s="143"/>
      <c r="AJ99" s="143"/>
    </row>
    <row r="100" spans="1:36" s="19" customFormat="1" x14ac:dyDescent="0.25">
      <c r="A100" s="3"/>
      <c r="B100" s="3" t="str">
        <f t="shared" si="37"/>
        <v>Essential</v>
      </c>
      <c r="C100" s="3" t="str">
        <f t="shared" si="38"/>
        <v>Residential</v>
      </c>
      <c r="D100" s="3" t="str">
        <f t="shared" si="39"/>
        <v>with CL</v>
      </c>
      <c r="E100" s="3" t="s">
        <v>14</v>
      </c>
      <c r="F100" s="131">
        <f t="array" ref="F100">IFERROR(INDEX(Usage!$B$5:$P$18,MATCH($B100,Usage!$B$5:$B$18,0),MATCH($C100&amp;$D100&amp;$E100,Usage!$B$5:$S$5&amp;Usage!$B$6:$S$6&amp;Usage!$B$7:$S$7,0)),0)</f>
        <v>1540</v>
      </c>
      <c r="G100" s="3" t="s">
        <v>73</v>
      </c>
      <c r="H100" s="128"/>
      <c r="I100" s="128" cm="1">
        <f t="array" ref="I100">IFERROR(INDEX('Detail inputs'!$B$3:$K$195,MATCH($B100&amp;$C100&amp;$E100&amp;$G100&amp;I$5,'Detail inputs'!$B$3:$B$195&amp;'Detail inputs'!$D$3:$D$195&amp;'Detail inputs'!$F$3:$F$195&amp;'Detail inputs'!$G$3:$G$195&amp;'Detail inputs'!$H$3:$H$195,0),MATCH(I$4,'Detail inputs'!$B$3:$K$3,0)),0)*SUM(I96:I99)</f>
        <v>0.52668000000000004</v>
      </c>
      <c r="J100" s="128">
        <f>IF(AND(H100="",I100=""),"",H100+I100*+Usage!H$39/1000)</f>
        <v>0.81108720000000001</v>
      </c>
      <c r="K100" s="143">
        <f>IFERROR(J100/J101,"")</f>
        <v>2.7232678386763187E-2</v>
      </c>
      <c r="L100" s="140"/>
      <c r="M100" s="143">
        <f t="shared" si="41"/>
        <v>0.13588222763576541</v>
      </c>
      <c r="N100" s="140"/>
      <c r="O100" s="128"/>
      <c r="P100" s="128" cm="1">
        <f t="array" ref="P100">IFERROR(INDEX('Detail inputs'!$B$3:$K$195,MATCH($B100&amp;$C100&amp;$E100&amp;$G100&amp;P$5,'Detail inputs'!$B$3:$B$195&amp;'Detail inputs'!$D$3:$D$195&amp;'Detail inputs'!$F$3:$F$195&amp;'Detail inputs'!$G$3:$G$195&amp;'Detail inputs'!$H$3:$H$195,0),MATCH(P$4,'Detail inputs'!$B$3:$K$3,0)),0)*SUM(P96:P99)</f>
        <v>0.59824645165120494</v>
      </c>
      <c r="Q100" s="277">
        <f>IF(AND(O100="",P100=""),"",O100+P100*$F100/1000)</f>
        <v>0.9212995355428556</v>
      </c>
      <c r="R100" s="143">
        <f>IFERROR(Q100/Q101,"")</f>
        <v>3.7758659023424783E-2</v>
      </c>
      <c r="S100" s="143"/>
      <c r="T100" s="377"/>
      <c r="U100" s="143"/>
      <c r="V100" s="143"/>
      <c r="W100" s="143"/>
      <c r="X100" s="143"/>
      <c r="Y100" s="143"/>
      <c r="Z100" s="143"/>
      <c r="AA100" s="143"/>
      <c r="AB100" s="143"/>
      <c r="AC100" s="143"/>
      <c r="AD100" s="143"/>
      <c r="AE100" s="143"/>
      <c r="AF100" s="143"/>
      <c r="AG100" s="143"/>
      <c r="AH100" s="143"/>
      <c r="AI100" s="143"/>
      <c r="AJ100" s="143"/>
    </row>
    <row r="101" spans="1:36" s="19" customFormat="1" x14ac:dyDescent="0.25">
      <c r="A101" s="3"/>
      <c r="B101" s="3" t="str">
        <f t="shared" si="37"/>
        <v>Essential</v>
      </c>
      <c r="C101" s="3" t="str">
        <f t="shared" si="38"/>
        <v>Residential</v>
      </c>
      <c r="D101" s="3" t="str">
        <f t="shared" si="39"/>
        <v>with CL</v>
      </c>
      <c r="E101" s="3" t="s">
        <v>14</v>
      </c>
      <c r="F101" s="131">
        <f t="array" ref="F101">IFERROR(INDEX(Usage!$B$5:$P$18,MATCH($B101,Usage!$B$5:$B$18,0),MATCH($C101&amp;$D101&amp;$E101,Usage!$B$5:$S$5&amp;Usage!$B$6:$S$6&amp;Usage!$B$7:$S$7,0)),0)</f>
        <v>1540</v>
      </c>
      <c r="G101" s="5" t="s">
        <v>55</v>
      </c>
      <c r="H101" s="130">
        <f>SUM(H96:H100)</f>
        <v>0</v>
      </c>
      <c r="I101" s="130">
        <v>19.34</v>
      </c>
      <c r="J101" s="130">
        <f>IF(AND(H101="",I101=""),"",H101+I101*+Usage!H$39/1000)</f>
        <v>29.7836</v>
      </c>
      <c r="K101" s="145"/>
      <c r="L101" s="150"/>
      <c r="M101" s="145">
        <f t="shared" si="41"/>
        <v>-0.18076763872216461</v>
      </c>
      <c r="N101" s="150"/>
      <c r="O101" s="130">
        <f>SUM(O96:O100)</f>
        <v>0</v>
      </c>
      <c r="P101" s="130">
        <f>SUM(P96:P100)</f>
        <v>15.843953867113337</v>
      </c>
      <c r="Q101" s="130">
        <f t="shared" si="40"/>
        <v>24.399688955354538</v>
      </c>
      <c r="R101" s="144"/>
      <c r="S101" s="144"/>
      <c r="T101" s="377"/>
      <c r="U101" s="144"/>
      <c r="V101" s="144"/>
      <c r="W101" s="144"/>
      <c r="X101" s="144"/>
      <c r="Y101" s="144"/>
      <c r="Z101" s="144"/>
      <c r="AA101" s="144"/>
      <c r="AB101" s="144"/>
      <c r="AC101" s="144"/>
      <c r="AD101" s="144"/>
      <c r="AE101" s="144"/>
      <c r="AF101" s="144"/>
      <c r="AG101" s="144"/>
      <c r="AH101" s="144"/>
      <c r="AI101" s="144"/>
      <c r="AJ101" s="144"/>
    </row>
    <row r="102" spans="1:36" s="19" customFormat="1" x14ac:dyDescent="0.25">
      <c r="A102" s="3"/>
      <c r="B102" s="3" t="str">
        <f t="shared" si="37"/>
        <v>Essential</v>
      </c>
      <c r="C102" s="3" t="str">
        <f t="shared" si="38"/>
        <v>Residential</v>
      </c>
      <c r="D102" s="3" t="str">
        <f t="shared" si="39"/>
        <v>with CL</v>
      </c>
      <c r="E102" s="3" t="s">
        <v>15</v>
      </c>
      <c r="F102" s="131">
        <f t="array" ref="F102">IFERROR(INDEX(Usage!$B$5:$P$18,MATCH($B102,Usage!$B$5:$B$18,0),MATCH($C102&amp;$D102&amp;$E102,Usage!$B$5:$S$5&amp;Usage!$B$6:$S$6&amp;Usage!$B$7:$S$7,0)),0)</f>
        <v>460</v>
      </c>
      <c r="G102" s="3" t="s">
        <v>74</v>
      </c>
      <c r="H102" s="128"/>
      <c r="I102" s="128">
        <f t="array" ref="I102">IFERROR(INDEX('Detail inputs'!$B$3:$K$195,MATCH($B102&amp;$G102&amp;I$5,'Detail inputs'!$B$3:$B$195&amp;'Detail inputs'!$G$3:$G$195&amp;'Detail inputs'!$H$3:$H$195,0),MATCH(I$4,'Detail inputs'!$B$3:$K$3,0)),0)</f>
        <v>7.54</v>
      </c>
      <c r="J102" s="128">
        <f>IF(AND(H102="",I102=""),"",H102+I102*+Usage!I$39/1000)</f>
        <v>3.4683999999999999</v>
      </c>
      <c r="K102" s="143">
        <f>IFERROR(J102/J107,"")</f>
        <v>0.38986556359875907</v>
      </c>
      <c r="L102" s="140"/>
      <c r="M102" s="143">
        <f t="shared" si="41"/>
        <v>-0.18872113387465661</v>
      </c>
      <c r="N102" s="140"/>
      <c r="O102" s="128"/>
      <c r="P102" s="128">
        <f t="array" ref="P102">IFERROR(INDEX('Detail inputs'!$B$3:$K$195,MATCH($B102&amp;$G102&amp;P$5,'Detail inputs'!$B$3:$B$195&amp;'Detail inputs'!$G$3:$G$195&amp;'Detail inputs'!$H$3:$H$195,0),MATCH(P$4,'Detail inputs'!$B$3:$K$3,0)),0)</f>
        <v>6.1170426505850894</v>
      </c>
      <c r="Q102" s="277">
        <f t="shared" si="40"/>
        <v>2.8138396192691411</v>
      </c>
      <c r="R102" s="143">
        <f>IFERROR(Q102/Q107,"")</f>
        <v>0.3860805643521843</v>
      </c>
      <c r="S102" s="143"/>
      <c r="T102" s="378"/>
      <c r="U102" s="143"/>
      <c r="V102" s="143"/>
      <c r="W102" s="143"/>
      <c r="X102" s="143"/>
      <c r="Y102" s="143"/>
      <c r="Z102" s="143"/>
      <c r="AA102" s="143"/>
      <c r="AB102" s="143"/>
      <c r="AC102" s="143"/>
      <c r="AD102" s="143"/>
      <c r="AE102" s="143"/>
      <c r="AF102" s="143"/>
      <c r="AG102" s="143"/>
      <c r="AH102" s="143"/>
      <c r="AI102" s="143"/>
      <c r="AJ102" s="143"/>
    </row>
    <row r="103" spans="1:36" s="19" customFormat="1" x14ac:dyDescent="0.25">
      <c r="A103" s="3"/>
      <c r="B103" s="3" t="str">
        <f t="shared" si="37"/>
        <v>Essential</v>
      </c>
      <c r="C103" s="3" t="str">
        <f t="shared" si="38"/>
        <v>Residential</v>
      </c>
      <c r="D103" s="3" t="str">
        <f t="shared" si="39"/>
        <v>with CL</v>
      </c>
      <c r="E103" s="3" t="s">
        <v>15</v>
      </c>
      <c r="F103" s="131">
        <f t="array" ref="F103">IFERROR(INDEX(Usage!$B$5:$P$18,MATCH($B103,Usage!$B$5:$B$18,0),MATCH($C103&amp;$D103&amp;$E103,Usage!$B$5:$S$5&amp;Usage!$B$6:$S$6&amp;Usage!$B$7:$S$7,0)),0)</f>
        <v>460</v>
      </c>
      <c r="G103" s="3" t="s">
        <v>75</v>
      </c>
      <c r="H103" s="128"/>
      <c r="I103" s="128">
        <f t="array" ref="I103">IFERROR(INDEX('Detail inputs'!$B$3:$K$195,MATCH($B103&amp;$G103&amp;I$5,'Detail inputs'!$B$3:$B$195&amp;'Detail inputs'!$G$3:$G$195&amp;'Detail inputs'!$H$3:$H$195,0),MATCH(I$4,'Detail inputs'!$B$3:$K$3,0)),0)</f>
        <v>7.85</v>
      </c>
      <c r="J103" s="128">
        <f>IF(AND(H103="",I103=""),"",H103+I103*+Usage!I$39/1000)</f>
        <v>3.6110000000000002</v>
      </c>
      <c r="K103" s="144">
        <f>IFERROR(J103/J107,"")</f>
        <v>0.40589451913133406</v>
      </c>
      <c r="L103" s="141"/>
      <c r="M103" s="144">
        <f t="shared" si="41"/>
        <v>-0.34573248407643331</v>
      </c>
      <c r="N103" s="141"/>
      <c r="O103" s="128"/>
      <c r="P103" s="128">
        <f t="array" ref="P103">IFERROR(INDEX('Detail inputs'!$B$3:$K$195,MATCH($B103&amp;$G103&amp;P$5,'Detail inputs'!$B$3:$B$195&amp;'Detail inputs'!$G$3:$G$195&amp;'Detail inputs'!$H$3:$H$195,0),MATCH(P$4,'Detail inputs'!$B$3:$K$3,0)),0)</f>
        <v>5.1359999999999992</v>
      </c>
      <c r="Q103" s="277">
        <f t="shared" si="40"/>
        <v>2.3625599999999993</v>
      </c>
      <c r="R103" s="144">
        <f>IFERROR(Q103/Q107,"")</f>
        <v>0.32416150937302268</v>
      </c>
      <c r="S103" s="144"/>
      <c r="T103" s="377"/>
      <c r="U103" s="144"/>
      <c r="V103" s="144"/>
      <c r="W103" s="144"/>
      <c r="X103" s="144"/>
      <c r="Y103" s="144"/>
      <c r="Z103" s="144"/>
      <c r="AA103" s="144"/>
      <c r="AB103" s="144"/>
      <c r="AC103" s="144"/>
      <c r="AD103" s="144"/>
      <c r="AE103" s="144"/>
      <c r="AF103" s="144"/>
      <c r="AG103" s="144"/>
      <c r="AH103" s="144"/>
      <c r="AI103" s="144"/>
      <c r="AJ103" s="144"/>
    </row>
    <row r="104" spans="1:36" s="19" customFormat="1" x14ac:dyDescent="0.25">
      <c r="A104" s="3"/>
      <c r="B104" s="3" t="str">
        <f t="shared" si="37"/>
        <v>Essential</v>
      </c>
      <c r="C104" s="3" t="str">
        <f t="shared" si="38"/>
        <v>Residential</v>
      </c>
      <c r="D104" s="3" t="str">
        <f t="shared" si="39"/>
        <v>with CL</v>
      </c>
      <c r="E104" s="3" t="s">
        <v>15</v>
      </c>
      <c r="F104" s="131">
        <f t="array" ref="F104">IFERROR(INDEX(Usage!$B$5:$P$18,MATCH($B104,Usage!$B$5:$B$18,0),MATCH($C104&amp;$D104&amp;$E104,Usage!$B$5:$S$5&amp;Usage!$B$6:$S$6&amp;Usage!$B$7:$S$7,0)),0)</f>
        <v>460</v>
      </c>
      <c r="G104" s="3" t="s">
        <v>76</v>
      </c>
      <c r="H104" s="128"/>
      <c r="I104" s="128">
        <f t="array" ref="I104">IFERROR(INDEX('Detail inputs'!$B$3:$K$195,MATCH($B104&amp;$G104&amp;I$5,'Detail inputs'!$B$3:$B$195&amp;'Detail inputs'!$G$3:$G$195&amp;'Detail inputs'!$H$3:$H$195,0),MATCH(I$4,'Detail inputs'!$B$3:$K$3,0)),0)</f>
        <v>2.71</v>
      </c>
      <c r="J104" s="128">
        <f>IF(AND(H104="",I104=""),"",H104+I104*+Usage!I$39/1000)</f>
        <v>1.2465999999999999</v>
      </c>
      <c r="K104" s="144">
        <f>IFERROR(J104/J107,"")</f>
        <v>0.14012409513960702</v>
      </c>
      <c r="L104" s="141"/>
      <c r="M104" s="144">
        <f t="shared" si="41"/>
        <v>-0.21431027168673555</v>
      </c>
      <c r="N104" s="141"/>
      <c r="O104" s="128"/>
      <c r="P104" s="128">
        <f t="array" ref="P104">IFERROR(INDEX('Detail inputs'!$B$3:$K$195,MATCH($B104&amp;$G104&amp;P$5,'Detail inputs'!$B$3:$B$195&amp;'Detail inputs'!$G$3:$G$195&amp;'Detail inputs'!$H$3:$H$195,0),MATCH(P$4,'Detail inputs'!$B$3:$K$3,0)),0)</f>
        <v>2.1292191637289464</v>
      </c>
      <c r="Q104" s="277">
        <f t="shared" si="40"/>
        <v>0.97944081531531535</v>
      </c>
      <c r="R104" s="144">
        <f>IFERROR(Q104/Q107,"")</f>
        <v>0.13438685706782333</v>
      </c>
      <c r="S104" s="144"/>
      <c r="T104" s="377"/>
      <c r="U104" s="144"/>
      <c r="V104" s="144"/>
      <c r="W104" s="144"/>
      <c r="X104" s="144"/>
      <c r="Y104" s="144"/>
      <c r="Z104" s="144"/>
      <c r="AA104" s="144"/>
      <c r="AB104" s="144"/>
      <c r="AC104" s="144"/>
      <c r="AD104" s="144"/>
      <c r="AE104" s="144"/>
      <c r="AF104" s="144"/>
      <c r="AG104" s="144"/>
      <c r="AH104" s="144"/>
      <c r="AI104" s="144"/>
      <c r="AJ104" s="144"/>
    </row>
    <row r="105" spans="1:36" s="19" customFormat="1" x14ac:dyDescent="0.25">
      <c r="A105" s="3"/>
      <c r="B105" s="3" t="str">
        <f t="shared" si="37"/>
        <v>Essential</v>
      </c>
      <c r="C105" s="3" t="str">
        <f t="shared" si="38"/>
        <v>Residential</v>
      </c>
      <c r="D105" s="3" t="str">
        <f t="shared" si="39"/>
        <v>with CL</v>
      </c>
      <c r="E105" s="3" t="s">
        <v>15</v>
      </c>
      <c r="F105" s="131">
        <f t="array" ref="F105">IFERROR(INDEX(Usage!$B$5:$P$18,MATCH($B105,Usage!$B$5:$B$18,0),MATCH($C105&amp;$D105&amp;$E105,Usage!$B$5:$S$5&amp;Usage!$B$6:$S$6&amp;Usage!$B$7:$S$7,0)),0)</f>
        <v>460</v>
      </c>
      <c r="G105" s="3" t="s">
        <v>164</v>
      </c>
      <c r="H105" s="128"/>
      <c r="I105" s="128">
        <f t="array" ref="I105">IFERROR(INDEX('Detail inputs'!$B$3:$K$195,MATCH($B105&amp;$G105&amp;I$5,'Detail inputs'!$B$3:$B$195&amp;'Detail inputs'!$G$3:$G$195&amp;'Detail inputs'!$H$3:$H$195,0),MATCH(I$4,'Detail inputs'!$B$3:$K$3,0)),0)</f>
        <v>0.71</v>
      </c>
      <c r="J105" s="128">
        <f>IF(AND(H105="",I105=""),"",H105+I105*+Usage!I$39/1000)</f>
        <v>0.32659999999999995</v>
      </c>
      <c r="K105" s="144">
        <f>IFERROR(J105/J107,"")</f>
        <v>3.6711478800413644E-2</v>
      </c>
      <c r="L105" s="141"/>
      <c r="M105" s="144">
        <f t="shared" ref="M105" si="44">IF(OR(J105=0,Q105=""),"",Q105/J105-1)</f>
        <v>1.6245712692226717</v>
      </c>
      <c r="N105" s="141"/>
      <c r="O105" s="128"/>
      <c r="P105" s="128">
        <f t="array" ref="P105">IFERROR(INDEX('Detail inputs'!$B$3:$K$195,MATCH($B105&amp;$G105&amp;P$5,'Detail inputs'!$B$3:$B$195&amp;'Detail inputs'!$G$3:$G$195&amp;'Detail inputs'!$H$3:$H$195,0),MATCH(P$4,'Detail inputs'!$B$3:$K$3,0)),0)</f>
        <v>1.8634456011480964</v>
      </c>
      <c r="Q105" s="277">
        <f t="shared" ref="Q105" si="45">IF(AND(O105="",P105=""),"",O105+P105*$F105/1000)</f>
        <v>0.85718497652812442</v>
      </c>
      <c r="R105" s="144">
        <f>IFERROR(Q105/Q107,"")</f>
        <v>0.11761241018354493</v>
      </c>
      <c r="S105" s="144"/>
      <c r="T105" s="377"/>
      <c r="U105" s="144"/>
      <c r="V105" s="144"/>
      <c r="W105" s="144"/>
      <c r="X105" s="144"/>
      <c r="Y105" s="144"/>
      <c r="Z105" s="144"/>
      <c r="AA105" s="144"/>
      <c r="AB105" s="144"/>
      <c r="AC105" s="144"/>
      <c r="AD105" s="144"/>
      <c r="AE105" s="144"/>
      <c r="AF105" s="144"/>
      <c r="AG105" s="144"/>
      <c r="AH105" s="144"/>
      <c r="AI105" s="144"/>
      <c r="AJ105" s="144"/>
    </row>
    <row r="106" spans="1:36" s="19" customFormat="1" x14ac:dyDescent="0.25">
      <c r="A106" s="3"/>
      <c r="B106" s="3" t="str">
        <f t="shared" si="37"/>
        <v>Essential</v>
      </c>
      <c r="C106" s="3" t="str">
        <f t="shared" si="38"/>
        <v>Residential</v>
      </c>
      <c r="D106" s="3" t="str">
        <f t="shared" si="39"/>
        <v>with CL</v>
      </c>
      <c r="E106" s="3" t="s">
        <v>15</v>
      </c>
      <c r="F106" s="131">
        <f t="array" ref="F106">IFERROR(INDEX(Usage!$B$5:$P$18,MATCH($B106,Usage!$B$5:$B$18,0),MATCH($C106&amp;$D106&amp;$E106,Usage!$B$5:$S$5&amp;Usage!$B$6:$S$6&amp;Usage!$B$7:$S$7,0)),0)</f>
        <v>460</v>
      </c>
      <c r="G106" s="3" t="s">
        <v>73</v>
      </c>
      <c r="H106" s="128"/>
      <c r="I106" s="128" cm="1">
        <f t="array" ref="I106">IFERROR(INDEX('Detail inputs'!$B$3:$K$195,MATCH($B106&amp;$C106&amp;$E106&amp;$G106&amp;I$5,'Detail inputs'!$B$3:$B$195&amp;'Detail inputs'!$D$3:$D$195&amp;'Detail inputs'!$F$3:$F$195&amp;'Detail inputs'!$G$3:$G$195&amp;'Detail inputs'!$H$3:$H$195,0),MATCH(I$4,'Detail inputs'!$B$3:$K$3,0)),0)*SUM(I102:I105)</f>
        <v>0.52668000000000004</v>
      </c>
      <c r="J106" s="128">
        <f>IF(AND(H106="",I106=""),"",H106+I106*+Usage!I$39/1000)</f>
        <v>0.24227280000000001</v>
      </c>
      <c r="K106" s="144">
        <f>IFERROR(J106/J107,"")</f>
        <v>2.7232678386763187E-2</v>
      </c>
      <c r="L106" s="141"/>
      <c r="M106" s="144">
        <f t="shared" si="41"/>
        <v>0.13588222763576541</v>
      </c>
      <c r="N106" s="141"/>
      <c r="O106" s="128"/>
      <c r="P106" s="128" cm="1">
        <f t="array" ref="P106">IFERROR(INDEX('Detail inputs'!$B$3:$K$195,MATCH($B106&amp;$C106&amp;$E106&amp;$G106&amp;P$5,'Detail inputs'!$B$3:$B$195&amp;'Detail inputs'!$D$3:$D$195&amp;'Detail inputs'!$F$3:$F$195&amp;'Detail inputs'!$G$3:$G$195&amp;'Detail inputs'!$H$3:$H$195,0),MATCH(P$4,'Detail inputs'!$B$3:$K$3,0)),0)*SUM(P102:P105)</f>
        <v>0.59824645165120494</v>
      </c>
      <c r="Q106" s="277">
        <f t="shared" si="40"/>
        <v>0.27519336775955427</v>
      </c>
      <c r="R106" s="144">
        <f>IFERROR(Q106/Q107,"")</f>
        <v>3.7758659023424783E-2</v>
      </c>
      <c r="S106" s="144"/>
      <c r="T106" s="377"/>
      <c r="U106" s="144"/>
      <c r="V106" s="144"/>
      <c r="W106" s="144"/>
      <c r="X106" s="144"/>
      <c r="Y106" s="144"/>
      <c r="Z106" s="144"/>
      <c r="AA106" s="144"/>
      <c r="AB106" s="144"/>
      <c r="AC106" s="144"/>
      <c r="AD106" s="144"/>
      <c r="AE106" s="144"/>
      <c r="AF106" s="144"/>
      <c r="AG106" s="144"/>
      <c r="AH106" s="144"/>
      <c r="AI106" s="144"/>
      <c r="AJ106" s="144"/>
    </row>
    <row r="107" spans="1:36" s="19" customFormat="1" x14ac:dyDescent="0.25">
      <c r="A107" s="3"/>
      <c r="B107" s="3" t="str">
        <f t="shared" si="37"/>
        <v>Essential</v>
      </c>
      <c r="C107" s="3" t="str">
        <f t="shared" si="38"/>
        <v>Residential</v>
      </c>
      <c r="D107" s="3" t="str">
        <f t="shared" si="39"/>
        <v>with CL</v>
      </c>
      <c r="E107" s="3" t="s">
        <v>15</v>
      </c>
      <c r="F107" s="131">
        <f t="array" ref="F107">IFERROR(INDEX(Usage!$B$5:$P$18,MATCH($B107,Usage!$B$5:$B$18,0),MATCH($C107&amp;$D107&amp;$E107,Usage!$B$5:$S$5&amp;Usage!$B$6:$S$6&amp;Usage!$B$7:$S$7,0)),0)</f>
        <v>460</v>
      </c>
      <c r="G107" s="5" t="s">
        <v>55</v>
      </c>
      <c r="H107" s="130">
        <f>SUM(H102:H106)</f>
        <v>0</v>
      </c>
      <c r="I107" s="130">
        <v>19.34</v>
      </c>
      <c r="J107" s="130">
        <f>IF(AND(H107="",I107=""),"",H107+I107*+Usage!I$39/1000)</f>
        <v>8.8963999999999999</v>
      </c>
      <c r="K107" s="145"/>
      <c r="L107" s="150"/>
      <c r="M107" s="145">
        <f t="shared" si="41"/>
        <v>-0.18076763872216461</v>
      </c>
      <c r="N107" s="150"/>
      <c r="O107" s="130">
        <f>SUM(O102:O106)</f>
        <v>0</v>
      </c>
      <c r="P107" s="130">
        <f>SUM(P102:P106)</f>
        <v>15.843953867113337</v>
      </c>
      <c r="Q107" s="130">
        <f t="shared" si="40"/>
        <v>7.2882187788721344</v>
      </c>
      <c r="R107" s="144"/>
      <c r="S107" s="144"/>
      <c r="T107" s="377"/>
      <c r="U107" s="144"/>
      <c r="V107" s="144"/>
      <c r="W107" s="144"/>
      <c r="X107" s="144"/>
      <c r="Y107" s="144"/>
      <c r="Z107" s="144"/>
      <c r="AA107" s="144"/>
      <c r="AB107" s="144"/>
      <c r="AC107" s="144"/>
      <c r="AD107" s="144"/>
      <c r="AE107" s="144"/>
      <c r="AF107" s="144"/>
      <c r="AG107" s="144"/>
      <c r="AH107" s="144"/>
      <c r="AI107" s="144"/>
      <c r="AJ107" s="144"/>
    </row>
    <row r="108" spans="1:36" s="19" customFormat="1" x14ac:dyDescent="0.25">
      <c r="A108" s="3"/>
      <c r="B108" s="3" t="str">
        <f t="shared" si="37"/>
        <v>Essential</v>
      </c>
      <c r="C108" s="3" t="str">
        <f t="shared" si="38"/>
        <v>Residential</v>
      </c>
      <c r="D108" s="3" t="str">
        <f t="shared" si="39"/>
        <v>with CL</v>
      </c>
      <c r="E108" s="3" t="s">
        <v>55</v>
      </c>
      <c r="F108" s="131">
        <f t="array" ref="F108">IFERROR(INDEX(Usage!$B$5:$P$18,MATCH($B108,Usage!$B$5:$B$18,0),MATCH($C108&amp;$D108&amp;$E108,Usage!$B$5:$S$5&amp;Usage!$B$6:$S$6&amp;Usage!$B$7:$S$7,0)),0)</f>
        <v>6600</v>
      </c>
      <c r="G108" s="5" t="s">
        <v>55</v>
      </c>
      <c r="H108" s="130"/>
      <c r="I108" s="130"/>
      <c r="J108" s="130">
        <f>J95+J101+J107</f>
        <v>127.64400000000001</v>
      </c>
      <c r="K108" s="145"/>
      <c r="L108" s="150"/>
      <c r="M108" s="145">
        <f t="shared" si="41"/>
        <v>-0.18076763872216461</v>
      </c>
      <c r="N108" s="150"/>
      <c r="O108" s="130"/>
      <c r="P108" s="130"/>
      <c r="Q108" s="130">
        <f>Q95+Q101+Q107</f>
        <v>104.57009552294802</v>
      </c>
      <c r="R108" s="144"/>
      <c r="S108" s="144"/>
      <c r="T108" s="377"/>
      <c r="U108" s="144"/>
      <c r="V108" s="144"/>
      <c r="W108" s="144"/>
      <c r="X108" s="144"/>
      <c r="Y108" s="144"/>
      <c r="Z108" s="144"/>
      <c r="AA108" s="144"/>
      <c r="AB108" s="144"/>
      <c r="AC108" s="144"/>
      <c r="AD108" s="144"/>
      <c r="AE108" s="144"/>
      <c r="AF108" s="144"/>
      <c r="AG108" s="144"/>
      <c r="AH108" s="144"/>
      <c r="AI108" s="144"/>
      <c r="AJ108" s="144"/>
    </row>
    <row r="109" spans="1:36" s="19" customFormat="1" x14ac:dyDescent="0.25">
      <c r="A109" s="3"/>
      <c r="B109" s="3" t="str">
        <f t="shared" ref="B109:D110" si="46">B108</f>
        <v>Essential</v>
      </c>
      <c r="C109" s="3" t="str">
        <f t="shared" si="46"/>
        <v>Residential</v>
      </c>
      <c r="D109" s="3" t="str">
        <f t="shared" si="46"/>
        <v>with CL</v>
      </c>
      <c r="E109" s="3"/>
      <c r="F109" s="131"/>
      <c r="G109" s="3" t="s">
        <v>38</v>
      </c>
      <c r="H109" s="128"/>
      <c r="I109" s="128"/>
      <c r="J109" s="128">
        <f>J108*GST</f>
        <v>12.764400000000002</v>
      </c>
      <c r="K109" s="144"/>
      <c r="L109" s="149"/>
      <c r="M109" s="144"/>
      <c r="N109" s="149"/>
      <c r="O109" s="128"/>
      <c r="P109" s="128"/>
      <c r="Q109" s="277">
        <f>Q108*GST</f>
        <v>10.457009552294803</v>
      </c>
      <c r="R109" s="145"/>
      <c r="S109" s="145"/>
      <c r="T109" s="379"/>
      <c r="U109" s="145"/>
      <c r="V109" s="145"/>
      <c r="W109" s="145"/>
      <c r="X109" s="145"/>
      <c r="Y109" s="145"/>
      <c r="Z109" s="145"/>
      <c r="AA109" s="145"/>
      <c r="AB109" s="145"/>
      <c r="AC109" s="145"/>
      <c r="AD109" s="145"/>
      <c r="AE109" s="145"/>
      <c r="AF109" s="145"/>
      <c r="AG109" s="145"/>
      <c r="AH109" s="145"/>
      <c r="AI109" s="145"/>
      <c r="AJ109" s="145"/>
    </row>
    <row r="110" spans="1:36" s="19" customFormat="1" x14ac:dyDescent="0.25">
      <c r="A110" s="3"/>
      <c r="B110" s="3" t="str">
        <f t="shared" si="46"/>
        <v>Essential</v>
      </c>
      <c r="C110" s="3" t="str">
        <f t="shared" si="46"/>
        <v>Residential</v>
      </c>
      <c r="D110" s="3" t="str">
        <f t="shared" si="46"/>
        <v>with CL</v>
      </c>
      <c r="E110" s="3"/>
      <c r="F110" s="131"/>
      <c r="G110" s="5" t="s">
        <v>80</v>
      </c>
      <c r="H110" s="130"/>
      <c r="I110" s="130"/>
      <c r="J110" s="130">
        <f>SUM(J108:J109)</f>
        <v>140.4084</v>
      </c>
      <c r="K110" s="145"/>
      <c r="L110" s="150"/>
      <c r="M110" s="145">
        <f>IF(OR(J110=0,Q110=""),"",Q110/J110-1)</f>
        <v>-0.18076763872216461</v>
      </c>
      <c r="N110" s="150"/>
      <c r="O110" s="130"/>
      <c r="P110" s="130"/>
      <c r="Q110" s="130">
        <f>SUM(Q108:Q109)</f>
        <v>115.02710507524283</v>
      </c>
      <c r="R110" s="145"/>
      <c r="S110" s="145"/>
      <c r="T110" s="379"/>
      <c r="U110" s="145"/>
      <c r="V110" s="145"/>
      <c r="W110" s="145"/>
      <c r="X110" s="145"/>
      <c r="Y110" s="145"/>
      <c r="Z110" s="145"/>
      <c r="AA110" s="145"/>
      <c r="AB110" s="145"/>
      <c r="AC110" s="145"/>
      <c r="AD110" s="145"/>
      <c r="AE110" s="145"/>
      <c r="AF110" s="145"/>
      <c r="AG110" s="145"/>
      <c r="AH110" s="145"/>
      <c r="AI110" s="145"/>
      <c r="AJ110" s="145"/>
    </row>
    <row r="111" spans="1:36" s="19" customFormat="1" x14ac:dyDescent="0.25">
      <c r="A111" s="3"/>
      <c r="B111" s="3"/>
      <c r="C111" s="3"/>
      <c r="D111" s="3"/>
      <c r="E111" s="3"/>
      <c r="F111" s="131"/>
      <c r="G111" s="3"/>
      <c r="H111" s="128"/>
      <c r="I111" s="128"/>
      <c r="J111" s="128"/>
      <c r="K111" s="143"/>
      <c r="L111" s="149"/>
      <c r="M111" s="143"/>
      <c r="N111" s="149"/>
      <c r="O111" s="128"/>
      <c r="P111" s="128"/>
      <c r="Q111" s="277"/>
      <c r="R111" s="143"/>
      <c r="S111" s="143"/>
      <c r="T111" s="377"/>
      <c r="U111" s="143"/>
      <c r="V111" s="143"/>
      <c r="W111" s="143"/>
      <c r="X111" s="143"/>
      <c r="Y111" s="143"/>
      <c r="Z111" s="143"/>
      <c r="AA111" s="143"/>
      <c r="AB111" s="143"/>
      <c r="AC111" s="143"/>
      <c r="AD111" s="143"/>
      <c r="AE111" s="143"/>
      <c r="AF111" s="143"/>
      <c r="AG111" s="143"/>
      <c r="AH111" s="143"/>
      <c r="AI111" s="143"/>
      <c r="AJ111" s="143"/>
    </row>
    <row r="112" spans="1:36" s="19" customFormat="1" x14ac:dyDescent="0.25">
      <c r="A112" s="3"/>
      <c r="B112" s="5" t="s">
        <v>3</v>
      </c>
      <c r="C112" s="5" t="s">
        <v>13</v>
      </c>
      <c r="D112" s="5" t="s">
        <v>127</v>
      </c>
      <c r="E112" s="3"/>
      <c r="F112" s="131"/>
      <c r="G112" s="3"/>
      <c r="H112" s="128"/>
      <c r="I112" s="128"/>
      <c r="J112" s="128"/>
      <c r="K112" s="143"/>
      <c r="L112" s="149"/>
      <c r="M112" s="143"/>
      <c r="N112" s="149"/>
      <c r="O112" s="128"/>
      <c r="P112" s="128"/>
      <c r="Q112" s="277"/>
      <c r="R112" s="143"/>
      <c r="S112" s="143"/>
      <c r="T112" s="377"/>
      <c r="U112" s="143"/>
      <c r="V112" s="143"/>
      <c r="W112" s="143"/>
      <c r="X112" s="143"/>
      <c r="Y112" s="143"/>
      <c r="Z112" s="143"/>
      <c r="AA112" s="143"/>
      <c r="AB112" s="143"/>
      <c r="AC112" s="143"/>
      <c r="AD112" s="143"/>
      <c r="AE112" s="143"/>
      <c r="AF112" s="143"/>
      <c r="AG112" s="143"/>
      <c r="AH112" s="143"/>
      <c r="AI112" s="143"/>
      <c r="AJ112" s="143"/>
    </row>
    <row r="113" spans="1:36" s="19" customFormat="1" x14ac:dyDescent="0.25">
      <c r="A113" s="3"/>
      <c r="B113" s="3" t="str">
        <f t="shared" ref="B113:D120" si="47">B112</f>
        <v>Essential</v>
      </c>
      <c r="C113" s="3" t="str">
        <f t="shared" si="47"/>
        <v>Small business</v>
      </c>
      <c r="D113" s="3" t="str">
        <f t="shared" si="47"/>
        <v>without CL</v>
      </c>
      <c r="E113" s="3" t="s">
        <v>19</v>
      </c>
      <c r="F113" s="131">
        <f t="array" ref="F113">IFERROR(INDEX(Usage!$B$5:$P$18,MATCH($B113,Usage!$B$5:$B$18,0),MATCH($C113&amp;$D113&amp;$E113,Usage!$B$5:$S$5&amp;Usage!$B$6:$S$6&amp;Usage!$B$7:$S$7,0)),0)</f>
        <v>10000</v>
      </c>
      <c r="G113" s="3" t="s">
        <v>74</v>
      </c>
      <c r="H113" s="128"/>
      <c r="I113" s="128">
        <f t="array" ref="I113">IFERROR(INDEX('Detail inputs'!$B$3:$K$195,MATCH($B113&amp;$G113&amp;I$5,'Detail inputs'!$B$3:$B$195&amp;'Detail inputs'!$G$3:$G$195&amp;'Detail inputs'!$H$3:$H$195,0),MATCH(I$4,'Detail inputs'!$B$3:$K$3,0)),0)</f>
        <v>7.54</v>
      </c>
      <c r="J113" s="128">
        <f>IF(AND(H113="",I113=""),"",H113+I113*+Usage!M$39/1000)</f>
        <v>75.400000000000006</v>
      </c>
      <c r="K113" s="143">
        <f>IFERROR(J113/J118,"")</f>
        <v>0.38986556359875907</v>
      </c>
      <c r="L113" s="140"/>
      <c r="M113" s="143">
        <f t="shared" ref="M113:M118" si="48">IF(OR(J113=0,Q113=""),"",Q113/J113-1)</f>
        <v>-0.18872113387465661</v>
      </c>
      <c r="N113" s="140"/>
      <c r="O113" s="128"/>
      <c r="P113" s="128">
        <f t="array" ref="P113">IFERROR(INDEX('Detail inputs'!$B$3:$K$195,MATCH($B113&amp;$G113&amp;P$5,'Detail inputs'!$B$3:$B$195&amp;'Detail inputs'!$G$3:$G$195&amp;'Detail inputs'!$H$3:$H$195,0),MATCH(P$4,'Detail inputs'!$B$3:$K$3,0)),0)</f>
        <v>6.1170426505850894</v>
      </c>
      <c r="Q113" s="277">
        <f t="shared" ref="Q113:Q118" si="49">IF(AND(O113="",P113=""),"",O113+P113*$F113/1000)</f>
        <v>61.170426505850898</v>
      </c>
      <c r="R113" s="143">
        <f>IFERROR(Q113/Q118,"")</f>
        <v>0.3860805643521843</v>
      </c>
      <c r="S113" s="143"/>
      <c r="T113" s="378"/>
      <c r="U113" s="143"/>
      <c r="V113" s="143"/>
      <c r="W113" s="143"/>
      <c r="X113" s="143"/>
      <c r="Y113" s="143"/>
      <c r="Z113" s="143"/>
      <c r="AA113" s="143"/>
      <c r="AB113" s="143"/>
      <c r="AC113" s="143"/>
      <c r="AD113" s="143"/>
      <c r="AE113" s="143"/>
      <c r="AF113" s="143"/>
      <c r="AG113" s="143"/>
      <c r="AH113" s="143"/>
      <c r="AI113" s="143"/>
      <c r="AJ113" s="143"/>
    </row>
    <row r="114" spans="1:36" s="19" customFormat="1" x14ac:dyDescent="0.25">
      <c r="A114" s="3"/>
      <c r="B114" s="3" t="str">
        <f t="shared" si="47"/>
        <v>Essential</v>
      </c>
      <c r="C114" s="3" t="str">
        <f t="shared" si="47"/>
        <v>Small business</v>
      </c>
      <c r="D114" s="3" t="str">
        <f t="shared" si="47"/>
        <v>without CL</v>
      </c>
      <c r="E114" s="3" t="s">
        <v>19</v>
      </c>
      <c r="F114" s="131">
        <f t="array" ref="F114">IFERROR(INDEX(Usage!$B$5:$P$18,MATCH($B114,Usage!$B$5:$B$18,0),MATCH($C114&amp;$D114&amp;$E114,Usage!$B$5:$S$5&amp;Usage!$B$6:$S$6&amp;Usage!$B$7:$S$7,0)),0)</f>
        <v>10000</v>
      </c>
      <c r="G114" s="3" t="s">
        <v>75</v>
      </c>
      <c r="H114" s="128"/>
      <c r="I114" s="128">
        <f t="array" ref="I114">IFERROR(INDEX('Detail inputs'!$B$3:$K$195,MATCH($B114&amp;$G114&amp;I$5,'Detail inputs'!$B$3:$B$195&amp;'Detail inputs'!$G$3:$G$195&amp;'Detail inputs'!$H$3:$H$195,0),MATCH(I$4,'Detail inputs'!$B$3:$K$3,0)),0)</f>
        <v>7.85</v>
      </c>
      <c r="J114" s="128">
        <f>IF(AND(H114="",I114=""),"",H114+I114*+Usage!M$39/1000)</f>
        <v>78.5</v>
      </c>
      <c r="K114" s="143">
        <f>IFERROR(J114/J118,"")</f>
        <v>0.40589451913133401</v>
      </c>
      <c r="L114" s="140"/>
      <c r="M114" s="143">
        <f t="shared" si="48"/>
        <v>-0.3457324840764332</v>
      </c>
      <c r="N114" s="140"/>
      <c r="O114" s="128"/>
      <c r="P114" s="128">
        <f t="array" ref="P114">IFERROR(INDEX('Detail inputs'!$B$3:$K$195,MATCH($B114&amp;$G114&amp;P$5,'Detail inputs'!$B$3:$B$195&amp;'Detail inputs'!$G$3:$G$195&amp;'Detail inputs'!$H$3:$H$195,0),MATCH(P$4,'Detail inputs'!$B$3:$K$3,0)),0)</f>
        <v>5.1359999999999992</v>
      </c>
      <c r="Q114" s="277">
        <f t="shared" si="49"/>
        <v>51.359999999999992</v>
      </c>
      <c r="R114" s="143">
        <f>IFERROR(Q114/Q118,"")</f>
        <v>0.32416150937302274</v>
      </c>
      <c r="S114" s="143"/>
      <c r="T114" s="377"/>
      <c r="U114" s="143"/>
      <c r="V114" s="143"/>
      <c r="W114" s="143"/>
      <c r="X114" s="143"/>
      <c r="Y114" s="143"/>
      <c r="Z114" s="143"/>
      <c r="AA114" s="143"/>
      <c r="AB114" s="143"/>
      <c r="AC114" s="143"/>
      <c r="AD114" s="143"/>
      <c r="AE114" s="143"/>
      <c r="AF114" s="143"/>
      <c r="AG114" s="143"/>
      <c r="AH114" s="143"/>
      <c r="AI114" s="143"/>
      <c r="AJ114" s="143"/>
    </row>
    <row r="115" spans="1:36" s="19" customFormat="1" x14ac:dyDescent="0.25">
      <c r="A115" s="3"/>
      <c r="B115" s="3" t="str">
        <f t="shared" si="47"/>
        <v>Essential</v>
      </c>
      <c r="C115" s="3" t="str">
        <f t="shared" si="47"/>
        <v>Small business</v>
      </c>
      <c r="D115" s="3" t="str">
        <f t="shared" si="47"/>
        <v>without CL</v>
      </c>
      <c r="E115" s="3" t="s">
        <v>19</v>
      </c>
      <c r="F115" s="131">
        <f t="array" ref="F115">IFERROR(INDEX(Usage!$B$5:$P$18,MATCH($B115,Usage!$B$5:$B$18,0),MATCH($C115&amp;$D115&amp;$E115,Usage!$B$5:$S$5&amp;Usage!$B$6:$S$6&amp;Usage!$B$7:$S$7,0)),0)</f>
        <v>10000</v>
      </c>
      <c r="G115" s="3" t="s">
        <v>76</v>
      </c>
      <c r="H115" s="128"/>
      <c r="I115" s="128">
        <f t="array" ref="I115">IFERROR(INDEX('Detail inputs'!$B$3:$K$195,MATCH($B115&amp;$G115&amp;I$5,'Detail inputs'!$B$3:$B$195&amp;'Detail inputs'!$G$3:$G$195&amp;'Detail inputs'!$H$3:$H$195,0),MATCH(I$4,'Detail inputs'!$B$3:$K$3,0)),0)</f>
        <v>2.71</v>
      </c>
      <c r="J115" s="128">
        <f>IF(AND(H115="",I115=""),"",H115+I115*+Usage!M$39/1000)</f>
        <v>27.1</v>
      </c>
      <c r="K115" s="143">
        <f>IFERROR(J115/J118,"")</f>
        <v>0.14012409513960702</v>
      </c>
      <c r="L115" s="140"/>
      <c r="M115" s="143">
        <f t="shared" si="48"/>
        <v>-0.21431027168673578</v>
      </c>
      <c r="N115" s="140"/>
      <c r="O115" s="128"/>
      <c r="P115" s="128">
        <f t="array" ref="P115">IFERROR(INDEX('Detail inputs'!$B$3:$K$195,MATCH($B115&amp;$G115&amp;P$5,'Detail inputs'!$B$3:$B$195&amp;'Detail inputs'!$G$3:$G$195&amp;'Detail inputs'!$H$3:$H$195,0),MATCH(P$4,'Detail inputs'!$B$3:$K$3,0)),0)</f>
        <v>2.1292191637289464</v>
      </c>
      <c r="Q115" s="277">
        <f t="shared" si="49"/>
        <v>21.292191637289463</v>
      </c>
      <c r="R115" s="143">
        <f>IFERROR(Q115/Q118,"")</f>
        <v>0.1343868570678233</v>
      </c>
      <c r="S115" s="143"/>
      <c r="T115" s="377"/>
      <c r="U115" s="143"/>
      <c r="V115" s="143"/>
      <c r="W115" s="143"/>
      <c r="X115" s="143"/>
      <c r="Y115" s="143"/>
      <c r="Z115" s="143"/>
      <c r="AA115" s="143"/>
      <c r="AB115" s="143"/>
      <c r="AC115" s="143"/>
      <c r="AD115" s="143"/>
      <c r="AE115" s="143"/>
      <c r="AF115" s="143"/>
      <c r="AG115" s="143"/>
      <c r="AH115" s="143"/>
      <c r="AI115" s="143"/>
      <c r="AJ115" s="143"/>
    </row>
    <row r="116" spans="1:36" s="19" customFormat="1" x14ac:dyDescent="0.25">
      <c r="A116" s="3"/>
      <c r="B116" s="3" t="str">
        <f t="shared" si="47"/>
        <v>Essential</v>
      </c>
      <c r="C116" s="3" t="str">
        <f t="shared" si="47"/>
        <v>Small business</v>
      </c>
      <c r="D116" s="3" t="str">
        <f t="shared" si="47"/>
        <v>without CL</v>
      </c>
      <c r="E116" s="3" t="s">
        <v>19</v>
      </c>
      <c r="F116" s="131">
        <f t="array" ref="F116">IFERROR(INDEX(Usage!$B$5:$P$18,MATCH($B116,Usage!$B$5:$B$18,0),MATCH($C116&amp;$D116&amp;$E116,Usage!$B$5:$S$5&amp;Usage!$B$6:$S$6&amp;Usage!$B$7:$S$7,0)),0)</f>
        <v>10000</v>
      </c>
      <c r="G116" s="3" t="s">
        <v>164</v>
      </c>
      <c r="H116" s="128"/>
      <c r="I116" s="128">
        <f t="array" ref="I116">IFERROR(INDEX('Detail inputs'!$B$3:$K$195,MATCH($B116&amp;$G116&amp;I$5,'Detail inputs'!$B$3:$B$195&amp;'Detail inputs'!$G$3:$G$195&amp;'Detail inputs'!$H$3:$H$195,0),MATCH(I$4,'Detail inputs'!$B$3:$K$3,0)),0)</f>
        <v>0.71</v>
      </c>
      <c r="J116" s="128">
        <f>IF(AND(H116="",I116=""),"",H116+I116*+Usage!M$39/1000)</f>
        <v>7.1</v>
      </c>
      <c r="K116" s="143">
        <f>IFERROR(J116/J118,"")</f>
        <v>3.6711478800413651E-2</v>
      </c>
      <c r="L116" s="140"/>
      <c r="M116" s="143">
        <f t="shared" si="48"/>
        <v>1.6245712692226713</v>
      </c>
      <c r="N116" s="140"/>
      <c r="O116" s="128"/>
      <c r="P116" s="128">
        <f t="array" ref="P116">IFERROR(INDEX('Detail inputs'!$B$3:$K$195,MATCH($B116&amp;$G116&amp;P$5,'Detail inputs'!$B$3:$B$195&amp;'Detail inputs'!$G$3:$G$195&amp;'Detail inputs'!$H$3:$H$195,0),MATCH(P$4,'Detail inputs'!$B$3:$K$3,0)),0)</f>
        <v>1.8634456011480964</v>
      </c>
      <c r="Q116" s="277">
        <f t="shared" si="49"/>
        <v>18.634456011480964</v>
      </c>
      <c r="R116" s="143">
        <f>IFERROR(Q116/Q118,"")</f>
        <v>0.11761241018354492</v>
      </c>
      <c r="S116" s="143"/>
      <c r="T116" s="377"/>
      <c r="U116" s="143"/>
      <c r="V116" s="143"/>
      <c r="W116" s="143"/>
      <c r="X116" s="143"/>
      <c r="Y116" s="143"/>
      <c r="Z116" s="143"/>
      <c r="AA116" s="143"/>
      <c r="AB116" s="143"/>
      <c r="AC116" s="143"/>
      <c r="AD116" s="143"/>
      <c r="AE116" s="143"/>
      <c r="AF116" s="143"/>
      <c r="AG116" s="143"/>
      <c r="AH116" s="143"/>
      <c r="AI116" s="143"/>
      <c r="AJ116" s="143"/>
    </row>
    <row r="117" spans="1:36" s="19" customFormat="1" x14ac:dyDescent="0.25">
      <c r="A117" s="3"/>
      <c r="B117" s="3" t="str">
        <f t="shared" si="47"/>
        <v>Essential</v>
      </c>
      <c r="C117" s="3" t="str">
        <f t="shared" si="47"/>
        <v>Small business</v>
      </c>
      <c r="D117" s="3" t="str">
        <f t="shared" si="47"/>
        <v>without CL</v>
      </c>
      <c r="E117" s="3" t="s">
        <v>19</v>
      </c>
      <c r="F117" s="131">
        <f t="array" ref="F117">IFERROR(INDEX(Usage!$B$5:$P$18,MATCH($B117,Usage!$B$5:$B$18,0),MATCH($C117&amp;$D117&amp;$E117,Usage!$B$5:$S$5&amp;Usage!$B$6:$S$6&amp;Usage!$B$7:$S$7,0)),0)</f>
        <v>10000</v>
      </c>
      <c r="G117" s="3" t="s">
        <v>73</v>
      </c>
      <c r="H117" s="128"/>
      <c r="I117" s="128" cm="1">
        <f t="array" ref="I117">IFERROR(INDEX('Detail inputs'!$B$3:$K$195,MATCH($B117&amp;$C117&amp;$E117&amp;$G117&amp;I$5,'Detail inputs'!$B$3:$B$195&amp;'Detail inputs'!$D$3:$D$195&amp;'Detail inputs'!$F$3:$F$195&amp;'Detail inputs'!$G$3:$G$195&amp;'Detail inputs'!$H$3:$H$195,0),MATCH(I$4,'Detail inputs'!$B$3:$K$3,0)),0)*SUM(I113:I116)</f>
        <v>0.52668000000000004</v>
      </c>
      <c r="J117" s="128">
        <f>IF(AND(H117="",I117=""),"",H117+I117*+Usage!M$39/1000)</f>
        <v>5.2667999999999999</v>
      </c>
      <c r="K117" s="143">
        <f>IFERROR(J117/J118,"")</f>
        <v>2.7232678386763184E-2</v>
      </c>
      <c r="L117" s="140"/>
      <c r="M117" s="143">
        <f t="shared" si="48"/>
        <v>0.13588222763576541</v>
      </c>
      <c r="N117" s="140"/>
      <c r="O117" s="128"/>
      <c r="P117" s="128" cm="1">
        <f t="array" ref="P117">IFERROR(INDEX('Detail inputs'!$B$3:$K$195,MATCH($B117&amp;$C117&amp;$E117&amp;$G117&amp;P$5,'Detail inputs'!$B$3:$B$195&amp;'Detail inputs'!$D$3:$D$195&amp;'Detail inputs'!$F$3:$F$195&amp;'Detail inputs'!$G$3:$G$195&amp;'Detail inputs'!$H$3:$H$195,0),MATCH(P$4,'Detail inputs'!$B$3:$K$3,0)),0)*SUM(P113:P116)</f>
        <v>0.59824645165120494</v>
      </c>
      <c r="Q117" s="277">
        <f t="shared" si="49"/>
        <v>5.9824645165120494</v>
      </c>
      <c r="R117" s="143">
        <f>IFERROR(Q117/Q118,"")</f>
        <v>3.7758659023424783E-2</v>
      </c>
      <c r="S117" s="143"/>
      <c r="T117" s="377"/>
      <c r="U117" s="143"/>
      <c r="V117" s="143"/>
      <c r="W117" s="143"/>
      <c r="X117" s="143"/>
      <c r="Y117" s="143"/>
      <c r="Z117" s="143"/>
      <c r="AA117" s="143"/>
      <c r="AB117" s="143"/>
      <c r="AC117" s="143"/>
      <c r="AD117" s="143"/>
      <c r="AE117" s="143"/>
      <c r="AF117" s="143"/>
      <c r="AG117" s="143"/>
      <c r="AH117" s="143"/>
      <c r="AI117" s="143"/>
      <c r="AJ117" s="143"/>
    </row>
    <row r="118" spans="1:36" s="19" customFormat="1" x14ac:dyDescent="0.25">
      <c r="A118" s="3"/>
      <c r="B118" s="3" t="str">
        <f t="shared" si="47"/>
        <v>Essential</v>
      </c>
      <c r="C118" s="3" t="str">
        <f t="shared" si="47"/>
        <v>Small business</v>
      </c>
      <c r="D118" s="3" t="str">
        <f t="shared" si="47"/>
        <v>without CL</v>
      </c>
      <c r="E118" s="3" t="s">
        <v>19</v>
      </c>
      <c r="F118" s="131">
        <f t="array" ref="F118">IFERROR(INDEX(Usage!$B$5:$P$18,MATCH($B118,Usage!$B$5:$B$18,0),MATCH($C118&amp;$D118&amp;$E118,Usage!$B$5:$S$5&amp;Usage!$B$6:$S$6&amp;Usage!$B$7:$S$7,0)),0)</f>
        <v>10000</v>
      </c>
      <c r="G118" s="5" t="s">
        <v>55</v>
      </c>
      <c r="H118" s="130">
        <f>SUM(H113:H117)</f>
        <v>0</v>
      </c>
      <c r="I118" s="130">
        <v>19.34</v>
      </c>
      <c r="J118" s="130">
        <f>IF(AND(H118="",I118=""),"",H118+I118*+Usage!M$39/1000)</f>
        <v>193.4</v>
      </c>
      <c r="K118" s="145"/>
      <c r="L118" s="150"/>
      <c r="M118" s="145">
        <f t="shared" si="48"/>
        <v>-0.18076763872216461</v>
      </c>
      <c r="N118" s="150"/>
      <c r="O118" s="130">
        <f>SUM(O113:O117)</f>
        <v>0</v>
      </c>
      <c r="P118" s="130">
        <f>SUM(P113:P117)</f>
        <v>15.843953867113337</v>
      </c>
      <c r="Q118" s="130">
        <f t="shared" si="49"/>
        <v>158.43953867113336</v>
      </c>
      <c r="R118" s="145"/>
      <c r="S118" s="145"/>
      <c r="T118" s="379"/>
      <c r="U118" s="145"/>
      <c r="V118" s="145"/>
      <c r="W118" s="145"/>
      <c r="X118" s="145"/>
      <c r="Y118" s="145"/>
      <c r="Z118" s="145"/>
      <c r="AA118" s="145"/>
      <c r="AB118" s="145"/>
      <c r="AC118" s="145"/>
      <c r="AD118" s="145"/>
      <c r="AE118" s="145"/>
      <c r="AF118" s="145"/>
      <c r="AG118" s="145"/>
      <c r="AH118" s="145"/>
      <c r="AI118" s="145"/>
      <c r="AJ118" s="145"/>
    </row>
    <row r="119" spans="1:36" s="19" customFormat="1" x14ac:dyDescent="0.25">
      <c r="A119" s="3"/>
      <c r="B119" s="3" t="str">
        <f t="shared" si="47"/>
        <v>Essential</v>
      </c>
      <c r="C119" s="3" t="str">
        <f t="shared" si="47"/>
        <v>Small business</v>
      </c>
      <c r="D119" s="3" t="str">
        <f t="shared" si="47"/>
        <v>without CL</v>
      </c>
      <c r="E119" s="3"/>
      <c r="F119" s="131"/>
      <c r="G119" s="3" t="s">
        <v>38</v>
      </c>
      <c r="H119" s="128"/>
      <c r="I119" s="128"/>
      <c r="J119" s="128">
        <f>J118*GST</f>
        <v>19.340000000000003</v>
      </c>
      <c r="K119" s="144"/>
      <c r="L119" s="149"/>
      <c r="M119" s="144"/>
      <c r="N119" s="149"/>
      <c r="O119" s="128"/>
      <c r="P119" s="128"/>
      <c r="Q119" s="277">
        <f>Q118*GST</f>
        <v>15.843953867113337</v>
      </c>
      <c r="R119" s="145"/>
      <c r="S119" s="145"/>
      <c r="T119" s="379"/>
      <c r="U119" s="145"/>
      <c r="V119" s="145"/>
      <c r="W119" s="145"/>
      <c r="X119" s="145"/>
      <c r="Y119" s="145"/>
      <c r="Z119" s="145"/>
      <c r="AA119" s="145"/>
      <c r="AB119" s="145"/>
      <c r="AC119" s="145"/>
      <c r="AD119" s="145"/>
      <c r="AE119" s="145"/>
      <c r="AF119" s="145"/>
      <c r="AG119" s="145"/>
      <c r="AH119" s="145"/>
      <c r="AI119" s="145"/>
      <c r="AJ119" s="145"/>
    </row>
    <row r="120" spans="1:36" s="19" customFormat="1" x14ac:dyDescent="0.25">
      <c r="A120" s="3"/>
      <c r="B120" s="3" t="str">
        <f t="shared" si="47"/>
        <v>Essential</v>
      </c>
      <c r="C120" s="3" t="str">
        <f t="shared" si="47"/>
        <v>Small business</v>
      </c>
      <c r="D120" s="3" t="str">
        <f t="shared" si="47"/>
        <v>without CL</v>
      </c>
      <c r="E120" s="3"/>
      <c r="F120" s="131"/>
      <c r="G120" s="5" t="s">
        <v>80</v>
      </c>
      <c r="H120" s="130"/>
      <c r="I120" s="130"/>
      <c r="J120" s="130">
        <f>SUM(J118:J119)</f>
        <v>212.74</v>
      </c>
      <c r="K120" s="145"/>
      <c r="L120" s="150"/>
      <c r="M120" s="145">
        <f>IF(OR(J120=0,Q120=""),"",Q120/J120-1)</f>
        <v>-0.18076763872216473</v>
      </c>
      <c r="N120" s="150"/>
      <c r="O120" s="130"/>
      <c r="P120" s="130"/>
      <c r="Q120" s="130">
        <f>SUM(Q118:Q119)</f>
        <v>174.28349253824669</v>
      </c>
      <c r="R120" s="145"/>
      <c r="S120" s="145"/>
      <c r="T120" s="379"/>
      <c r="U120" s="145"/>
      <c r="V120" s="145"/>
      <c r="W120" s="145"/>
      <c r="X120" s="145"/>
      <c r="Y120" s="145"/>
      <c r="Z120" s="145"/>
      <c r="AA120" s="145"/>
      <c r="AB120" s="145"/>
      <c r="AC120" s="145"/>
      <c r="AD120" s="145"/>
      <c r="AE120" s="145"/>
      <c r="AF120" s="145"/>
      <c r="AG120" s="145"/>
      <c r="AH120" s="145"/>
      <c r="AI120" s="145"/>
      <c r="AJ120" s="145"/>
    </row>
    <row r="121" spans="1:36" s="19" customFormat="1" x14ac:dyDescent="0.25">
      <c r="A121" s="3"/>
      <c r="B121" s="3"/>
      <c r="C121" s="3"/>
      <c r="D121" s="3"/>
      <c r="E121" s="3"/>
      <c r="F121" s="131"/>
      <c r="G121" s="3"/>
      <c r="H121" s="128"/>
      <c r="I121" s="128"/>
      <c r="J121" s="128"/>
      <c r="K121" s="143"/>
      <c r="L121" s="149"/>
      <c r="M121" s="143"/>
      <c r="N121" s="149"/>
      <c r="O121" s="128"/>
      <c r="P121" s="128"/>
      <c r="Q121" s="277"/>
      <c r="R121" s="143"/>
      <c r="S121" s="143"/>
      <c r="T121" s="377"/>
      <c r="U121" s="143"/>
      <c r="V121" s="143"/>
      <c r="W121" s="143"/>
      <c r="X121" s="143"/>
      <c r="Y121" s="143"/>
      <c r="Z121" s="143"/>
      <c r="AA121" s="143"/>
      <c r="AB121" s="143"/>
      <c r="AC121" s="143"/>
      <c r="AD121" s="143"/>
      <c r="AE121" s="143"/>
      <c r="AF121" s="143"/>
      <c r="AG121" s="143"/>
      <c r="AH121" s="143"/>
      <c r="AI121" s="143"/>
      <c r="AJ121" s="143"/>
    </row>
    <row r="122" spans="1:36" s="19" customFormat="1" x14ac:dyDescent="0.25">
      <c r="A122" s="3"/>
      <c r="B122" s="5" t="s">
        <v>0</v>
      </c>
      <c r="C122" s="5" t="s">
        <v>6</v>
      </c>
      <c r="D122" s="5" t="s">
        <v>127</v>
      </c>
      <c r="E122" s="3"/>
      <c r="F122" s="131"/>
      <c r="G122" s="3"/>
      <c r="H122" s="128"/>
      <c r="I122" s="128"/>
      <c r="J122" s="128"/>
      <c r="K122" s="143"/>
      <c r="L122" s="149"/>
      <c r="M122" s="143"/>
      <c r="N122" s="149"/>
      <c r="O122" s="128"/>
      <c r="P122" s="128"/>
      <c r="Q122" s="277"/>
      <c r="R122" s="143"/>
      <c r="S122" s="143"/>
      <c r="T122" s="377"/>
      <c r="U122" s="143"/>
      <c r="V122" s="143"/>
      <c r="W122" s="143"/>
      <c r="X122" s="143"/>
      <c r="Y122" s="143"/>
      <c r="Z122" s="143"/>
      <c r="AA122" s="143"/>
      <c r="AB122" s="143"/>
      <c r="AC122" s="143"/>
      <c r="AD122" s="143"/>
      <c r="AE122" s="143"/>
      <c r="AF122" s="143"/>
      <c r="AG122" s="143"/>
      <c r="AH122" s="143"/>
      <c r="AI122" s="143"/>
      <c r="AJ122" s="143"/>
    </row>
    <row r="123" spans="1:36" s="19" customFormat="1" x14ac:dyDescent="0.25">
      <c r="A123" s="3"/>
      <c r="B123" s="3" t="str">
        <f t="shared" ref="B123:D128" si="50">B122</f>
        <v>Energex</v>
      </c>
      <c r="C123" s="3" t="str">
        <f t="shared" si="50"/>
        <v>Residential</v>
      </c>
      <c r="D123" s="3" t="str">
        <f t="shared" si="50"/>
        <v>without CL</v>
      </c>
      <c r="E123" s="3" t="s">
        <v>19</v>
      </c>
      <c r="F123" s="131">
        <f t="array" ref="F123">IFERROR(INDEX(Usage!$B$5:$P$18,MATCH($B123,Usage!$B$5:$B$18,0),MATCH($C123&amp;$D123&amp;$E123&amp;"Total",Usage!$B$5:$S$5&amp;Usage!$B$6:$S$6&amp;Usage!$B$7:$S$7&amp;Usage!$B$13:$S$13,0)),0)</f>
        <v>4600</v>
      </c>
      <c r="G123" s="3" t="s">
        <v>74</v>
      </c>
      <c r="H123" s="128"/>
      <c r="I123" s="128">
        <f t="array" ref="I123">IFERROR(INDEX('Detail inputs'!$B$3:$K$195,MATCH($B123&amp;$G123&amp;I$5,'Detail inputs'!$B$3:$B$195&amp;'Detail inputs'!$G$3:$G$195&amp;'Detail inputs'!$H$3:$H$195,0),MATCH(I$4,'Detail inputs'!$B$3:$K$3,0)),0)</f>
        <v>7.54</v>
      </c>
      <c r="J123" s="128">
        <f>IF(AND(H123="",I123=""),"",H123+I123*+Usage!C$38/1000)</f>
        <v>34.683999999999997</v>
      </c>
      <c r="K123" s="143">
        <f>IFERROR(J123/J126,"")</f>
        <v>0.45614035087719296</v>
      </c>
      <c r="L123" s="140"/>
      <c r="M123" s="143">
        <f>IF(OR(J123=0,Q123=""),"",Q123/J123-1)</f>
        <v>-0.1887211338746565</v>
      </c>
      <c r="N123" s="140"/>
      <c r="O123" s="128"/>
      <c r="P123" s="128">
        <f t="array" ref="P123">IFERROR(INDEX('Detail inputs'!$B$3:$K$195,MATCH($B123&amp;$G123&amp;P$5,'Detail inputs'!$B$3:$B$195&amp;'Detail inputs'!$G$3:$G$195&amp;'Detail inputs'!$H$3:$H$195,0),MATCH(P$4,'Detail inputs'!$B$3:$K$3,0)),0)</f>
        <v>6.1170426505850894</v>
      </c>
      <c r="Q123" s="277">
        <f>IF(AND(O123="",P123=""),"",O123+P123*$F123/1000)</f>
        <v>28.138396192691413</v>
      </c>
      <c r="R123" s="143">
        <f>IFERROR(Q123/Q126,"")</f>
        <v>0.51325965918250471</v>
      </c>
      <c r="S123" s="143"/>
      <c r="T123" s="378"/>
      <c r="U123" s="143"/>
      <c r="V123" s="143"/>
      <c r="W123" s="143"/>
      <c r="X123" s="143"/>
      <c r="Y123" s="143"/>
      <c r="Z123" s="143"/>
      <c r="AA123" s="143"/>
      <c r="AB123" s="143"/>
      <c r="AC123" s="143"/>
      <c r="AD123" s="143"/>
      <c r="AE123" s="143"/>
      <c r="AF123" s="143"/>
      <c r="AG123" s="143"/>
      <c r="AH123" s="143"/>
      <c r="AI123" s="143"/>
      <c r="AJ123" s="143"/>
    </row>
    <row r="124" spans="1:36" s="19" customFormat="1" x14ac:dyDescent="0.25">
      <c r="A124" s="3"/>
      <c r="B124" s="3" t="str">
        <f t="shared" si="50"/>
        <v>Energex</v>
      </c>
      <c r="C124" s="3" t="str">
        <f t="shared" si="50"/>
        <v>Residential</v>
      </c>
      <c r="D124" s="3" t="str">
        <f t="shared" si="50"/>
        <v>without CL</v>
      </c>
      <c r="E124" s="3" t="s">
        <v>19</v>
      </c>
      <c r="F124" s="131">
        <f t="array" ref="F124">IFERROR(INDEX(Usage!$B$5:$P$18,MATCH($B124,Usage!$B$5:$B$18,0),MATCH($C124&amp;$D124&amp;$E124&amp;"Total",Usage!$B$5:$S$5&amp;Usage!$B$6:$S$6&amp;Usage!$B$7:$S$7&amp;Usage!$B$13:$S$13,0)),0)</f>
        <v>4600</v>
      </c>
      <c r="G124" s="3" t="s">
        <v>75</v>
      </c>
      <c r="H124" s="128"/>
      <c r="I124" s="128">
        <f t="array" ref="I124">IFERROR(INDEX('Detail inputs'!$B$3:$K$195,MATCH($B124&amp;$G124&amp;I$5,'Detail inputs'!$B$3:$B$195&amp;'Detail inputs'!$G$3:$G$195&amp;'Detail inputs'!$H$3:$H$195,0),MATCH(I$4,'Detail inputs'!$B$3:$K$3,0)),0)</f>
        <v>7.85</v>
      </c>
      <c r="J124" s="128">
        <f>IF(AND(H124="",I124=""),"",H124+I124*+Usage!C$38/1000)</f>
        <v>36.11</v>
      </c>
      <c r="K124" s="143">
        <f>IFERROR(J124/J126,"")</f>
        <v>0.47489413188142771</v>
      </c>
      <c r="L124" s="140"/>
      <c r="M124" s="143">
        <f>IF(OR(J124=0,Q124=""),"",Q124/J124-1)</f>
        <v>-0.3457324840764332</v>
      </c>
      <c r="N124" s="140"/>
      <c r="O124" s="128"/>
      <c r="P124" s="128">
        <f t="array" ref="P124">IFERROR(INDEX('Detail inputs'!$B$3:$K$195,MATCH($B124&amp;$G124&amp;P$5,'Detail inputs'!$B$3:$B$195&amp;'Detail inputs'!$G$3:$G$195&amp;'Detail inputs'!$H$3:$H$195,0),MATCH(P$4,'Detail inputs'!$B$3:$K$3,0)),0)</f>
        <v>5.1359999999999992</v>
      </c>
      <c r="Q124" s="277">
        <f>IF(AND(O124="",P124=""),"",O124+P124*$F124/1000)</f>
        <v>23.625599999999995</v>
      </c>
      <c r="R124" s="143">
        <f>IFERROR(Q124/Q126,"")</f>
        <v>0.43094380081021716</v>
      </c>
      <c r="S124" s="143"/>
      <c r="T124" s="377"/>
      <c r="U124" s="143"/>
      <c r="V124" s="143"/>
      <c r="W124" s="143"/>
      <c r="X124" s="143"/>
      <c r="Y124" s="143"/>
      <c r="Z124" s="143"/>
      <c r="AA124" s="143"/>
      <c r="AB124" s="143"/>
      <c r="AC124" s="143"/>
      <c r="AD124" s="143"/>
      <c r="AE124" s="143"/>
      <c r="AF124" s="143"/>
      <c r="AG124" s="143"/>
      <c r="AH124" s="143"/>
      <c r="AI124" s="143"/>
      <c r="AJ124" s="143"/>
    </row>
    <row r="125" spans="1:36" s="19" customFormat="1" x14ac:dyDescent="0.25">
      <c r="A125" s="3"/>
      <c r="B125" s="3" t="str">
        <f t="shared" si="50"/>
        <v>Energex</v>
      </c>
      <c r="C125" s="3" t="str">
        <f t="shared" si="50"/>
        <v>Residential</v>
      </c>
      <c r="D125" s="3" t="str">
        <f t="shared" si="50"/>
        <v>without CL</v>
      </c>
      <c r="E125" s="3" t="s">
        <v>19</v>
      </c>
      <c r="F125" s="131">
        <f t="array" ref="F125">IFERROR(INDEX(Usage!$B$5:$P$18,MATCH($B125,Usage!$B$5:$B$18,0),MATCH($C125&amp;$D125&amp;$E125&amp;"Total",Usage!$B$5:$S$5&amp;Usage!$B$6:$S$6&amp;Usage!$B$7:$S$7&amp;Usage!$B$13:$S$13,0)),0)</f>
        <v>4600</v>
      </c>
      <c r="G125" s="3" t="s">
        <v>73</v>
      </c>
      <c r="H125" s="128"/>
      <c r="I125" s="128" cm="1">
        <f t="array" ref="I125">IFERROR(INDEX('Detail inputs'!$B$3:$K$195,MATCH($B125&amp;$C125&amp;$E125&amp;$G125&amp;I$5,'Detail inputs'!$B$3:$B$195&amp;'Detail inputs'!$D$3:$D$195&amp;'Detail inputs'!$F$3:$F$195&amp;'Detail inputs'!$G$3:$G$195&amp;'Detail inputs'!$H$3:$H$195,0),MATCH(I$4,'Detail inputs'!$B$3:$K$3,0)),0)*SUM(I123:I124)</f>
        <v>1.13886</v>
      </c>
      <c r="J125" s="128">
        <f>IF(AND(H125="",I125=""),"",H125+I125*+Usage!C$38/1000)</f>
        <v>5.2387560000000004</v>
      </c>
      <c r="K125" s="143">
        <f>IFERROR(J125/J126,"")</f>
        <v>6.8896551724137944E-2</v>
      </c>
      <c r="L125" s="140"/>
      <c r="M125" s="143">
        <f>IF(OR(J125=0,Q125=""),"",Q125/J125-1)</f>
        <v>-0.41609619331927084</v>
      </c>
      <c r="N125" s="140"/>
      <c r="O125" s="128"/>
      <c r="P125" s="128" cm="1">
        <f t="array" ref="P125">IFERROR(INDEX('Detail inputs'!$B$3:$K$195,MATCH($B125&amp;$C125&amp;$E125&amp;$G125&amp;P$5,'Detail inputs'!$B$3:$B$195&amp;'Detail inputs'!$D$3:$D$195&amp;'Detail inputs'!$F$3:$F$195&amp;'Detail inputs'!$G$3:$G$195&amp;'Detail inputs'!$H$3:$H$195,0),MATCH(P$4,'Detail inputs'!$B$3:$K$3,0)),0)*SUM(P121:P124)</f>
        <v>0.6649846892764153</v>
      </c>
      <c r="Q125" s="277">
        <f>IF(AND(O125="",P125=""),"",O125+P125*$F125/1000)</f>
        <v>3.0589295706715101</v>
      </c>
      <c r="R125" s="143">
        <f>IFERROR(Q125/Q126,"")</f>
        <v>5.5796540007277982E-2</v>
      </c>
      <c r="S125" s="143"/>
      <c r="T125" s="377"/>
      <c r="U125" s="143"/>
      <c r="V125" s="143"/>
      <c r="W125" s="143"/>
      <c r="X125" s="143"/>
      <c r="Y125" s="143"/>
      <c r="Z125" s="143"/>
      <c r="AA125" s="143"/>
      <c r="AB125" s="143"/>
      <c r="AC125" s="143"/>
      <c r="AD125" s="143"/>
      <c r="AE125" s="143"/>
      <c r="AF125" s="143"/>
      <c r="AG125" s="143"/>
      <c r="AH125" s="143"/>
      <c r="AI125" s="143"/>
      <c r="AJ125" s="143"/>
    </row>
    <row r="126" spans="1:36" s="19" customFormat="1" x14ac:dyDescent="0.25">
      <c r="A126" s="3"/>
      <c r="B126" s="3" t="str">
        <f t="shared" si="50"/>
        <v>Energex</v>
      </c>
      <c r="C126" s="3" t="str">
        <f t="shared" si="50"/>
        <v>Residential</v>
      </c>
      <c r="D126" s="3" t="str">
        <f t="shared" si="50"/>
        <v>without CL</v>
      </c>
      <c r="E126" s="3" t="s">
        <v>19</v>
      </c>
      <c r="F126" s="131">
        <f t="array" ref="F126">IFERROR(INDEX(Usage!$B$5:$P$18,MATCH($B126,Usage!$B$5:$B$18,0),MATCH($C126&amp;$D126&amp;$E126&amp;"Total",Usage!$B$5:$S$5&amp;Usage!$B$6:$S$6&amp;Usage!$B$7:$S$7&amp;Usage!$B$13:$S$13,0)),0)</f>
        <v>4600</v>
      </c>
      <c r="G126" s="5" t="s">
        <v>55</v>
      </c>
      <c r="H126" s="130">
        <f>SUM(H121:H125)</f>
        <v>0</v>
      </c>
      <c r="I126" s="130">
        <v>16.53</v>
      </c>
      <c r="J126" s="130">
        <f>IF(AND(H126="",I126=""),"",H126+I126*+Usage!C$38/1000)</f>
        <v>76.037999999999997</v>
      </c>
      <c r="K126" s="145"/>
      <c r="L126" s="150"/>
      <c r="M126" s="145">
        <f>IF(OR(J126=0,Q126=""),"",Q126/J126-1)</f>
        <v>-0.2790062105346941</v>
      </c>
      <c r="N126" s="150"/>
      <c r="O126" s="130">
        <f>SUM(O123:O125)</f>
        <v>0</v>
      </c>
      <c r="P126" s="130">
        <f>SUM(P121:P125)</f>
        <v>11.918027339861505</v>
      </c>
      <c r="Q126" s="130">
        <f>IF(AND(O126="",P126=""),"",O126+P126*$F126/1000)</f>
        <v>54.822925763362925</v>
      </c>
      <c r="R126" s="145"/>
      <c r="S126" s="145"/>
      <c r="T126" s="379"/>
      <c r="U126" s="145"/>
      <c r="V126" s="145"/>
      <c r="W126" s="145"/>
      <c r="X126" s="145"/>
      <c r="Y126" s="145"/>
      <c r="Z126" s="145"/>
      <c r="AA126" s="145"/>
      <c r="AB126" s="145"/>
      <c r="AC126" s="145"/>
      <c r="AD126" s="145"/>
      <c r="AE126" s="145"/>
      <c r="AF126" s="145"/>
      <c r="AG126" s="145"/>
      <c r="AH126" s="145"/>
      <c r="AI126" s="145"/>
      <c r="AJ126" s="145"/>
    </row>
    <row r="127" spans="1:36" s="19" customFormat="1" x14ac:dyDescent="0.25">
      <c r="A127" s="3"/>
      <c r="B127" s="3" t="str">
        <f t="shared" si="50"/>
        <v>Energex</v>
      </c>
      <c r="C127" s="3" t="str">
        <f t="shared" si="50"/>
        <v>Residential</v>
      </c>
      <c r="D127" s="3" t="str">
        <f t="shared" si="50"/>
        <v>without CL</v>
      </c>
      <c r="E127" s="3"/>
      <c r="F127" s="131"/>
      <c r="G127" s="3" t="s">
        <v>38</v>
      </c>
      <c r="H127" s="128"/>
      <c r="I127" s="128"/>
      <c r="J127" s="128">
        <f>J126*GST</f>
        <v>7.6037999999999997</v>
      </c>
      <c r="K127" s="144"/>
      <c r="L127" s="149"/>
      <c r="M127" s="144"/>
      <c r="N127" s="149"/>
      <c r="O127" s="128"/>
      <c r="P127" s="128"/>
      <c r="Q127" s="277">
        <f>Q126*GST</f>
        <v>5.4822925763362926</v>
      </c>
      <c r="R127" s="145"/>
      <c r="S127" s="145"/>
      <c r="T127" s="379"/>
      <c r="U127" s="145"/>
      <c r="V127" s="145"/>
      <c r="W127" s="145"/>
      <c r="X127" s="145"/>
      <c r="Y127" s="145"/>
      <c r="Z127" s="145"/>
      <c r="AA127" s="145"/>
      <c r="AB127" s="145"/>
      <c r="AC127" s="145"/>
      <c r="AD127" s="145"/>
      <c r="AE127" s="145"/>
      <c r="AF127" s="145"/>
      <c r="AG127" s="145"/>
      <c r="AH127" s="145"/>
      <c r="AI127" s="145"/>
      <c r="AJ127" s="145"/>
    </row>
    <row r="128" spans="1:36" s="19" customFormat="1" x14ac:dyDescent="0.25">
      <c r="A128" s="3"/>
      <c r="B128" s="3" t="str">
        <f t="shared" si="50"/>
        <v>Energex</v>
      </c>
      <c r="C128" s="3" t="str">
        <f t="shared" si="50"/>
        <v>Residential</v>
      </c>
      <c r="D128" s="3" t="str">
        <f t="shared" si="50"/>
        <v>without CL</v>
      </c>
      <c r="E128" s="3"/>
      <c r="F128" s="131"/>
      <c r="G128" s="5" t="s">
        <v>80</v>
      </c>
      <c r="H128" s="130"/>
      <c r="I128" s="130"/>
      <c r="J128" s="130">
        <f>SUM(J126:J127)</f>
        <v>83.641799999999989</v>
      </c>
      <c r="K128" s="145"/>
      <c r="L128" s="150"/>
      <c r="M128" s="145">
        <f>IF(OR(J128=0,Q128=""),"",Q128/J128-1)</f>
        <v>-0.2790062105346941</v>
      </c>
      <c r="N128" s="150"/>
      <c r="O128" s="130"/>
      <c r="P128" s="130"/>
      <c r="Q128" s="130">
        <f>SUM(Q126:Q127)</f>
        <v>60.305218339699216</v>
      </c>
      <c r="R128" s="145"/>
      <c r="S128" s="145"/>
      <c r="T128" s="379"/>
      <c r="U128" s="145"/>
      <c r="V128" s="145"/>
      <c r="W128" s="145"/>
      <c r="X128" s="145"/>
      <c r="Y128" s="145"/>
      <c r="Z128" s="145"/>
      <c r="AA128" s="145"/>
      <c r="AB128" s="145"/>
      <c r="AC128" s="145"/>
      <c r="AD128" s="145"/>
      <c r="AE128" s="145"/>
      <c r="AF128" s="145"/>
      <c r="AG128" s="145"/>
      <c r="AH128" s="145"/>
      <c r="AI128" s="145"/>
      <c r="AJ128" s="145"/>
    </row>
    <row r="129" spans="1:36" s="19" customFormat="1" x14ac:dyDescent="0.25">
      <c r="A129" s="3"/>
      <c r="B129" s="3"/>
      <c r="C129" s="3"/>
      <c r="D129" s="3"/>
      <c r="E129" s="3"/>
      <c r="F129" s="131"/>
      <c r="G129" s="3"/>
      <c r="H129" s="128"/>
      <c r="I129" s="128"/>
      <c r="J129" s="128"/>
      <c r="K129" s="143"/>
      <c r="L129" s="149"/>
      <c r="M129" s="143"/>
      <c r="N129" s="149"/>
      <c r="O129" s="128"/>
      <c r="P129" s="128"/>
      <c r="Q129" s="277"/>
      <c r="R129" s="143"/>
      <c r="S129" s="143"/>
      <c r="T129" s="377"/>
      <c r="U129" s="143"/>
      <c r="V129" s="143"/>
      <c r="W129" s="143"/>
      <c r="X129" s="143"/>
      <c r="Y129" s="143"/>
      <c r="Z129" s="143"/>
      <c r="AA129" s="143"/>
      <c r="AB129" s="143"/>
      <c r="AC129" s="143"/>
      <c r="AD129" s="143"/>
      <c r="AE129" s="143"/>
      <c r="AF129" s="143"/>
      <c r="AG129" s="143"/>
      <c r="AH129" s="143"/>
      <c r="AI129" s="143"/>
      <c r="AJ129" s="143"/>
    </row>
    <row r="130" spans="1:36" s="19" customFormat="1" x14ac:dyDescent="0.25">
      <c r="A130" s="3"/>
      <c r="B130" s="5" t="s">
        <v>0</v>
      </c>
      <c r="C130" s="5" t="s">
        <v>6</v>
      </c>
      <c r="D130" s="5" t="s">
        <v>128</v>
      </c>
      <c r="E130" s="3"/>
      <c r="F130" s="131"/>
      <c r="G130" s="3"/>
      <c r="H130" s="128"/>
      <c r="I130" s="128"/>
      <c r="J130" s="128"/>
      <c r="K130" s="143"/>
      <c r="L130" s="149"/>
      <c r="M130" s="143"/>
      <c r="N130" s="149"/>
      <c r="O130" s="128"/>
      <c r="P130" s="128"/>
      <c r="Q130" s="277"/>
      <c r="R130" s="143"/>
      <c r="S130" s="143"/>
      <c r="T130" s="377"/>
      <c r="U130" s="143"/>
      <c r="V130" s="143"/>
      <c r="W130" s="143"/>
      <c r="X130" s="143"/>
      <c r="Y130" s="143"/>
      <c r="Z130" s="143"/>
      <c r="AA130" s="143"/>
      <c r="AB130" s="143"/>
      <c r="AC130" s="143"/>
      <c r="AD130" s="143"/>
      <c r="AE130" s="143"/>
      <c r="AF130" s="143"/>
      <c r="AG130" s="143"/>
      <c r="AH130" s="143"/>
      <c r="AI130" s="143"/>
      <c r="AJ130" s="143"/>
    </row>
    <row r="131" spans="1:36" s="19" customFormat="1" x14ac:dyDescent="0.25">
      <c r="A131" s="3"/>
      <c r="B131" s="3" t="str">
        <f t="shared" ref="B131:B140" si="51">B130</f>
        <v>Energex</v>
      </c>
      <c r="C131" s="3" t="str">
        <f t="shared" ref="C131:C140" si="52">C130</f>
        <v>Residential</v>
      </c>
      <c r="D131" s="3" t="str">
        <f t="shared" ref="D131:D140" si="53">D130</f>
        <v>with CL</v>
      </c>
      <c r="E131" s="3" t="s">
        <v>19</v>
      </c>
      <c r="F131" s="131">
        <f t="array" ref="F131">IFERROR(INDEX(Usage!$B$5:$P$18,MATCH($B131,Usage!$B$5:$B$18,0),MATCH($C131&amp;$D131&amp;$E131&amp;"Total",Usage!$B$5:$S$5&amp;Usage!$B$6:$S$6&amp;Usage!$B$7:$S$7&amp;Usage!$B$13:$S$13,0)),0)</f>
        <v>4400</v>
      </c>
      <c r="G131" s="5" t="s">
        <v>55</v>
      </c>
      <c r="H131" s="130">
        <f>H126</f>
        <v>0</v>
      </c>
      <c r="I131" s="130">
        <v>16.53</v>
      </c>
      <c r="J131" s="130">
        <f>IF(AND(H131="",I131=""),"",H131+I131*+Usage!E38/1000)</f>
        <v>72.731999999999999</v>
      </c>
      <c r="K131" s="145"/>
      <c r="L131" s="150"/>
      <c r="M131" s="145">
        <f t="shared" ref="M131:M140" si="54">IF(OR(J131=0,Q131=""),"",Q131/J131-1)</f>
        <v>-0.27900621053469421</v>
      </c>
      <c r="N131" s="150"/>
      <c r="O131" s="130">
        <f>O126</f>
        <v>0</v>
      </c>
      <c r="P131" s="130">
        <f>P126</f>
        <v>11.918027339861505</v>
      </c>
      <c r="Q131" s="130">
        <f>IF(AND(O131="",P131=""),"",O131+P131*$F131/1000)</f>
        <v>52.439320295390623</v>
      </c>
      <c r="R131" s="143"/>
      <c r="S131" s="143"/>
      <c r="T131" s="378"/>
      <c r="U131" s="143"/>
      <c r="V131" s="143"/>
      <c r="W131" s="143"/>
      <c r="X131" s="143"/>
      <c r="Y131" s="143"/>
      <c r="Z131" s="143"/>
      <c r="AA131" s="143"/>
      <c r="AB131" s="143"/>
      <c r="AC131" s="143"/>
      <c r="AD131" s="143"/>
      <c r="AE131" s="143"/>
      <c r="AF131" s="143"/>
      <c r="AG131" s="143"/>
      <c r="AH131" s="143"/>
      <c r="AI131" s="143"/>
      <c r="AJ131" s="143"/>
    </row>
    <row r="132" spans="1:36" s="19" customFormat="1" x14ac:dyDescent="0.25">
      <c r="A132" s="3"/>
      <c r="B132" s="3" t="str">
        <f t="shared" si="51"/>
        <v>Energex</v>
      </c>
      <c r="C132" s="3" t="str">
        <f t="shared" si="52"/>
        <v>Residential</v>
      </c>
      <c r="D132" s="3" t="str">
        <f t="shared" si="53"/>
        <v>with CL</v>
      </c>
      <c r="E132" s="3" t="s">
        <v>14</v>
      </c>
      <c r="F132" s="131">
        <f t="array" ref="F132">IFERROR(INDEX(Usage!$B$5:$P$18,MATCH($B132,Usage!$B$5:$B$18,0),MATCH($C132&amp;$D132&amp;$E132,Usage!$B$5:$S$5&amp;Usage!$B$6:$S$6&amp;Usage!$B$7:$S$7,0)),0)</f>
        <v>551</v>
      </c>
      <c r="G132" s="3" t="s">
        <v>74</v>
      </c>
      <c r="H132" s="128"/>
      <c r="I132" s="128">
        <f t="array" ref="I132">IFERROR(INDEX('Detail inputs'!$B$3:$K$195,MATCH($B132&amp;$G132&amp;I$5,'Detail inputs'!$B$3:$B$195&amp;'Detail inputs'!$G$3:$G$195&amp;'Detail inputs'!$H$3:$H$195,0),MATCH(I$4,'Detail inputs'!$B$3:$K$3,0)),0)</f>
        <v>7.54</v>
      </c>
      <c r="J132" s="128">
        <f>IF(AND(H132="",I132=""),"",H132+I132*+Usage!H$38/1000)</f>
        <v>4.1545399999999999</v>
      </c>
      <c r="K132" s="143">
        <f>IFERROR(J132/J135,"")</f>
        <v>0.4561403508771929</v>
      </c>
      <c r="L132" s="140"/>
      <c r="M132" s="143">
        <f t="shared" si="54"/>
        <v>-0.18872113387465661</v>
      </c>
      <c r="N132" s="140"/>
      <c r="O132" s="128"/>
      <c r="P132" s="128">
        <f t="array" ref="P132">IFERROR(INDEX('Detail inputs'!$B$3:$K$195,MATCH($B132&amp;$G132&amp;P$5,'Detail inputs'!$B$3:$B$195&amp;'Detail inputs'!$G$3:$G$195&amp;'Detail inputs'!$H$3:$H$195,0),MATCH(P$4,'Detail inputs'!$B$3:$K$3,0)),0)</f>
        <v>6.1170426505850894</v>
      </c>
      <c r="Q132" s="277">
        <f t="shared" ref="Q132:Q139" si="55">IF(AND(O132="",P132=""),"",O132+P132*$F132/1000)</f>
        <v>3.3704905004723842</v>
      </c>
      <c r="R132" s="143">
        <f>IFERROR(Q132/Q135,"")</f>
        <v>0.51325965918250471</v>
      </c>
      <c r="S132" s="143"/>
      <c r="T132" s="378"/>
      <c r="U132" s="143"/>
      <c r="V132" s="143"/>
      <c r="W132" s="143"/>
      <c r="X132" s="143"/>
      <c r="Y132" s="143"/>
      <c r="Z132" s="143"/>
      <c r="AA132" s="143"/>
      <c r="AB132" s="143"/>
      <c r="AC132" s="143"/>
      <c r="AD132" s="143"/>
      <c r="AE132" s="143"/>
      <c r="AF132" s="143"/>
      <c r="AG132" s="143"/>
      <c r="AH132" s="143"/>
      <c r="AI132" s="143"/>
      <c r="AJ132" s="143"/>
    </row>
    <row r="133" spans="1:36" s="19" customFormat="1" x14ac:dyDescent="0.25">
      <c r="A133" s="3"/>
      <c r="B133" s="3" t="str">
        <f t="shared" si="51"/>
        <v>Energex</v>
      </c>
      <c r="C133" s="3" t="str">
        <f t="shared" si="52"/>
        <v>Residential</v>
      </c>
      <c r="D133" s="3" t="str">
        <f t="shared" si="53"/>
        <v>with CL</v>
      </c>
      <c r="E133" s="3" t="s">
        <v>14</v>
      </c>
      <c r="F133" s="131">
        <f t="array" ref="F133">IFERROR(INDEX(Usage!$B$5:$P$18,MATCH($B133,Usage!$B$5:$B$18,0),MATCH($C133&amp;$D133&amp;$E133,Usage!$B$5:$S$5&amp;Usage!$B$6:$S$6&amp;Usage!$B$7:$S$7,0)),0)</f>
        <v>551</v>
      </c>
      <c r="G133" s="3" t="s">
        <v>75</v>
      </c>
      <c r="H133" s="128"/>
      <c r="I133" s="128">
        <f t="array" ref="I133">IFERROR(INDEX('Detail inputs'!$B$3:$K$195,MATCH($B133&amp;$G133&amp;I$5,'Detail inputs'!$B$3:$B$195&amp;'Detail inputs'!$G$3:$G$195&amp;'Detail inputs'!$H$3:$H$195,0),MATCH(I$4,'Detail inputs'!$B$3:$K$3,0)),0)</f>
        <v>7.85</v>
      </c>
      <c r="J133" s="128">
        <f>IF(AND(H133="",I133=""),"",H133+I133*+Usage!H$38/1000)</f>
        <v>4.3253499999999994</v>
      </c>
      <c r="K133" s="143">
        <f>IFERROR(J133/J135,"")</f>
        <v>0.47489413188142759</v>
      </c>
      <c r="L133" s="140"/>
      <c r="M133" s="143">
        <f t="shared" si="54"/>
        <v>-0.34573248407643309</v>
      </c>
      <c r="N133" s="140"/>
      <c r="O133" s="128"/>
      <c r="P133" s="128">
        <f t="array" ref="P133">IFERROR(INDEX('Detail inputs'!$B$3:$K$195,MATCH($B133&amp;$G133&amp;P$5,'Detail inputs'!$B$3:$B$195&amp;'Detail inputs'!$G$3:$G$195&amp;'Detail inputs'!$H$3:$H$195,0),MATCH(P$4,'Detail inputs'!$B$3:$K$3,0)),0)</f>
        <v>5.1359999999999992</v>
      </c>
      <c r="Q133" s="277">
        <f t="shared" si="55"/>
        <v>2.8299359999999996</v>
      </c>
      <c r="R133" s="143">
        <f>IFERROR(Q133/Q135,"")</f>
        <v>0.43094380081021721</v>
      </c>
      <c r="S133" s="143"/>
      <c r="T133" s="377"/>
      <c r="U133" s="143"/>
      <c r="V133" s="143"/>
      <c r="W133" s="143"/>
      <c r="X133" s="143"/>
      <c r="Y133" s="143"/>
      <c r="Z133" s="143"/>
      <c r="AA133" s="143"/>
      <c r="AB133" s="143"/>
      <c r="AC133" s="143"/>
      <c r="AD133" s="143"/>
      <c r="AE133" s="143"/>
      <c r="AF133" s="143"/>
      <c r="AG133" s="143"/>
      <c r="AH133" s="143"/>
      <c r="AI133" s="143"/>
      <c r="AJ133" s="143"/>
    </row>
    <row r="134" spans="1:36" s="19" customFormat="1" x14ac:dyDescent="0.25">
      <c r="A134" s="3"/>
      <c r="B134" s="3" t="str">
        <f t="shared" si="51"/>
        <v>Energex</v>
      </c>
      <c r="C134" s="3" t="str">
        <f t="shared" si="52"/>
        <v>Residential</v>
      </c>
      <c r="D134" s="3" t="str">
        <f t="shared" si="53"/>
        <v>with CL</v>
      </c>
      <c r="E134" s="3" t="s">
        <v>14</v>
      </c>
      <c r="F134" s="131">
        <f t="array" ref="F134">IFERROR(INDEX(Usage!$B$5:$P$18,MATCH($B134,Usage!$B$5:$B$18,0),MATCH($C134&amp;$D134&amp;$E134,Usage!$B$5:$S$5&amp;Usage!$B$6:$S$6&amp;Usage!$B$7:$S$7,0)),0)</f>
        <v>551</v>
      </c>
      <c r="G134" s="3" t="s">
        <v>73</v>
      </c>
      <c r="H134" s="128"/>
      <c r="I134" s="128" cm="1">
        <f t="array" ref="I134">IFERROR(INDEX('Detail inputs'!$B$3:$K$195,MATCH($B134&amp;$C134&amp;$E134&amp;$G134&amp;I$5,'Detail inputs'!$B$3:$B$195&amp;'Detail inputs'!$D$3:$D$195&amp;'Detail inputs'!$F$3:$F$195&amp;'Detail inputs'!$G$3:$G$195&amp;'Detail inputs'!$H$3:$H$195,0),MATCH(I$4,'Detail inputs'!$B$3:$K$3,0)),0)*SUM(I132:I133)</f>
        <v>1.13886</v>
      </c>
      <c r="J134" s="128">
        <f>IF(AND(H134="",I134=""),"",H134+I134*+Usage!H$38/1000)</f>
        <v>0.62751185999999992</v>
      </c>
      <c r="K134" s="143">
        <f>IFERROR(J134/J135,"")</f>
        <v>6.8896551724137917E-2</v>
      </c>
      <c r="L134" s="140"/>
      <c r="M134" s="143">
        <f t="shared" si="54"/>
        <v>-0.41609619331927061</v>
      </c>
      <c r="N134" s="140"/>
      <c r="O134" s="128"/>
      <c r="P134" s="128" cm="1">
        <f t="array" ref="P134">IFERROR(INDEX('Detail inputs'!$B$3:$K$195,MATCH($B134&amp;$C134&amp;$E134&amp;$G134&amp;P$5,'Detail inputs'!$B$3:$B$195&amp;'Detail inputs'!$D$3:$D$195&amp;'Detail inputs'!$F$3:$F$195&amp;'Detail inputs'!$G$3:$G$195&amp;'Detail inputs'!$H$3:$H$195,0),MATCH(P$4,'Detail inputs'!$B$3:$K$3,0)),0)*SUM(P132:P133)</f>
        <v>0.6649846892764153</v>
      </c>
      <c r="Q134" s="277">
        <f t="shared" si="55"/>
        <v>0.36640656379130487</v>
      </c>
      <c r="R134" s="143">
        <f>IFERROR(Q134/Q135,"")</f>
        <v>5.5796540007277989E-2</v>
      </c>
      <c r="S134" s="143"/>
      <c r="T134" s="377"/>
      <c r="U134" s="143"/>
      <c r="V134" s="143"/>
      <c r="W134" s="143"/>
      <c r="X134" s="143"/>
      <c r="Y134" s="143"/>
      <c r="Z134" s="143"/>
      <c r="AA134" s="143"/>
      <c r="AB134" s="143"/>
      <c r="AC134" s="143"/>
      <c r="AD134" s="143"/>
      <c r="AE134" s="143"/>
      <c r="AF134" s="143"/>
      <c r="AG134" s="143"/>
      <c r="AH134" s="143"/>
      <c r="AI134" s="143"/>
      <c r="AJ134" s="143"/>
    </row>
    <row r="135" spans="1:36" s="19" customFormat="1" x14ac:dyDescent="0.25">
      <c r="A135" s="3"/>
      <c r="B135" s="3" t="str">
        <f t="shared" si="51"/>
        <v>Energex</v>
      </c>
      <c r="C135" s="3" t="str">
        <f t="shared" si="52"/>
        <v>Residential</v>
      </c>
      <c r="D135" s="3" t="str">
        <f t="shared" si="53"/>
        <v>with CL</v>
      </c>
      <c r="E135" s="3" t="s">
        <v>14</v>
      </c>
      <c r="F135" s="131">
        <f t="array" ref="F135">IFERROR(INDEX(Usage!$B$5:$P$18,MATCH($B135,Usage!$B$5:$B$18,0),MATCH($C135&amp;$D135&amp;$E135,Usage!$B$5:$S$5&amp;Usage!$B$6:$S$6&amp;Usage!$B$7:$S$7,0)),0)</f>
        <v>551</v>
      </c>
      <c r="G135" s="5" t="s">
        <v>55</v>
      </c>
      <c r="H135" s="130">
        <f>SUM(H130:H134)</f>
        <v>0</v>
      </c>
      <c r="I135" s="130">
        <v>16.53</v>
      </c>
      <c r="J135" s="130">
        <f>IF(AND(H135="",I135=""),"",H135+I135*+Usage!H$38/1000)</f>
        <v>9.1080300000000012</v>
      </c>
      <c r="K135" s="145"/>
      <c r="L135" s="150"/>
      <c r="M135" s="145">
        <f t="shared" si="54"/>
        <v>-0.27900621053469432</v>
      </c>
      <c r="N135" s="150"/>
      <c r="O135" s="130">
        <f>SUM(O132:O134)</f>
        <v>0</v>
      </c>
      <c r="P135" s="130">
        <f>SUM(P132:P134)</f>
        <v>11.918027339861505</v>
      </c>
      <c r="Q135" s="130">
        <f t="shared" si="55"/>
        <v>6.5668330642636894</v>
      </c>
      <c r="R135" s="144"/>
      <c r="S135" s="144"/>
      <c r="T135" s="377"/>
      <c r="U135" s="144"/>
      <c r="V135" s="144"/>
      <c r="W135" s="144"/>
      <c r="X135" s="144"/>
      <c r="Y135" s="144"/>
      <c r="Z135" s="144"/>
      <c r="AA135" s="144"/>
      <c r="AB135" s="144"/>
      <c r="AC135" s="144"/>
      <c r="AD135" s="144"/>
      <c r="AE135" s="144"/>
      <c r="AF135" s="144"/>
      <c r="AG135" s="144"/>
      <c r="AH135" s="144"/>
      <c r="AI135" s="144"/>
      <c r="AJ135" s="144"/>
    </row>
    <row r="136" spans="1:36" s="19" customFormat="1" x14ac:dyDescent="0.25">
      <c r="A136" s="3"/>
      <c r="B136" s="3" t="str">
        <f t="shared" si="51"/>
        <v>Energex</v>
      </c>
      <c r="C136" s="3" t="str">
        <f t="shared" si="52"/>
        <v>Residential</v>
      </c>
      <c r="D136" s="3" t="str">
        <f t="shared" si="53"/>
        <v>with CL</v>
      </c>
      <c r="E136" s="3" t="s">
        <v>15</v>
      </c>
      <c r="F136" s="131">
        <f t="array" ref="F136">IFERROR(INDEX(Usage!$B$5:$P$18,MATCH($B136,Usage!$B$5:$B$18,0),MATCH($C136&amp;$D136&amp;$E136,Usage!$B$5:$S$5&amp;Usage!$B$6:$S$6&amp;Usage!$B$7:$S$7,0)),0)</f>
        <v>1349</v>
      </c>
      <c r="G136" s="3" t="s">
        <v>74</v>
      </c>
      <c r="H136" s="128"/>
      <c r="I136" s="128">
        <f t="array" ref="I136">IFERROR(INDEX('Detail inputs'!$B$3:$K$195,MATCH($B136&amp;$G136&amp;I$5,'Detail inputs'!$B$3:$B$195&amp;'Detail inputs'!$G$3:$G$195&amp;'Detail inputs'!$H$3:$H$195,0),MATCH(I$4,'Detail inputs'!$B$3:$K$3,0)),0)</f>
        <v>7.54</v>
      </c>
      <c r="J136" s="128">
        <f>IF(AND(H136="",I136=""),"",H136+I136*+Usage!I$38/1000)</f>
        <v>10.171460000000002</v>
      </c>
      <c r="K136" s="143">
        <f>IFERROR(J136/J139,"")</f>
        <v>0.45614035087719301</v>
      </c>
      <c r="L136" s="140"/>
      <c r="M136" s="143">
        <f t="shared" si="54"/>
        <v>-0.18872113387465672</v>
      </c>
      <c r="N136" s="140"/>
      <c r="O136" s="128"/>
      <c r="P136" s="128">
        <f t="array" ref="P136">IFERROR(INDEX('Detail inputs'!$B$3:$K$195,MATCH($B136&amp;$G136&amp;P$5,'Detail inputs'!$B$3:$B$195&amp;'Detail inputs'!$G$3:$G$195&amp;'Detail inputs'!$H$3:$H$195,0),MATCH(P$4,'Detail inputs'!$B$3:$K$3,0)),0)</f>
        <v>6.1170426505850894</v>
      </c>
      <c r="Q136" s="277">
        <f t="shared" si="55"/>
        <v>8.2518905356392853</v>
      </c>
      <c r="R136" s="143">
        <f>IFERROR(Q136/Q139,"")</f>
        <v>0.51325965918250482</v>
      </c>
      <c r="S136" s="143"/>
      <c r="T136" s="378"/>
      <c r="U136" s="143"/>
      <c r="V136" s="143"/>
      <c r="W136" s="143"/>
      <c r="X136" s="143"/>
      <c r="Y136" s="143"/>
      <c r="Z136" s="143"/>
      <c r="AA136" s="143"/>
      <c r="AB136" s="143"/>
      <c r="AC136" s="143"/>
      <c r="AD136" s="143"/>
      <c r="AE136" s="143"/>
      <c r="AF136" s="143"/>
      <c r="AG136" s="143"/>
      <c r="AH136" s="143"/>
      <c r="AI136" s="143"/>
      <c r="AJ136" s="143"/>
    </row>
    <row r="137" spans="1:36" s="19" customFormat="1" x14ac:dyDescent="0.25">
      <c r="A137" s="3"/>
      <c r="B137" s="3" t="str">
        <f t="shared" si="51"/>
        <v>Energex</v>
      </c>
      <c r="C137" s="3" t="str">
        <f t="shared" si="52"/>
        <v>Residential</v>
      </c>
      <c r="D137" s="3" t="str">
        <f t="shared" si="53"/>
        <v>with CL</v>
      </c>
      <c r="E137" s="3" t="s">
        <v>15</v>
      </c>
      <c r="F137" s="131">
        <f t="array" ref="F137">IFERROR(INDEX(Usage!$B$5:$P$18,MATCH($B137,Usage!$B$5:$B$18,0),MATCH($C137&amp;$D137&amp;$E137,Usage!$B$5:$S$5&amp;Usage!$B$6:$S$6&amp;Usage!$B$7:$S$7,0)),0)</f>
        <v>1349</v>
      </c>
      <c r="G137" s="3" t="s">
        <v>75</v>
      </c>
      <c r="H137" s="128"/>
      <c r="I137" s="128">
        <f t="array" ref="I137">IFERROR(INDEX('Detail inputs'!$B$3:$K$195,MATCH($B137&amp;$G137&amp;I$5,'Detail inputs'!$B$3:$B$195&amp;'Detail inputs'!$G$3:$G$195&amp;'Detail inputs'!$H$3:$H$195,0),MATCH(I$4,'Detail inputs'!$B$3:$K$3,0)),0)</f>
        <v>7.85</v>
      </c>
      <c r="J137" s="128">
        <f>IF(AND(H137="",I137=""),"",H137+I137*+Usage!I$38/1000)</f>
        <v>10.589649999999999</v>
      </c>
      <c r="K137" s="144">
        <f>IFERROR(J137/J139,"")</f>
        <v>0.47489413188142765</v>
      </c>
      <c r="L137" s="141"/>
      <c r="M137" s="143">
        <f t="shared" si="54"/>
        <v>-0.34573248407643309</v>
      </c>
      <c r="N137" s="141"/>
      <c r="O137" s="128"/>
      <c r="P137" s="128">
        <f t="array" ref="P137">IFERROR(INDEX('Detail inputs'!$B$3:$K$195,MATCH($B137&amp;$G137&amp;P$5,'Detail inputs'!$B$3:$B$195&amp;'Detail inputs'!$G$3:$G$195&amp;'Detail inputs'!$H$3:$H$195,0),MATCH(P$4,'Detail inputs'!$B$3:$K$3,0)),0)</f>
        <v>5.1359999999999992</v>
      </c>
      <c r="Q137" s="277">
        <f t="shared" si="55"/>
        <v>6.9284639999999991</v>
      </c>
      <c r="R137" s="144">
        <f>IFERROR(Q137/Q139,"")</f>
        <v>0.43094380081021727</v>
      </c>
      <c r="S137" s="144"/>
      <c r="T137" s="377"/>
      <c r="U137" s="144"/>
      <c r="V137" s="144"/>
      <c r="W137" s="144"/>
      <c r="X137" s="144"/>
      <c r="Y137" s="144"/>
      <c r="Z137" s="144"/>
      <c r="AA137" s="144"/>
      <c r="AB137" s="144"/>
      <c r="AC137" s="144"/>
      <c r="AD137" s="144"/>
      <c r="AE137" s="144"/>
      <c r="AF137" s="144"/>
      <c r="AG137" s="144"/>
      <c r="AH137" s="144"/>
      <c r="AI137" s="144"/>
      <c r="AJ137" s="144"/>
    </row>
    <row r="138" spans="1:36" s="19" customFormat="1" x14ac:dyDescent="0.25">
      <c r="A138" s="3"/>
      <c r="B138" s="3" t="str">
        <f t="shared" si="51"/>
        <v>Energex</v>
      </c>
      <c r="C138" s="3" t="str">
        <f t="shared" si="52"/>
        <v>Residential</v>
      </c>
      <c r="D138" s="3" t="str">
        <f t="shared" si="53"/>
        <v>with CL</v>
      </c>
      <c r="E138" s="3" t="s">
        <v>15</v>
      </c>
      <c r="F138" s="131">
        <f t="array" ref="F138">IFERROR(INDEX(Usage!$B$5:$P$18,MATCH($B138,Usage!$B$5:$B$18,0),MATCH($C138&amp;$D138&amp;$E138,Usage!$B$5:$S$5&amp;Usage!$B$6:$S$6&amp;Usage!$B$7:$S$7,0)),0)</f>
        <v>1349</v>
      </c>
      <c r="G138" s="3" t="s">
        <v>73</v>
      </c>
      <c r="H138" s="128"/>
      <c r="I138" s="128" cm="1">
        <f t="array" ref="I138">IFERROR(INDEX('Detail inputs'!$B$3:$K$195,MATCH($B138&amp;$C138&amp;$E138&amp;$G138&amp;I$5,'Detail inputs'!$B$3:$B$195&amp;'Detail inputs'!$D$3:$D$195&amp;'Detail inputs'!$F$3:$F$195&amp;'Detail inputs'!$G$3:$G$195&amp;'Detail inputs'!$H$3:$H$195,0),MATCH(I$4,'Detail inputs'!$B$3:$K$3,0)),0)*SUM(I136:I137)</f>
        <v>1.13886</v>
      </c>
      <c r="J138" s="128">
        <f>IF(AND(H138="",I138=""),"",H138+I138*+Usage!I$38/1000)</f>
        <v>1.53632214</v>
      </c>
      <c r="K138" s="144">
        <f>IFERROR(J138/J139,"")</f>
        <v>6.889655172413793E-2</v>
      </c>
      <c r="L138" s="141"/>
      <c r="M138" s="143">
        <f t="shared" si="54"/>
        <v>-0.41609619331927084</v>
      </c>
      <c r="N138" s="141"/>
      <c r="O138" s="128"/>
      <c r="P138" s="128" cm="1">
        <f t="array" ref="P138">IFERROR(INDEX('Detail inputs'!$B$3:$K$195,MATCH($B138&amp;$C138&amp;$E138&amp;$G138&amp;P$5,'Detail inputs'!$B$3:$B$195&amp;'Detail inputs'!$D$3:$D$195&amp;'Detail inputs'!$F$3:$F$195&amp;'Detail inputs'!$G$3:$G$195&amp;'Detail inputs'!$H$3:$H$195,0),MATCH(P$4,'Detail inputs'!$B$3:$K$3,0)),0)*SUM(P136:P137)</f>
        <v>0.6649846892764153</v>
      </c>
      <c r="Q138" s="277">
        <f t="shared" si="55"/>
        <v>0.89706434583388417</v>
      </c>
      <c r="R138" s="144">
        <f>IFERROR(Q138/Q139,"")</f>
        <v>5.5796540007277989E-2</v>
      </c>
      <c r="S138" s="144"/>
      <c r="T138" s="377"/>
      <c r="U138" s="144"/>
      <c r="V138" s="144"/>
      <c r="W138" s="144"/>
      <c r="X138" s="144"/>
      <c r="Y138" s="144"/>
      <c r="Z138" s="144"/>
      <c r="AA138" s="144"/>
      <c r="AB138" s="144"/>
      <c r="AC138" s="144"/>
      <c r="AD138" s="144"/>
      <c r="AE138" s="144"/>
      <c r="AF138" s="144"/>
      <c r="AG138" s="144"/>
      <c r="AH138" s="144"/>
      <c r="AI138" s="144"/>
      <c r="AJ138" s="144"/>
    </row>
    <row r="139" spans="1:36" s="19" customFormat="1" x14ac:dyDescent="0.25">
      <c r="A139" s="3"/>
      <c r="B139" s="3" t="str">
        <f t="shared" si="51"/>
        <v>Energex</v>
      </c>
      <c r="C139" s="3" t="str">
        <f t="shared" si="52"/>
        <v>Residential</v>
      </c>
      <c r="D139" s="3" t="str">
        <f t="shared" si="53"/>
        <v>with CL</v>
      </c>
      <c r="E139" s="3" t="s">
        <v>15</v>
      </c>
      <c r="F139" s="131">
        <f t="array" ref="F139">IFERROR(INDEX(Usage!$B$5:$P$18,MATCH($B139,Usage!$B$5:$B$18,0),MATCH($C139&amp;$D139&amp;$E139,Usage!$B$5:$S$5&amp;Usage!$B$6:$S$6&amp;Usage!$B$7:$S$7,0)),0)</f>
        <v>1349</v>
      </c>
      <c r="G139" s="5" t="s">
        <v>55</v>
      </c>
      <c r="H139" s="130">
        <f>SUM(H134:H138)</f>
        <v>0</v>
      </c>
      <c r="I139" s="130">
        <v>16.53</v>
      </c>
      <c r="J139" s="130">
        <f>IF(AND(H139="",I139=""),"",H139+I139*+Usage!I$38/1000)</f>
        <v>22.298970000000001</v>
      </c>
      <c r="K139" s="145"/>
      <c r="L139" s="150"/>
      <c r="M139" s="145">
        <f t="shared" si="54"/>
        <v>-0.27900621053469432</v>
      </c>
      <c r="N139" s="150"/>
      <c r="O139" s="130">
        <f>SUM(O136:O138)</f>
        <v>0</v>
      </c>
      <c r="P139" s="130">
        <f>SUM(P136:P138)</f>
        <v>11.918027339861505</v>
      </c>
      <c r="Q139" s="130">
        <f t="shared" si="55"/>
        <v>16.077418881473168</v>
      </c>
      <c r="R139" s="144"/>
      <c r="S139" s="144"/>
      <c r="T139" s="377"/>
      <c r="U139" s="144"/>
      <c r="V139" s="144"/>
      <c r="W139" s="144"/>
      <c r="X139" s="144"/>
      <c r="Y139" s="144"/>
      <c r="Z139" s="144"/>
      <c r="AA139" s="144"/>
      <c r="AB139" s="144"/>
      <c r="AC139" s="144"/>
      <c r="AD139" s="144"/>
      <c r="AE139" s="144"/>
      <c r="AF139" s="144"/>
      <c r="AG139" s="144"/>
      <c r="AH139" s="144"/>
      <c r="AI139" s="144"/>
      <c r="AJ139" s="144"/>
    </row>
    <row r="140" spans="1:36" s="19" customFormat="1" x14ac:dyDescent="0.25">
      <c r="A140" s="3"/>
      <c r="B140" s="3" t="str">
        <f t="shared" si="51"/>
        <v>Energex</v>
      </c>
      <c r="C140" s="3" t="str">
        <f t="shared" si="52"/>
        <v>Residential</v>
      </c>
      <c r="D140" s="3" t="str">
        <f t="shared" si="53"/>
        <v>with CL</v>
      </c>
      <c r="E140" s="3" t="s">
        <v>55</v>
      </c>
      <c r="F140" s="131">
        <f t="array" ref="F140">IFERROR(INDEX(Usage!$B$5:$P$18,MATCH($B140,Usage!$B$5:$B$18,0),MATCH($C140&amp;$D140&amp;$E140,Usage!$B$5:$S$5&amp;Usage!$B$6:$S$6&amp;Usage!$B$7:$S$7,0)),0)</f>
        <v>6300</v>
      </c>
      <c r="G140" s="5" t="s">
        <v>55</v>
      </c>
      <c r="H140" s="130"/>
      <c r="I140" s="130"/>
      <c r="J140" s="130">
        <f>J131+J135+J139</f>
        <v>104.139</v>
      </c>
      <c r="K140" s="145"/>
      <c r="L140" s="150"/>
      <c r="M140" s="145">
        <f t="shared" si="54"/>
        <v>-0.2790062105346941</v>
      </c>
      <c r="N140" s="150"/>
      <c r="O140" s="130"/>
      <c r="P140" s="130"/>
      <c r="Q140" s="130">
        <f>Q131+Q135+Q139</f>
        <v>75.083572241127484</v>
      </c>
      <c r="R140" s="144"/>
      <c r="S140" s="144"/>
      <c r="T140" s="377"/>
      <c r="U140" s="144"/>
      <c r="V140" s="144"/>
      <c r="W140" s="144"/>
      <c r="X140" s="144"/>
      <c r="Y140" s="144"/>
      <c r="Z140" s="144"/>
      <c r="AA140" s="144"/>
      <c r="AB140" s="144"/>
      <c r="AC140" s="144"/>
      <c r="AD140" s="144"/>
      <c r="AE140" s="144"/>
      <c r="AF140" s="144"/>
      <c r="AG140" s="144"/>
      <c r="AH140" s="144"/>
      <c r="AI140" s="144"/>
      <c r="AJ140" s="144"/>
    </row>
    <row r="141" spans="1:36" s="19" customFormat="1" x14ac:dyDescent="0.25">
      <c r="A141" s="3"/>
      <c r="B141" s="3" t="str">
        <f t="shared" ref="B141:D142" si="56">B140</f>
        <v>Energex</v>
      </c>
      <c r="C141" s="3" t="str">
        <f t="shared" si="56"/>
        <v>Residential</v>
      </c>
      <c r="D141" s="3" t="str">
        <f t="shared" si="56"/>
        <v>with CL</v>
      </c>
      <c r="E141" s="3"/>
      <c r="F141" s="131"/>
      <c r="G141" s="3" t="s">
        <v>38</v>
      </c>
      <c r="H141" s="128"/>
      <c r="I141" s="128"/>
      <c r="J141" s="128">
        <f>J140*GST</f>
        <v>10.4139</v>
      </c>
      <c r="K141" s="144"/>
      <c r="L141" s="149"/>
      <c r="M141" s="144"/>
      <c r="N141" s="149"/>
      <c r="O141" s="128"/>
      <c r="P141" s="128"/>
      <c r="Q141" s="277">
        <f>Q140*GST</f>
        <v>7.508357224112749</v>
      </c>
      <c r="R141" s="145"/>
      <c r="S141" s="145"/>
      <c r="T141" s="379"/>
      <c r="U141" s="145"/>
      <c r="V141" s="145"/>
      <c r="W141" s="145"/>
      <c r="X141" s="145"/>
      <c r="Y141" s="145"/>
      <c r="Z141" s="145"/>
      <c r="AA141" s="145"/>
      <c r="AB141" s="145"/>
      <c r="AC141" s="145"/>
      <c r="AD141" s="145"/>
      <c r="AE141" s="145"/>
      <c r="AF141" s="145"/>
      <c r="AG141" s="145"/>
      <c r="AH141" s="145"/>
      <c r="AI141" s="145"/>
      <c r="AJ141" s="145"/>
    </row>
    <row r="142" spans="1:36" s="19" customFormat="1" x14ac:dyDescent="0.25">
      <c r="A142" s="3"/>
      <c r="B142" s="3" t="str">
        <f t="shared" si="56"/>
        <v>Energex</v>
      </c>
      <c r="C142" s="3" t="str">
        <f t="shared" si="56"/>
        <v>Residential</v>
      </c>
      <c r="D142" s="3" t="str">
        <f t="shared" si="56"/>
        <v>with CL</v>
      </c>
      <c r="E142" s="3"/>
      <c r="F142" s="131"/>
      <c r="G142" s="5" t="s">
        <v>80</v>
      </c>
      <c r="H142" s="130"/>
      <c r="I142" s="130"/>
      <c r="J142" s="130">
        <f>SUM(J140:J141)</f>
        <v>114.55289999999999</v>
      </c>
      <c r="K142" s="145"/>
      <c r="L142" s="150"/>
      <c r="M142" s="145">
        <f>IF(OR(J142=0,Q142=""),"",Q142/J142-1)</f>
        <v>-0.27900621053469421</v>
      </c>
      <c r="N142" s="150"/>
      <c r="O142" s="130"/>
      <c r="P142" s="130"/>
      <c r="Q142" s="130">
        <f>SUM(Q140:Q141)</f>
        <v>82.591929465240227</v>
      </c>
      <c r="R142" s="145"/>
      <c r="S142" s="145"/>
      <c r="T142" s="379"/>
      <c r="U142" s="145"/>
      <c r="V142" s="145"/>
      <c r="W142" s="145"/>
      <c r="X142" s="145"/>
      <c r="Y142" s="145"/>
      <c r="Z142" s="145"/>
      <c r="AA142" s="145"/>
      <c r="AB142" s="145"/>
      <c r="AC142" s="145"/>
      <c r="AD142" s="145"/>
      <c r="AE142" s="145"/>
      <c r="AF142" s="145"/>
      <c r="AG142" s="145"/>
      <c r="AH142" s="145"/>
      <c r="AI142" s="145"/>
      <c r="AJ142" s="145"/>
    </row>
    <row r="143" spans="1:36" s="19" customFormat="1" x14ac:dyDescent="0.25">
      <c r="A143" s="3"/>
      <c r="B143" s="3"/>
      <c r="C143" s="3"/>
      <c r="D143" s="3"/>
      <c r="E143" s="3"/>
      <c r="F143" s="131"/>
      <c r="G143" s="3"/>
      <c r="H143" s="128"/>
      <c r="I143" s="128"/>
      <c r="J143" s="128"/>
      <c r="K143" s="143"/>
      <c r="L143" s="149"/>
      <c r="M143" s="143"/>
      <c r="N143" s="149"/>
      <c r="O143" s="128"/>
      <c r="P143" s="128"/>
      <c r="Q143" s="277"/>
      <c r="R143" s="143"/>
      <c r="S143" s="143"/>
      <c r="T143" s="377"/>
      <c r="U143" s="143"/>
      <c r="V143" s="143"/>
      <c r="W143" s="143"/>
      <c r="X143" s="143"/>
      <c r="Y143" s="143"/>
      <c r="Z143" s="143"/>
      <c r="AA143" s="143"/>
      <c r="AB143" s="143"/>
      <c r="AC143" s="143"/>
      <c r="AD143" s="143"/>
      <c r="AE143" s="143"/>
      <c r="AF143" s="143"/>
      <c r="AG143" s="143"/>
      <c r="AH143" s="143"/>
      <c r="AI143" s="143"/>
      <c r="AJ143" s="143"/>
    </row>
    <row r="144" spans="1:36" s="19" customFormat="1" x14ac:dyDescent="0.25">
      <c r="A144" s="3"/>
      <c r="B144" s="5" t="s">
        <v>0</v>
      </c>
      <c r="C144" s="5" t="s">
        <v>13</v>
      </c>
      <c r="D144" s="5" t="s">
        <v>127</v>
      </c>
      <c r="E144" s="3"/>
      <c r="F144" s="131"/>
      <c r="G144" s="3"/>
      <c r="H144" s="128"/>
      <c r="I144" s="128"/>
      <c r="J144" s="128"/>
      <c r="K144" s="143"/>
      <c r="L144" s="149"/>
      <c r="M144" s="143"/>
      <c r="N144" s="149"/>
      <c r="O144" s="128"/>
      <c r="P144" s="128"/>
      <c r="Q144" s="277"/>
      <c r="R144" s="143"/>
      <c r="S144" s="143"/>
      <c r="T144" s="377"/>
      <c r="U144" s="143"/>
      <c r="V144" s="143"/>
      <c r="W144" s="143"/>
      <c r="X144" s="143"/>
      <c r="Y144" s="143"/>
      <c r="Z144" s="143"/>
      <c r="AA144" s="143"/>
      <c r="AB144" s="143"/>
      <c r="AC144" s="143"/>
      <c r="AD144" s="143"/>
      <c r="AE144" s="143"/>
      <c r="AF144" s="143"/>
      <c r="AG144" s="143"/>
      <c r="AH144" s="143"/>
      <c r="AI144" s="143"/>
      <c r="AJ144" s="143"/>
    </row>
    <row r="145" spans="1:36" s="19" customFormat="1" x14ac:dyDescent="0.25">
      <c r="A145" s="3"/>
      <c r="B145" s="3" t="str">
        <f t="shared" ref="B145:D150" si="57">B144</f>
        <v>Energex</v>
      </c>
      <c r="C145" s="3" t="str">
        <f t="shared" si="57"/>
        <v>Small business</v>
      </c>
      <c r="D145" s="3" t="str">
        <f t="shared" si="57"/>
        <v>without CL</v>
      </c>
      <c r="E145" s="3" t="s">
        <v>19</v>
      </c>
      <c r="F145" s="131">
        <f t="array" ref="F145">IFERROR(INDEX(Usage!$B$5:$P$18,MATCH($B145,Usage!$B$5:$B$18,0),MATCH($C145&amp;$D145&amp;$E145,Usage!$B$5:$S$5&amp;Usage!$B$6:$S$6&amp;Usage!$B$7:$S$7,0)),0)</f>
        <v>10000</v>
      </c>
      <c r="G145" s="3" t="s">
        <v>74</v>
      </c>
      <c r="H145" s="128"/>
      <c r="I145" s="128">
        <f t="array" ref="I145">IFERROR(INDEX('Detail inputs'!$B$3:$K$195,MATCH($B145&amp;$G145&amp;I$5,'Detail inputs'!$B$3:$B$195&amp;'Detail inputs'!$G$3:$G$195&amp;'Detail inputs'!$H$3:$H$195,0),MATCH(I$4,'Detail inputs'!$B$3:$K$3,0)),0)</f>
        <v>7.54</v>
      </c>
      <c r="J145" s="128">
        <f>IF(AND(H145="",I145=""),"",H145+I145*+Usage!M$38/1000)</f>
        <v>75.400000000000006</v>
      </c>
      <c r="K145" s="143">
        <f>IFERROR(J145/J148,"")</f>
        <v>0.45614035087719301</v>
      </c>
      <c r="L145" s="140"/>
      <c r="M145" s="143">
        <f>IF(OR(J145=0,Q145=""),"",Q145/J145-1)</f>
        <v>-0.18872113387465661</v>
      </c>
      <c r="N145" s="140"/>
      <c r="O145" s="128"/>
      <c r="P145" s="128">
        <f t="array" ref="P145">IFERROR(INDEX('Detail inputs'!$B$3:$K$195,MATCH($B145&amp;$G145&amp;P$5,'Detail inputs'!$B$3:$B$195&amp;'Detail inputs'!$G$3:$G$195&amp;'Detail inputs'!$H$3:$H$195,0),MATCH(P$4,'Detail inputs'!$B$3:$K$3,0)),0)</f>
        <v>6.1170426505850894</v>
      </c>
      <c r="Q145" s="277">
        <f>IF(AND(O145="",P145=""),"",O145+P145*$F145/1000)</f>
        <v>61.170426505850898</v>
      </c>
      <c r="R145" s="143">
        <f>IFERROR(Q145/Q148,"")</f>
        <v>0.51325965918250482</v>
      </c>
      <c r="S145" s="143"/>
      <c r="T145" s="378"/>
      <c r="U145" s="143"/>
      <c r="V145" s="143"/>
      <c r="W145" s="143"/>
      <c r="X145" s="143"/>
      <c r="Y145" s="143"/>
      <c r="Z145" s="143"/>
      <c r="AA145" s="143"/>
      <c r="AB145" s="143"/>
      <c r="AC145" s="143"/>
      <c r="AD145" s="143"/>
      <c r="AE145" s="143"/>
      <c r="AF145" s="143"/>
      <c r="AG145" s="143"/>
      <c r="AH145" s="143"/>
      <c r="AI145" s="143"/>
      <c r="AJ145" s="143"/>
    </row>
    <row r="146" spans="1:36" s="19" customFormat="1" x14ac:dyDescent="0.25">
      <c r="A146" s="3"/>
      <c r="B146" s="3" t="str">
        <f t="shared" si="57"/>
        <v>Energex</v>
      </c>
      <c r="C146" s="3" t="str">
        <f t="shared" si="57"/>
        <v>Small business</v>
      </c>
      <c r="D146" s="3" t="str">
        <f t="shared" si="57"/>
        <v>without CL</v>
      </c>
      <c r="E146" s="3" t="s">
        <v>19</v>
      </c>
      <c r="F146" s="131">
        <f t="array" ref="F146">IFERROR(INDEX(Usage!$B$5:$P$18,MATCH($B146,Usage!$B$5:$B$18,0),MATCH($C146&amp;$D146&amp;$E146,Usage!$B$5:$S$5&amp;Usage!$B$6:$S$6&amp;Usage!$B$7:$S$7,0)),0)</f>
        <v>10000</v>
      </c>
      <c r="G146" s="3" t="s">
        <v>75</v>
      </c>
      <c r="H146" s="128"/>
      <c r="I146" s="128">
        <f t="array" ref="I146">IFERROR(INDEX('Detail inputs'!$B$3:$K$195,MATCH($B146&amp;$G146&amp;I$5,'Detail inputs'!$B$3:$B$195&amp;'Detail inputs'!$G$3:$G$195&amp;'Detail inputs'!$H$3:$H$195,0),MATCH(I$4,'Detail inputs'!$B$3:$K$3,0)),0)</f>
        <v>7.85</v>
      </c>
      <c r="J146" s="128">
        <f>IF(AND(H146="",I146=""),"",H146+I146*+Usage!M$38/1000)</f>
        <v>78.5</v>
      </c>
      <c r="K146" s="143">
        <f>IFERROR(J146/J148,"")</f>
        <v>0.47489413188142765</v>
      </c>
      <c r="L146" s="140"/>
      <c r="M146" s="143">
        <f>IF(OR(J146=0,Q146=""),"",Q146/J146-1)</f>
        <v>-0.3457324840764332</v>
      </c>
      <c r="N146" s="140"/>
      <c r="O146" s="128"/>
      <c r="P146" s="128">
        <f t="array" ref="P146">IFERROR(INDEX('Detail inputs'!$B$3:$K$195,MATCH($B146&amp;$G146&amp;P$5,'Detail inputs'!$B$3:$B$195&amp;'Detail inputs'!$G$3:$G$195&amp;'Detail inputs'!$H$3:$H$195,0),MATCH(P$4,'Detail inputs'!$B$3:$K$3,0)),0)</f>
        <v>5.1359999999999992</v>
      </c>
      <c r="Q146" s="277">
        <f>IF(AND(O146="",P146=""),"",O146+P146*$F146/1000)</f>
        <v>51.359999999999992</v>
      </c>
      <c r="R146" s="143">
        <f>IFERROR(Q146/Q148,"")</f>
        <v>0.43094380081021721</v>
      </c>
      <c r="S146" s="143"/>
      <c r="T146" s="377"/>
      <c r="U146" s="143"/>
      <c r="V146" s="143"/>
      <c r="W146" s="143"/>
      <c r="X146" s="143"/>
      <c r="Y146" s="143"/>
      <c r="Z146" s="143"/>
      <c r="AA146" s="143"/>
      <c r="AB146" s="143"/>
      <c r="AC146" s="143"/>
      <c r="AD146" s="143"/>
      <c r="AE146" s="143"/>
      <c r="AF146" s="143"/>
      <c r="AG146" s="143"/>
      <c r="AH146" s="143"/>
      <c r="AI146" s="143"/>
      <c r="AJ146" s="143"/>
    </row>
    <row r="147" spans="1:36" s="19" customFormat="1" x14ac:dyDescent="0.25">
      <c r="A147" s="3"/>
      <c r="B147" s="3" t="str">
        <f t="shared" si="57"/>
        <v>Energex</v>
      </c>
      <c r="C147" s="3" t="str">
        <f t="shared" si="57"/>
        <v>Small business</v>
      </c>
      <c r="D147" s="3" t="str">
        <f t="shared" si="57"/>
        <v>without CL</v>
      </c>
      <c r="E147" s="3" t="s">
        <v>19</v>
      </c>
      <c r="F147" s="131">
        <f t="array" ref="F147">IFERROR(INDEX(Usage!$B$5:$P$18,MATCH($B147,Usage!$B$5:$B$18,0),MATCH($C147&amp;$D147&amp;$E147,Usage!$B$5:$S$5&amp;Usage!$B$6:$S$6&amp;Usage!$B$7:$S$7,0)),0)</f>
        <v>10000</v>
      </c>
      <c r="G147" s="3" t="s">
        <v>73</v>
      </c>
      <c r="H147" s="128"/>
      <c r="I147" s="128" cm="1">
        <f t="array" ref="I147">IFERROR(INDEX('Detail inputs'!$B$3:$K$195,MATCH($B147&amp;$C147&amp;$E147&amp;$G147&amp;I$5,'Detail inputs'!$B$3:$B$195&amp;'Detail inputs'!$D$3:$D$195&amp;'Detail inputs'!$F$3:$F$195&amp;'Detail inputs'!$G$3:$G$195&amp;'Detail inputs'!$H$3:$H$195,0),MATCH(I$4,'Detail inputs'!$B$3:$K$3,0)),0)*SUM(I145:I146)</f>
        <v>1.13886</v>
      </c>
      <c r="J147" s="128">
        <f>IF(AND(H147="",I147=""),"",H147+I147*+Usage!M$38/1000)</f>
        <v>11.3886</v>
      </c>
      <c r="K147" s="143">
        <f>IFERROR(J147/J148,"")</f>
        <v>6.889655172413793E-2</v>
      </c>
      <c r="L147" s="140"/>
      <c r="M147" s="143">
        <f>IF(OR(J147=0,Q147=""),"",Q147/J147-1)</f>
        <v>-0.41609619331927072</v>
      </c>
      <c r="N147" s="140"/>
      <c r="O147" s="128"/>
      <c r="P147" s="128" cm="1">
        <f t="array" ref="P147">IFERROR(INDEX('Detail inputs'!$B$3:$K$195,MATCH($B147&amp;$C147&amp;$E147&amp;$G147&amp;P$5,'Detail inputs'!$B$3:$B$195&amp;'Detail inputs'!$D$3:$D$195&amp;'Detail inputs'!$F$3:$F$195&amp;'Detail inputs'!$G$3:$G$195&amp;'Detail inputs'!$H$3:$H$195,0),MATCH(P$4,'Detail inputs'!$B$3:$K$3,0)),0)*SUM(P143:P146)</f>
        <v>0.6649846892764153</v>
      </c>
      <c r="Q147" s="277">
        <f>IF(AND(O147="",P147=""),"",O147+P147*$F147/1000)</f>
        <v>6.6498468927641534</v>
      </c>
      <c r="R147" s="143">
        <f>IFERROR(Q147/Q148,"")</f>
        <v>5.5796540007277996E-2</v>
      </c>
      <c r="S147" s="143"/>
      <c r="T147" s="377"/>
      <c r="U147" s="143"/>
      <c r="V147" s="143"/>
      <c r="W147" s="143"/>
      <c r="X147" s="143"/>
      <c r="Y147" s="143"/>
      <c r="Z147" s="143"/>
      <c r="AA147" s="143"/>
      <c r="AB147" s="143"/>
      <c r="AC147" s="143"/>
      <c r="AD147" s="143"/>
      <c r="AE147" s="143"/>
      <c r="AF147" s="143"/>
      <c r="AG147" s="143"/>
      <c r="AH147" s="143"/>
      <c r="AI147" s="143"/>
      <c r="AJ147" s="143"/>
    </row>
    <row r="148" spans="1:36" s="19" customFormat="1" x14ac:dyDescent="0.25">
      <c r="A148" s="3"/>
      <c r="B148" s="3" t="str">
        <f t="shared" si="57"/>
        <v>Energex</v>
      </c>
      <c r="C148" s="3" t="str">
        <f t="shared" si="57"/>
        <v>Small business</v>
      </c>
      <c r="D148" s="3" t="str">
        <f t="shared" si="57"/>
        <v>without CL</v>
      </c>
      <c r="E148" s="3" t="s">
        <v>19</v>
      </c>
      <c r="F148" s="131">
        <f t="array" ref="F148">IFERROR(INDEX(Usage!$B$5:$P$18,MATCH($B148,Usage!$B$5:$B$18,0),MATCH($C148&amp;$D148&amp;$E148,Usage!$B$5:$S$5&amp;Usage!$B$6:$S$6&amp;Usage!$B$7:$S$7,0)),0)</f>
        <v>10000</v>
      </c>
      <c r="G148" s="5" t="s">
        <v>55</v>
      </c>
      <c r="H148" s="130">
        <f>SUM(H145:H147)</f>
        <v>0</v>
      </c>
      <c r="I148" s="130">
        <v>16.53</v>
      </c>
      <c r="J148" s="130">
        <f>IF(AND(H148="",I148=""),"",H148+I148*+Usage!M$38/1000)</f>
        <v>165.3</v>
      </c>
      <c r="K148" s="145"/>
      <c r="L148" s="150"/>
      <c r="M148" s="145">
        <f>IF(OR(J148=0,Q148=""),"",Q148/J148-1)</f>
        <v>-0.27900621053469432</v>
      </c>
      <c r="N148" s="150"/>
      <c r="O148" s="130">
        <f>SUM(O145:O147)</f>
        <v>0</v>
      </c>
      <c r="P148" s="130">
        <f>SUM(P145:P147)</f>
        <v>11.918027339861505</v>
      </c>
      <c r="Q148" s="130">
        <f>IF(AND(O148="",P148=""),"",O148+P148*$F148/1000)</f>
        <v>119.18027339861504</v>
      </c>
      <c r="R148" s="144"/>
      <c r="S148" s="144"/>
      <c r="T148" s="377"/>
      <c r="U148" s="144"/>
      <c r="V148" s="144"/>
      <c r="W148" s="144"/>
      <c r="X148" s="144"/>
      <c r="Y148" s="144"/>
      <c r="Z148" s="144"/>
      <c r="AA148" s="144"/>
      <c r="AB148" s="144"/>
      <c r="AC148" s="144"/>
      <c r="AD148" s="144"/>
      <c r="AE148" s="144"/>
      <c r="AF148" s="144"/>
      <c r="AG148" s="144"/>
      <c r="AH148" s="144"/>
      <c r="AI148" s="144"/>
      <c r="AJ148" s="144"/>
    </row>
    <row r="149" spans="1:36" s="19" customFormat="1" x14ac:dyDescent="0.25">
      <c r="A149" s="3"/>
      <c r="B149" s="3" t="str">
        <f t="shared" si="57"/>
        <v>Energex</v>
      </c>
      <c r="C149" s="3" t="str">
        <f t="shared" si="57"/>
        <v>Small business</v>
      </c>
      <c r="D149" s="3" t="str">
        <f t="shared" si="57"/>
        <v>without CL</v>
      </c>
      <c r="E149" s="3"/>
      <c r="F149" s="131"/>
      <c r="G149" s="3" t="s">
        <v>38</v>
      </c>
      <c r="H149" s="128"/>
      <c r="I149" s="128"/>
      <c r="J149" s="128">
        <f>J148*GST</f>
        <v>16.53</v>
      </c>
      <c r="K149" s="144"/>
      <c r="L149" s="149"/>
      <c r="M149" s="144"/>
      <c r="N149" s="149"/>
      <c r="O149" s="128"/>
      <c r="P149" s="128"/>
      <c r="Q149" s="277">
        <f>Q148*GST</f>
        <v>11.918027339861505</v>
      </c>
      <c r="R149" s="145"/>
      <c r="S149" s="145"/>
      <c r="T149" s="379"/>
      <c r="U149" s="145"/>
      <c r="V149" s="145"/>
      <c r="W149" s="145"/>
      <c r="X149" s="145"/>
      <c r="Y149" s="145"/>
      <c r="Z149" s="145"/>
      <c r="AA149" s="145"/>
      <c r="AB149" s="145"/>
      <c r="AC149" s="145"/>
      <c r="AD149" s="145"/>
      <c r="AE149" s="145"/>
      <c r="AF149" s="145"/>
      <c r="AG149" s="145"/>
      <c r="AH149" s="145"/>
      <c r="AI149" s="145"/>
      <c r="AJ149" s="145"/>
    </row>
    <row r="150" spans="1:36" s="19" customFormat="1" x14ac:dyDescent="0.25">
      <c r="A150" s="3"/>
      <c r="B150" s="3" t="str">
        <f t="shared" si="57"/>
        <v>Energex</v>
      </c>
      <c r="C150" s="3" t="str">
        <f t="shared" si="57"/>
        <v>Small business</v>
      </c>
      <c r="D150" s="3" t="str">
        <f t="shared" si="57"/>
        <v>without CL</v>
      </c>
      <c r="E150" s="3"/>
      <c r="F150" s="131"/>
      <c r="G150" s="5" t="s">
        <v>80</v>
      </c>
      <c r="H150" s="130"/>
      <c r="I150" s="130"/>
      <c r="J150" s="130">
        <f>SUM(J148:J149)</f>
        <v>181.83</v>
      </c>
      <c r="K150" s="145"/>
      <c r="L150" s="150"/>
      <c r="M150" s="145">
        <f>IF(OR(J150=0,Q150=""),"",Q150/J150-1)</f>
        <v>-0.27900621053469421</v>
      </c>
      <c r="N150" s="150"/>
      <c r="O150" s="130"/>
      <c r="P150" s="130"/>
      <c r="Q150" s="130">
        <f>SUM(Q148:Q149)</f>
        <v>131.09830073847655</v>
      </c>
      <c r="R150" s="145"/>
      <c r="S150" s="145"/>
      <c r="T150" s="379"/>
      <c r="U150" s="145"/>
      <c r="V150" s="145"/>
      <c r="W150" s="145"/>
      <c r="X150" s="145"/>
      <c r="Y150" s="145"/>
      <c r="Z150" s="145"/>
      <c r="AA150" s="145"/>
      <c r="AB150" s="145"/>
      <c r="AC150" s="145"/>
      <c r="AD150" s="145"/>
      <c r="AE150" s="145"/>
      <c r="AF150" s="145"/>
      <c r="AG150" s="145"/>
      <c r="AH150" s="145"/>
      <c r="AI150" s="145"/>
      <c r="AJ150" s="145"/>
    </row>
    <row r="151" spans="1:36" s="19" customFormat="1" x14ac:dyDescent="0.25">
      <c r="A151" s="3"/>
      <c r="B151" s="3"/>
      <c r="C151" s="3"/>
      <c r="D151" s="3"/>
      <c r="E151" s="3"/>
      <c r="F151" s="131"/>
      <c r="G151" s="3"/>
      <c r="H151" s="128"/>
      <c r="I151" s="128"/>
      <c r="J151" s="128"/>
      <c r="K151" s="143"/>
      <c r="L151" s="149"/>
      <c r="M151" s="143"/>
      <c r="N151" s="149"/>
      <c r="O151" s="128"/>
      <c r="P151" s="128"/>
      <c r="Q151" s="277"/>
      <c r="R151" s="143"/>
      <c r="S151" s="143"/>
      <c r="T151" s="377"/>
      <c r="U151" s="143"/>
      <c r="V151" s="143"/>
      <c r="W151" s="143"/>
      <c r="X151" s="143"/>
      <c r="Y151" s="143"/>
      <c r="Z151" s="143"/>
      <c r="AA151" s="143"/>
      <c r="AB151" s="143"/>
      <c r="AC151" s="143"/>
      <c r="AD151" s="143"/>
      <c r="AE151" s="143"/>
      <c r="AF151" s="143"/>
      <c r="AG151" s="143"/>
      <c r="AH151" s="143"/>
      <c r="AI151" s="143"/>
      <c r="AJ151" s="143"/>
    </row>
    <row r="152" spans="1:36" s="19" customFormat="1" x14ac:dyDescent="0.25">
      <c r="A152" s="3"/>
      <c r="B152" s="5" t="s">
        <v>5</v>
      </c>
      <c r="C152" s="5" t="s">
        <v>6</v>
      </c>
      <c r="D152" s="5" t="s">
        <v>127</v>
      </c>
      <c r="E152" s="3"/>
      <c r="F152" s="131"/>
      <c r="G152" s="3"/>
      <c r="H152" s="128"/>
      <c r="I152" s="128"/>
      <c r="J152" s="128"/>
      <c r="K152" s="143"/>
      <c r="L152" s="149"/>
      <c r="M152" s="143"/>
      <c r="N152" s="149"/>
      <c r="O152" s="128"/>
      <c r="P152" s="128"/>
      <c r="Q152" s="277"/>
      <c r="R152" s="143"/>
      <c r="S152" s="143"/>
      <c r="T152" s="377"/>
      <c r="U152" s="143"/>
      <c r="V152" s="143"/>
      <c r="W152" s="143"/>
      <c r="X152" s="143"/>
      <c r="Y152" s="143"/>
      <c r="Z152" s="143"/>
      <c r="AA152" s="143"/>
      <c r="AB152" s="143"/>
      <c r="AC152" s="143"/>
      <c r="AD152" s="143"/>
      <c r="AE152" s="143"/>
      <c r="AF152" s="143"/>
      <c r="AG152" s="143"/>
      <c r="AH152" s="143"/>
      <c r="AI152" s="143"/>
      <c r="AJ152" s="143"/>
    </row>
    <row r="153" spans="1:36" s="19" customFormat="1" x14ac:dyDescent="0.25">
      <c r="A153" s="3"/>
      <c r="B153" s="3" t="str">
        <f t="shared" ref="B153:D159" si="58">B152</f>
        <v>SAPN</v>
      </c>
      <c r="C153" s="3" t="str">
        <f t="shared" si="58"/>
        <v>Residential</v>
      </c>
      <c r="D153" s="3" t="str">
        <f t="shared" si="58"/>
        <v>without CL</v>
      </c>
      <c r="E153" s="3" t="s">
        <v>19</v>
      </c>
      <c r="F153" s="131">
        <f t="array" ref="F153">IFERROR(INDEX(Usage!$B$5:$P$18,MATCH($B153,Usage!$B$5:$B$18,0),MATCH($C153&amp;$D153&amp;$E153&amp;"Total",Usage!$B$5:$S$5&amp;Usage!$B$6:$S$6&amp;Usage!$B$7:$S$7&amp;Usage!$B$13:$S$13,0)),0)</f>
        <v>4000</v>
      </c>
      <c r="G153" s="3" t="s">
        <v>74</v>
      </c>
      <c r="H153" s="128"/>
      <c r="I153" s="128">
        <f t="array" ref="I153">IFERROR(INDEX('Detail inputs'!$B$3:$K$195,MATCH($B153&amp;$G153&amp;I$5,'Detail inputs'!$B$3:$B$195&amp;'Detail inputs'!$G$3:$G$195&amp;'Detail inputs'!$H$3:$H$195,0),MATCH(I$4,'Detail inputs'!$B$3:$K$3,0)),0)</f>
        <v>7.54</v>
      </c>
      <c r="J153" s="128">
        <f>IF(AND(H153="",I153=""),"",H153+I153*+Usage!C$40/1000)</f>
        <v>30.16</v>
      </c>
      <c r="K153" s="143">
        <f>IFERROR(J153/J157,"")</f>
        <v>0.34025270758122744</v>
      </c>
      <c r="L153" s="140"/>
      <c r="M153" s="143">
        <f t="shared" ref="M153:M157" si="59">IF(OR(J153=0,Q153=""),"",Q153/J153-1)</f>
        <v>-0.18872113387465661</v>
      </c>
      <c r="N153" s="140"/>
      <c r="O153" s="128"/>
      <c r="P153" s="128">
        <f t="array" ref="P153">IFERROR(INDEX('Detail inputs'!$B$3:$K$195,MATCH($B153&amp;$G153&amp;P$5,'Detail inputs'!$B$3:$B$195&amp;'Detail inputs'!$G$3:$G$195&amp;'Detail inputs'!$H$3:$H$195,0),MATCH(P$4,'Detail inputs'!$B$3:$K$3,0)),0)</f>
        <v>6.1170426505850894</v>
      </c>
      <c r="Q153" s="277">
        <f t="shared" ref="Q153:Q157" si="60">IF(AND(O153="",P153=""),"",O153+P153*$F153/1000)</f>
        <v>24.468170602340358</v>
      </c>
      <c r="R153" s="143">
        <f>IFERROR(Q153/Q157,"")</f>
        <v>0.37254240621940882</v>
      </c>
      <c r="S153" s="143"/>
      <c r="T153" s="378"/>
      <c r="U153" s="143"/>
      <c r="V153" s="143"/>
      <c r="W153" s="143"/>
      <c r="X153" s="143"/>
      <c r="Y153" s="143"/>
      <c r="Z153" s="143"/>
      <c r="AA153" s="143"/>
      <c r="AB153" s="143"/>
      <c r="AC153" s="143"/>
      <c r="AD153" s="143"/>
      <c r="AE153" s="143"/>
      <c r="AF153" s="143"/>
      <c r="AG153" s="143"/>
      <c r="AH153" s="143"/>
      <c r="AI153" s="143"/>
      <c r="AJ153" s="143"/>
    </row>
    <row r="154" spans="1:36" s="19" customFormat="1" x14ac:dyDescent="0.25">
      <c r="A154" s="3"/>
      <c r="B154" s="3" t="str">
        <f t="shared" si="58"/>
        <v>SAPN</v>
      </c>
      <c r="C154" s="3" t="str">
        <f t="shared" si="58"/>
        <v>Residential</v>
      </c>
      <c r="D154" s="3" t="str">
        <f t="shared" si="58"/>
        <v>without CL</v>
      </c>
      <c r="E154" s="3" t="s">
        <v>19</v>
      </c>
      <c r="F154" s="131">
        <f t="array" ref="F154">IFERROR(INDEX(Usage!$B$5:$P$18,MATCH($B154,Usage!$B$5:$B$18,0),MATCH($C154&amp;$D154&amp;$E154&amp;"Total",Usage!$B$5:$S$5&amp;Usage!$B$6:$S$6&amp;Usage!$B$7:$S$7&amp;Usage!$B$13:$S$13,0)),0)</f>
        <v>4000</v>
      </c>
      <c r="G154" s="3" t="s">
        <v>75</v>
      </c>
      <c r="H154" s="128"/>
      <c r="I154" s="128">
        <f t="array" ref="I154">IFERROR(INDEX('Detail inputs'!$B$3:$K$195,MATCH($B154&amp;$G154&amp;I$5,'Detail inputs'!$B$3:$B$195&amp;'Detail inputs'!$G$3:$G$195&amp;'Detail inputs'!$H$3:$H$195,0),MATCH(I$4,'Detail inputs'!$B$3:$K$3,0)),0)</f>
        <v>7.85</v>
      </c>
      <c r="J154" s="128">
        <f>IF(AND(H154="",I154=""),"",H154+I154*+Usage!C$40/1000)</f>
        <v>31.4</v>
      </c>
      <c r="K154" s="143">
        <f>IFERROR(J154/J157,"")</f>
        <v>0.35424187725631767</v>
      </c>
      <c r="L154" s="140"/>
      <c r="M154" s="143">
        <f t="shared" si="59"/>
        <v>-0.3457324840764332</v>
      </c>
      <c r="N154" s="140"/>
      <c r="O154" s="128"/>
      <c r="P154" s="128">
        <f t="array" ref="P154">IFERROR(INDEX('Detail inputs'!$B$3:$K$195,MATCH($B154&amp;$G154&amp;P$5,'Detail inputs'!$B$3:$B$195&amp;'Detail inputs'!$G$3:$G$195&amp;'Detail inputs'!$H$3:$H$195,0),MATCH(P$4,'Detail inputs'!$B$3:$K$3,0)),0)</f>
        <v>5.1359999999999992</v>
      </c>
      <c r="Q154" s="277">
        <f t="shared" si="60"/>
        <v>20.543999999999997</v>
      </c>
      <c r="R154" s="143">
        <f>IFERROR(Q154/Q157,"")</f>
        <v>0.31279458189814496</v>
      </c>
      <c r="S154" s="143"/>
      <c r="T154" s="377"/>
      <c r="U154" s="143"/>
      <c r="V154" s="143"/>
      <c r="W154" s="143"/>
      <c r="X154" s="143"/>
      <c r="Y154" s="143"/>
      <c r="Z154" s="143"/>
      <c r="AA154" s="143"/>
      <c r="AB154" s="143"/>
      <c r="AC154" s="143"/>
      <c r="AD154" s="143"/>
      <c r="AE154" s="143"/>
      <c r="AF154" s="143"/>
      <c r="AG154" s="143"/>
      <c r="AH154" s="143"/>
      <c r="AI154" s="143"/>
      <c r="AJ154" s="143"/>
    </row>
    <row r="155" spans="1:36" s="19" customFormat="1" x14ac:dyDescent="0.25">
      <c r="A155" s="3"/>
      <c r="B155" s="3" t="str">
        <f t="shared" ref="B155:D155" si="61">B154</f>
        <v>SAPN</v>
      </c>
      <c r="C155" s="3" t="str">
        <f t="shared" si="61"/>
        <v>Residential</v>
      </c>
      <c r="D155" s="3" t="str">
        <f t="shared" si="61"/>
        <v>without CL</v>
      </c>
      <c r="E155" s="3" t="s">
        <v>19</v>
      </c>
      <c r="F155" s="131">
        <f t="array" ref="F155">IFERROR(INDEX(Usage!$B$5:$P$18,MATCH($B155,Usage!$B$5:$B$18,0),MATCH($C155&amp;$D155&amp;$E155&amp;"Total",Usage!$B$5:$S$5&amp;Usage!$B$6:$S$6&amp;Usage!$B$7:$S$7&amp;Usage!$B$13:$S$13,0)),0)</f>
        <v>4000</v>
      </c>
      <c r="G155" s="3" t="s">
        <v>165</v>
      </c>
      <c r="H155" s="128"/>
      <c r="I155" s="128" cm="1">
        <f t="array" ref="I155">IFERROR(INDEX('Detail inputs'!$B$3:$K$195,MATCH($B155&amp;$G155&amp;I$5,'Detail inputs'!$B$3:$B$195&amp;'Detail inputs'!$G$3:$G$195&amp;'Detail inputs'!$H$3:$H$195,0),MATCH(I$4,'Detail inputs'!$B$3:$K$3,0)),0)</f>
        <v>4.57</v>
      </c>
      <c r="J155" s="128">
        <f>IF(AND(H155="",I155=""),"",H155+I155*+Usage!C$40/1000)</f>
        <v>18.28</v>
      </c>
      <c r="K155" s="143">
        <f>IFERROR(J155/J157,"")</f>
        <v>0.20622743682310471</v>
      </c>
      <c r="L155" s="140"/>
      <c r="M155" s="143">
        <f t="shared" si="59"/>
        <v>-0.1120314342176969</v>
      </c>
      <c r="N155" s="140"/>
      <c r="O155" s="128"/>
      <c r="P155" s="128">
        <f t="array" ref="P155">IFERROR(INDEX('Detail inputs'!$B$3:$K$195,MATCH($B155&amp;$G155&amp;P$5,'Detail inputs'!$B$3:$B$195&amp;'Detail inputs'!$G$3:$G$195&amp;'Detail inputs'!$H$3:$H$195,0),MATCH(P$4,'Detail inputs'!$B$3:$K$3,0)),0)</f>
        <v>4.0580163456251253</v>
      </c>
      <c r="Q155" s="277">
        <f t="shared" si="60"/>
        <v>16.232065382500501</v>
      </c>
      <c r="R155" s="143">
        <f>IFERROR(Q155/Q157,"")</f>
        <v>0.24714282051511866</v>
      </c>
      <c r="S155" s="143"/>
      <c r="T155" s="377"/>
      <c r="U155" s="143"/>
      <c r="V155" s="143"/>
      <c r="W155" s="143"/>
      <c r="X155" s="143"/>
      <c r="Y155" s="143"/>
      <c r="Z155" s="143"/>
      <c r="AA155" s="143"/>
      <c r="AB155" s="143"/>
      <c r="AC155" s="143"/>
      <c r="AD155" s="143"/>
      <c r="AE155" s="143"/>
      <c r="AF155" s="143"/>
      <c r="AG155" s="143"/>
      <c r="AH155" s="143"/>
      <c r="AI155" s="143"/>
      <c r="AJ155" s="143"/>
    </row>
    <row r="156" spans="1:36" s="19" customFormat="1" x14ac:dyDescent="0.25">
      <c r="A156" s="3"/>
      <c r="B156" s="3" t="str">
        <f t="shared" ref="B156:D156" si="62">B155</f>
        <v>SAPN</v>
      </c>
      <c r="C156" s="3" t="str">
        <f t="shared" si="62"/>
        <v>Residential</v>
      </c>
      <c r="D156" s="3" t="str">
        <f t="shared" si="62"/>
        <v>without CL</v>
      </c>
      <c r="E156" s="3" t="s">
        <v>19</v>
      </c>
      <c r="F156" s="131">
        <f t="array" ref="F156">IFERROR(INDEX(Usage!$B$5:$P$18,MATCH($B156,Usage!$B$5:$B$18,0),MATCH($C156&amp;$D156&amp;$E156&amp;"Total",Usage!$B$5:$S$5&amp;Usage!$B$6:$S$6&amp;Usage!$B$7:$S$7&amp;Usage!$B$13:$S$13,0)),0)</f>
        <v>4000</v>
      </c>
      <c r="G156" s="3" t="s">
        <v>73</v>
      </c>
      <c r="H156" s="128"/>
      <c r="I156" s="128" cm="1">
        <f t="array" ref="I156">IFERROR(INDEX('Detail inputs'!$B$3:$K$195,MATCH($B156&amp;$C156&amp;$E156&amp;$G156&amp;I$5,'Detail inputs'!$B$3:$B$195&amp;'Detail inputs'!$D$3:$D$195&amp;'Detail inputs'!$F$3:$F$195&amp;'Detail inputs'!$G$3:$G$195&amp;'Detail inputs'!$H$3:$H$195,0),MATCH(I$4,'Detail inputs'!$B$3:$K$3,0)),0)*SUM(I153:I155)</f>
        <v>2.1956000000000002</v>
      </c>
      <c r="J156" s="128">
        <f>IF(AND(H156="",I156=""),"",H156+I156*+Usage!C$40/1000)</f>
        <v>8.7824000000000009</v>
      </c>
      <c r="K156" s="143">
        <f>IFERROR(J156/J157,"")</f>
        <v>9.9079422382671492E-2</v>
      </c>
      <c r="L156" s="140"/>
      <c r="M156" s="143">
        <f t="shared" si="59"/>
        <v>-0.49505248914720423</v>
      </c>
      <c r="N156" s="140"/>
      <c r="O156" s="128"/>
      <c r="P156" s="128" cm="1">
        <f t="array" ref="P156">IFERROR(INDEX('Detail inputs'!$B$3:$K$195,MATCH($B156&amp;$C156&amp;$E156&amp;$G156&amp;P$5,'Detail inputs'!$B$3:$B$195&amp;'Detail inputs'!$D$3:$D$195&amp;'Detail inputs'!$F$3:$F$195&amp;'Detail inputs'!$G$3:$G$195&amp;'Detail inputs'!$H$3:$H$195,0),MATCH(P$4,'Detail inputs'!$B$3:$K$3,0)),0)*SUM(P152:P155)</f>
        <v>1.1086627548283985</v>
      </c>
      <c r="Q156" s="277">
        <f t="shared" si="60"/>
        <v>4.434651019313594</v>
      </c>
      <c r="R156" s="143">
        <f>IFERROR(Q156/Q157,"")</f>
        <v>6.7520191367327606E-2</v>
      </c>
      <c r="S156" s="143"/>
      <c r="T156" s="377"/>
      <c r="U156" s="143"/>
      <c r="V156" s="143"/>
      <c r="W156" s="143"/>
      <c r="X156" s="143"/>
      <c r="Y156" s="143"/>
      <c r="Z156" s="143"/>
      <c r="AA156" s="143"/>
      <c r="AB156" s="143"/>
      <c r="AC156" s="143"/>
      <c r="AD156" s="143"/>
      <c r="AE156" s="143"/>
      <c r="AF156" s="143"/>
      <c r="AG156" s="143"/>
      <c r="AH156" s="143"/>
      <c r="AI156" s="143"/>
      <c r="AJ156" s="143"/>
    </row>
    <row r="157" spans="1:36" s="19" customFormat="1" x14ac:dyDescent="0.25">
      <c r="A157" s="3"/>
      <c r="B157" s="3" t="str">
        <f t="shared" ref="B157:D157" si="63">B156</f>
        <v>SAPN</v>
      </c>
      <c r="C157" s="3" t="str">
        <f t="shared" si="63"/>
        <v>Residential</v>
      </c>
      <c r="D157" s="3" t="str">
        <f t="shared" si="63"/>
        <v>without CL</v>
      </c>
      <c r="E157" s="3" t="s">
        <v>19</v>
      </c>
      <c r="F157" s="131">
        <f t="array" ref="F157">IFERROR(INDEX(Usage!$B$5:$P$18,MATCH($B157,Usage!$B$5:$B$18,0),MATCH($C157&amp;$D157&amp;$E157&amp;"Total",Usage!$B$5:$S$5&amp;Usage!$B$6:$S$6&amp;Usage!$B$7:$S$7&amp;Usage!$B$13:$S$13,0)),0)</f>
        <v>4000</v>
      </c>
      <c r="G157" s="5" t="s">
        <v>55</v>
      </c>
      <c r="H157" s="130">
        <f>SUM(H154:H156)</f>
        <v>0</v>
      </c>
      <c r="I157" s="130">
        <v>22.16</v>
      </c>
      <c r="J157" s="130">
        <f>IF(AND(H157="",I157=""),"",H157+I157*+Usage!C$40/1000)</f>
        <v>88.64</v>
      </c>
      <c r="K157" s="145"/>
      <c r="L157" s="150"/>
      <c r="M157" s="145">
        <f t="shared" si="59"/>
        <v>-0.25903782711919621</v>
      </c>
      <c r="N157" s="150"/>
      <c r="O157" s="130">
        <f>SUM(O153:O156)</f>
        <v>0</v>
      </c>
      <c r="P157" s="130">
        <f>SUM(P153:P156)</f>
        <v>16.419721751038612</v>
      </c>
      <c r="Q157" s="130">
        <f t="shared" si="60"/>
        <v>65.678887004154447</v>
      </c>
      <c r="R157" s="144"/>
      <c r="S157" s="144"/>
      <c r="T157" s="377"/>
      <c r="U157" s="144"/>
      <c r="V157" s="144"/>
      <c r="W157" s="144"/>
      <c r="X157" s="144"/>
      <c r="Y157" s="144"/>
      <c r="Z157" s="144"/>
      <c r="AA157" s="144"/>
      <c r="AB157" s="144"/>
      <c r="AC157" s="144"/>
      <c r="AD157" s="144"/>
      <c r="AE157" s="144"/>
      <c r="AF157" s="144"/>
      <c r="AG157" s="144"/>
      <c r="AH157" s="144"/>
      <c r="AI157" s="144"/>
      <c r="AJ157" s="144"/>
    </row>
    <row r="158" spans="1:36" s="19" customFormat="1" x14ac:dyDescent="0.25">
      <c r="A158" s="3"/>
      <c r="B158" s="3" t="str">
        <f t="shared" ref="B158:D158" si="64">B157</f>
        <v>SAPN</v>
      </c>
      <c r="C158" s="3" t="str">
        <f t="shared" si="64"/>
        <v>Residential</v>
      </c>
      <c r="D158" s="3" t="str">
        <f t="shared" si="64"/>
        <v>without CL</v>
      </c>
      <c r="E158" s="3"/>
      <c r="F158" s="131"/>
      <c r="G158" s="3" t="s">
        <v>38</v>
      </c>
      <c r="H158" s="128"/>
      <c r="I158" s="128"/>
      <c r="J158" s="128">
        <f>J157*GST</f>
        <v>8.8640000000000008</v>
      </c>
      <c r="K158" s="144"/>
      <c r="L158" s="149"/>
      <c r="M158" s="144"/>
      <c r="N158" s="149"/>
      <c r="O158" s="128"/>
      <c r="P158" s="128"/>
      <c r="Q158" s="277">
        <f>Q157*GST</f>
        <v>6.5678887004154447</v>
      </c>
      <c r="R158" s="145"/>
      <c r="S158" s="145"/>
      <c r="T158" s="379"/>
      <c r="U158" s="145"/>
      <c r="V158" s="145"/>
      <c r="W158" s="145"/>
      <c r="X158" s="145"/>
      <c r="Y158" s="145"/>
      <c r="Z158" s="145"/>
      <c r="AA158" s="145"/>
      <c r="AB158" s="145"/>
      <c r="AC158" s="145"/>
      <c r="AD158" s="145"/>
      <c r="AE158" s="145"/>
      <c r="AF158" s="145"/>
      <c r="AG158" s="145"/>
      <c r="AH158" s="145"/>
      <c r="AI158" s="145"/>
      <c r="AJ158" s="145"/>
    </row>
    <row r="159" spans="1:36" s="19" customFormat="1" x14ac:dyDescent="0.25">
      <c r="A159" s="3"/>
      <c r="B159" s="3" t="str">
        <f t="shared" si="58"/>
        <v>SAPN</v>
      </c>
      <c r="C159" s="3" t="str">
        <f t="shared" si="58"/>
        <v>Residential</v>
      </c>
      <c r="D159" s="3" t="str">
        <f t="shared" si="58"/>
        <v>without CL</v>
      </c>
      <c r="E159" s="3"/>
      <c r="F159" s="131"/>
      <c r="G159" s="5" t="s">
        <v>80</v>
      </c>
      <c r="H159" s="130"/>
      <c r="I159" s="130"/>
      <c r="J159" s="130">
        <f>SUM(J157:J158)</f>
        <v>97.504000000000005</v>
      </c>
      <c r="K159" s="145"/>
      <c r="L159" s="150"/>
      <c r="M159" s="145">
        <f>IF(OR(J159=0,Q159=""),"",Q159/J159-1)</f>
        <v>-0.25903782711919621</v>
      </c>
      <c r="N159" s="150"/>
      <c r="O159" s="130"/>
      <c r="P159" s="130"/>
      <c r="Q159" s="130">
        <f>SUM(Q157:Q158)</f>
        <v>72.246775704569899</v>
      </c>
      <c r="R159" s="145"/>
      <c r="S159" s="145"/>
      <c r="T159" s="379"/>
      <c r="U159" s="145"/>
      <c r="V159" s="145"/>
      <c r="W159" s="145"/>
      <c r="X159" s="145"/>
      <c r="Y159" s="145"/>
      <c r="Z159" s="145"/>
      <c r="AA159" s="145"/>
      <c r="AB159" s="145"/>
      <c r="AC159" s="145"/>
      <c r="AD159" s="145"/>
      <c r="AE159" s="145"/>
      <c r="AF159" s="145"/>
      <c r="AG159" s="145"/>
      <c r="AH159" s="145"/>
      <c r="AI159" s="145"/>
      <c r="AJ159" s="145"/>
    </row>
    <row r="160" spans="1:36" s="19" customFormat="1" x14ac:dyDescent="0.25">
      <c r="A160" s="3"/>
      <c r="B160" s="3"/>
      <c r="C160" s="3"/>
      <c r="D160" s="3"/>
      <c r="E160" s="3"/>
      <c r="F160" s="131"/>
      <c r="G160" s="3"/>
      <c r="H160" s="128"/>
      <c r="I160" s="128"/>
      <c r="J160" s="128"/>
      <c r="K160" s="143"/>
      <c r="L160" s="149"/>
      <c r="M160" s="143"/>
      <c r="N160" s="149"/>
      <c r="O160" s="128"/>
      <c r="P160" s="128"/>
      <c r="Q160" s="277"/>
      <c r="R160" s="143"/>
      <c r="S160" s="143"/>
      <c r="T160" s="377"/>
      <c r="U160" s="143"/>
      <c r="V160" s="143"/>
      <c r="W160" s="143"/>
      <c r="X160" s="143"/>
      <c r="Y160" s="143"/>
      <c r="Z160" s="143"/>
      <c r="AA160" s="143"/>
      <c r="AB160" s="143"/>
      <c r="AC160" s="143"/>
      <c r="AD160" s="143"/>
      <c r="AE160" s="143"/>
      <c r="AF160" s="143"/>
      <c r="AG160" s="143"/>
      <c r="AH160" s="143"/>
      <c r="AI160" s="143"/>
      <c r="AJ160" s="143"/>
    </row>
    <row r="161" spans="1:36" s="19" customFormat="1" x14ac:dyDescent="0.25">
      <c r="A161" s="3"/>
      <c r="B161" s="5" t="s">
        <v>5</v>
      </c>
      <c r="C161" s="5" t="s">
        <v>6</v>
      </c>
      <c r="D161" s="5" t="s">
        <v>128</v>
      </c>
      <c r="E161" s="3"/>
      <c r="F161" s="131"/>
      <c r="G161" s="3"/>
      <c r="H161" s="128"/>
      <c r="I161" s="128"/>
      <c r="J161" s="128"/>
      <c r="K161" s="143"/>
      <c r="L161" s="149"/>
      <c r="M161" s="143"/>
      <c r="N161" s="149"/>
      <c r="O161" s="128"/>
      <c r="P161" s="128"/>
      <c r="Q161" s="277"/>
      <c r="R161" s="143"/>
      <c r="S161" s="143"/>
      <c r="T161" s="377"/>
      <c r="U161" s="143"/>
      <c r="V161" s="143"/>
      <c r="W161" s="143"/>
      <c r="X161" s="143"/>
      <c r="Y161" s="143"/>
      <c r="Z161" s="143"/>
      <c r="AA161" s="143"/>
      <c r="AB161" s="143"/>
      <c r="AC161" s="143"/>
      <c r="AD161" s="143"/>
      <c r="AE161" s="143"/>
      <c r="AF161" s="143"/>
      <c r="AG161" s="143"/>
      <c r="AH161" s="143"/>
      <c r="AI161" s="143"/>
      <c r="AJ161" s="143"/>
    </row>
    <row r="162" spans="1:36" s="19" customFormat="1" x14ac:dyDescent="0.25">
      <c r="A162" s="3"/>
      <c r="B162" s="3" t="str">
        <f t="shared" ref="B162:B168" si="65">B161</f>
        <v>SAPN</v>
      </c>
      <c r="C162" s="3" t="str">
        <f t="shared" ref="C162:C168" si="66">C161</f>
        <v>Residential</v>
      </c>
      <c r="D162" s="3" t="str">
        <f t="shared" ref="D162:D168" si="67">D161</f>
        <v>with CL</v>
      </c>
      <c r="E162" s="3" t="s">
        <v>19</v>
      </c>
      <c r="F162" s="131">
        <f t="array" ref="F162">IFERROR(INDEX(Usage!$B$5:$P$18,MATCH($B162,Usage!$B$5:$B$18,0),MATCH($C162&amp;$D162&amp;$E162&amp;"Total",Usage!$B$5:$S$5&amp;Usage!$B$6:$S$6&amp;Usage!$B$7:$S$7&amp;Usage!$B$13:$S$13,0)),0)</f>
        <v>4200</v>
      </c>
      <c r="G162" s="5" t="s">
        <v>55</v>
      </c>
      <c r="H162" s="130">
        <f>H157</f>
        <v>0</v>
      </c>
      <c r="I162" s="130">
        <v>22.16</v>
      </c>
      <c r="J162" s="130">
        <f>IF(AND(H162="",I162=""),"",H162+I162*+Usage!E$40/1000)</f>
        <v>93.072000000000003</v>
      </c>
      <c r="K162" s="145"/>
      <c r="L162" s="150"/>
      <c r="M162" s="145">
        <f>IF(OR(J162=0,Q162=""),"",Q162/J162-1)</f>
        <v>-0.25903782711919632</v>
      </c>
      <c r="N162" s="150"/>
      <c r="O162" s="130">
        <f>O157</f>
        <v>0</v>
      </c>
      <c r="P162" s="130">
        <f>P157</f>
        <v>16.419721751038612</v>
      </c>
      <c r="Q162" s="130">
        <f t="shared" ref="Q162:Q167" si="68">IF(AND(O162="",P162=""),"",O162+P162*$F162/1000)</f>
        <v>68.962831354362166</v>
      </c>
      <c r="R162" s="143"/>
      <c r="S162" s="143"/>
      <c r="T162" s="377"/>
      <c r="U162" s="143"/>
      <c r="V162" s="143"/>
      <c r="W162" s="143"/>
      <c r="X162" s="143"/>
      <c r="Y162" s="143"/>
      <c r="Z162" s="143"/>
      <c r="AA162" s="143"/>
      <c r="AB162" s="143"/>
      <c r="AC162" s="143"/>
      <c r="AD162" s="143"/>
      <c r="AE162" s="143"/>
      <c r="AF162" s="143"/>
      <c r="AG162" s="143"/>
      <c r="AH162" s="143"/>
      <c r="AI162" s="143"/>
      <c r="AJ162" s="143"/>
    </row>
    <row r="163" spans="1:36" s="19" customFormat="1" x14ac:dyDescent="0.25">
      <c r="A163" s="3"/>
      <c r="B163" s="3" t="str">
        <f t="shared" si="65"/>
        <v>SAPN</v>
      </c>
      <c r="C163" s="3" t="str">
        <f t="shared" si="66"/>
        <v>Residential</v>
      </c>
      <c r="D163" s="3" t="str">
        <f t="shared" si="67"/>
        <v>with CL</v>
      </c>
      <c r="E163" s="3" t="s">
        <v>14</v>
      </c>
      <c r="F163" s="131">
        <f t="array" ref="F163">IFERROR(INDEX(Usage!$B$5:$P$18,MATCH($B163,Usage!$B$5:$B$18,0),MATCH($C163&amp;$D163&amp;$E163,Usage!$B$5:$S$5&amp;Usage!$B$6:$S$6&amp;Usage!$B$7:$S$7,0)),0)</f>
        <v>1800</v>
      </c>
      <c r="G163" s="3" t="s">
        <v>74</v>
      </c>
      <c r="H163" s="128"/>
      <c r="I163" s="128">
        <f t="array" ref="I163">IFERROR(INDEX('Detail inputs'!$B$3:$K$195,MATCH($B163&amp;$G163&amp;I$5,'Detail inputs'!$B$3:$B$195&amp;'Detail inputs'!$G$3:$G$195&amp;'Detail inputs'!$H$3:$H$195,0),MATCH(I$4,'Detail inputs'!$B$3:$K$3,0)),0)</f>
        <v>7.54</v>
      </c>
      <c r="J163" s="128">
        <f>IF(AND(H163="",I163=""),"",H163+I163*+Usage!H$40/1000)</f>
        <v>13.571999999999999</v>
      </c>
      <c r="K163" s="143">
        <f>IFERROR(J163/J167,"")</f>
        <v>0.34025270758122744</v>
      </c>
      <c r="L163" s="140"/>
      <c r="M163" s="143">
        <f t="shared" ref="M163:M168" si="69">IF(OR(J163=0,Q163=""),"",Q163/J163-1)</f>
        <v>-0.1887211338746565</v>
      </c>
      <c r="N163" s="140"/>
      <c r="O163" s="128"/>
      <c r="P163" s="128">
        <f t="array" ref="P163">IFERROR(INDEX('Detail inputs'!$B$3:$K$195,MATCH($B163&amp;$G163&amp;P$5,'Detail inputs'!$B$3:$B$195&amp;'Detail inputs'!$G$3:$G$195&amp;'Detail inputs'!$H$3:$H$195,0),MATCH(P$4,'Detail inputs'!$B$3:$K$3,0)),0)</f>
        <v>6.1170426505850894</v>
      </c>
      <c r="Q163" s="277">
        <f t="shared" si="68"/>
        <v>11.010676771053161</v>
      </c>
      <c r="R163" s="143">
        <f>IFERROR(Q163/Q167,"")</f>
        <v>0.37254240621940882</v>
      </c>
      <c r="S163" s="143"/>
      <c r="T163" s="378"/>
      <c r="U163" s="143"/>
      <c r="V163" s="143"/>
      <c r="W163" s="143"/>
      <c r="X163" s="143"/>
      <c r="Y163" s="143"/>
      <c r="Z163" s="143"/>
      <c r="AA163" s="143"/>
      <c r="AB163" s="143"/>
      <c r="AC163" s="143"/>
      <c r="AD163" s="143"/>
      <c r="AE163" s="143"/>
      <c r="AF163" s="143"/>
      <c r="AG163" s="143"/>
      <c r="AH163" s="143"/>
      <c r="AI163" s="143"/>
      <c r="AJ163" s="143"/>
    </row>
    <row r="164" spans="1:36" s="19" customFormat="1" x14ac:dyDescent="0.25">
      <c r="A164" s="3"/>
      <c r="B164" s="3" t="str">
        <f t="shared" si="65"/>
        <v>SAPN</v>
      </c>
      <c r="C164" s="3" t="str">
        <f t="shared" si="66"/>
        <v>Residential</v>
      </c>
      <c r="D164" s="3" t="str">
        <f t="shared" si="67"/>
        <v>with CL</v>
      </c>
      <c r="E164" s="3" t="s">
        <v>14</v>
      </c>
      <c r="F164" s="131">
        <f t="array" ref="F164">IFERROR(INDEX(Usage!$B$5:$P$18,MATCH($B164,Usage!$B$5:$B$18,0),MATCH($C164&amp;$D164&amp;$E164,Usage!$B$5:$S$5&amp;Usage!$B$6:$S$6&amp;Usage!$B$7:$S$7,0)),0)</f>
        <v>1800</v>
      </c>
      <c r="G164" s="3" t="s">
        <v>75</v>
      </c>
      <c r="H164" s="128"/>
      <c r="I164" s="128">
        <f t="array" ref="I164">IFERROR(INDEX('Detail inputs'!$B$3:$K$195,MATCH($B164&amp;$G164&amp;I$5,'Detail inputs'!$B$3:$B$195&amp;'Detail inputs'!$G$3:$G$195&amp;'Detail inputs'!$H$3:$H$195,0),MATCH(I$4,'Detail inputs'!$B$3:$K$3,0)),0)</f>
        <v>7.85</v>
      </c>
      <c r="J164" s="128">
        <f>IF(AND(H164="",I164=""),"",H164+I164*+Usage!H$40/1000)</f>
        <v>14.13</v>
      </c>
      <c r="K164" s="143">
        <f>IFERROR(J164/J167,"")</f>
        <v>0.35424187725631773</v>
      </c>
      <c r="L164" s="140"/>
      <c r="M164" s="143">
        <f t="shared" si="69"/>
        <v>-0.3457324840764332</v>
      </c>
      <c r="N164" s="140"/>
      <c r="O164" s="128"/>
      <c r="P164" s="128">
        <f t="array" ref="P164">IFERROR(INDEX('Detail inputs'!$B$3:$K$195,MATCH($B164&amp;$G164&amp;P$5,'Detail inputs'!$B$3:$B$195&amp;'Detail inputs'!$G$3:$G$195&amp;'Detail inputs'!$H$3:$H$195,0),MATCH(P$4,'Detail inputs'!$B$3:$K$3,0)),0)</f>
        <v>5.1359999999999992</v>
      </c>
      <c r="Q164" s="277">
        <f t="shared" si="68"/>
        <v>9.2447999999999997</v>
      </c>
      <c r="R164" s="143">
        <f>IFERROR(Q164/Q167,"")</f>
        <v>0.31279458189814502</v>
      </c>
      <c r="S164" s="143"/>
      <c r="T164" s="377"/>
      <c r="U164" s="143"/>
      <c r="V164" s="143"/>
      <c r="W164" s="143"/>
      <c r="X164" s="143"/>
      <c r="Y164" s="143"/>
      <c r="Z164" s="143"/>
      <c r="AA164" s="143"/>
      <c r="AB164" s="143"/>
      <c r="AC164" s="143"/>
      <c r="AD164" s="143"/>
      <c r="AE164" s="143"/>
      <c r="AF164" s="143"/>
      <c r="AG164" s="143"/>
      <c r="AH164" s="143"/>
      <c r="AI164" s="143"/>
      <c r="AJ164" s="143"/>
    </row>
    <row r="165" spans="1:36" s="19" customFormat="1" x14ac:dyDescent="0.25">
      <c r="A165" s="3"/>
      <c r="B165" s="64" t="str">
        <f>+B164</f>
        <v>SAPN</v>
      </c>
      <c r="C165" s="64" t="str">
        <f>+C164</f>
        <v>Residential</v>
      </c>
      <c r="D165" s="64" t="str">
        <f>+D164</f>
        <v>with CL</v>
      </c>
      <c r="E165" s="3" t="s">
        <v>14</v>
      </c>
      <c r="F165" s="131">
        <f t="array" ref="F165">IFERROR(INDEX(Usage!$B$5:$P$18,MATCH($B165,Usage!$B$5:$B$18,0),MATCH($C165&amp;$D165&amp;$E165,Usage!$B$5:$S$5&amp;Usage!$B$6:$S$6&amp;Usage!$B$7:$S$7,0)),0)</f>
        <v>1800</v>
      </c>
      <c r="G165" s="3" t="s">
        <v>165</v>
      </c>
      <c r="H165" s="128"/>
      <c r="I165" s="128">
        <f t="array" ref="I165">IFERROR(INDEX('Detail inputs'!$B$3:$K$195,MATCH($B165&amp;$G165&amp;I$5,'Detail inputs'!$B$3:$B$195&amp;'Detail inputs'!$G$3:$G$195&amp;'Detail inputs'!$H$3:$H$195,0),MATCH(I$4,'Detail inputs'!$B$3:$K$3,0)),0)</f>
        <v>4.57</v>
      </c>
      <c r="J165" s="128">
        <f>IF(AND(H165="",I165=""),"",H165+I165*+Usage!H$40/1000)</f>
        <v>8.2260000000000009</v>
      </c>
      <c r="K165" s="143">
        <f>IFERROR(J165/J167,"")</f>
        <v>0.20622743682310474</v>
      </c>
      <c r="L165" s="140"/>
      <c r="M165" s="143">
        <f t="shared" ref="M165" si="70">IF(OR(J165=0,Q165=""),"",Q165/J165-1)</f>
        <v>-0.1120314342176969</v>
      </c>
      <c r="N165" s="140"/>
      <c r="O165" s="128"/>
      <c r="P165" s="128">
        <f t="array" ref="P165">IFERROR(INDEX('Detail inputs'!$B$3:$K$195,MATCH($B165&amp;$G165&amp;P$5,'Detail inputs'!$B$3:$B$195&amp;'Detail inputs'!$G$3:$G$195&amp;'Detail inputs'!$H$3:$H$195,0),MATCH(P$4,'Detail inputs'!$B$3:$K$3,0)),0)</f>
        <v>4.0580163456251253</v>
      </c>
      <c r="Q165" s="277">
        <f t="shared" ref="Q165" si="71">IF(AND(O165="",P165=""),"",O165+P165*$F165/1000)</f>
        <v>7.3044294221252262</v>
      </c>
      <c r="R165" s="143">
        <f>IFERROR(Q165/Q167,"")</f>
        <v>0.24714282051511866</v>
      </c>
      <c r="S165" s="143"/>
      <c r="T165" s="377"/>
      <c r="U165" s="143"/>
      <c r="V165" s="143"/>
      <c r="W165" s="143"/>
      <c r="X165" s="143"/>
      <c r="Y165" s="143"/>
      <c r="Z165" s="143"/>
      <c r="AA165" s="143"/>
      <c r="AB165" s="143"/>
      <c r="AC165" s="143"/>
      <c r="AD165" s="143"/>
      <c r="AE165" s="143"/>
      <c r="AF165" s="143"/>
      <c r="AG165" s="143"/>
      <c r="AH165" s="143"/>
      <c r="AI165" s="143"/>
      <c r="AJ165" s="143"/>
    </row>
    <row r="166" spans="1:36" s="19" customFormat="1" x14ac:dyDescent="0.25">
      <c r="A166" s="3"/>
      <c r="B166" s="3" t="str">
        <f t="shared" si="65"/>
        <v>SAPN</v>
      </c>
      <c r="C166" s="3" t="str">
        <f t="shared" si="66"/>
        <v>Residential</v>
      </c>
      <c r="D166" s="3" t="str">
        <f t="shared" si="67"/>
        <v>with CL</v>
      </c>
      <c r="E166" s="3" t="s">
        <v>14</v>
      </c>
      <c r="F166" s="131">
        <f t="array" ref="F166">IFERROR(INDEX(Usage!$B$5:$P$18,MATCH($B166,Usage!$B$5:$B$18,0),MATCH($C166&amp;$D166&amp;$E166,Usage!$B$5:$S$5&amp;Usage!$B$6:$S$6&amp;Usage!$B$7:$S$7,0)),0)</f>
        <v>1800</v>
      </c>
      <c r="G166" s="3" t="s">
        <v>73</v>
      </c>
      <c r="H166" s="128"/>
      <c r="I166" s="128" cm="1">
        <f t="array" ref="I166">IFERROR(INDEX('Detail inputs'!$B$3:$K$195,MATCH($B166&amp;$C166&amp;$E166&amp;$G166&amp;I$5,'Detail inputs'!$B$3:$B$195&amp;'Detail inputs'!$D$3:$D$195&amp;'Detail inputs'!$F$3:$F$195&amp;'Detail inputs'!$G$3:$G$195&amp;'Detail inputs'!$H$3:$H$195,0),MATCH(I$4,'Detail inputs'!$B$3:$K$3,0)),0)*SUM(I163:I165)</f>
        <v>2.1956000000000002</v>
      </c>
      <c r="J166" s="128">
        <f>IF(AND(H166="",I166=""),"",H166+I166*+Usage!H$40/1000)</f>
        <v>3.9520800000000005</v>
      </c>
      <c r="K166" s="143">
        <f>IFERROR(J166/J167,"")</f>
        <v>9.9079422382671492E-2</v>
      </c>
      <c r="L166" s="140"/>
      <c r="M166" s="143">
        <f t="shared" si="69"/>
        <v>-0.49505248914720423</v>
      </c>
      <c r="N166" s="140"/>
      <c r="O166" s="128"/>
      <c r="P166" s="128" cm="1">
        <f t="array" ref="P166">IFERROR(INDEX('Detail inputs'!$B$3:$K$195,MATCH($B166&amp;$C166&amp;$E166&amp;$G166&amp;P$5,'Detail inputs'!$B$3:$B$195&amp;'Detail inputs'!$D$3:$D$195&amp;'Detail inputs'!$F$3:$F$195&amp;'Detail inputs'!$G$3:$G$195&amp;'Detail inputs'!$H$3:$H$195,0),MATCH(P$4,'Detail inputs'!$B$3:$K$3,0)),0)*SUM(P163:P165)</f>
        <v>1.1086627548283985</v>
      </c>
      <c r="Q166" s="277">
        <f t="shared" si="68"/>
        <v>1.9955929586911172</v>
      </c>
      <c r="R166" s="143">
        <f>IFERROR(Q166/Q167,"")</f>
        <v>6.7520191367327592E-2</v>
      </c>
      <c r="S166" s="143"/>
      <c r="T166" s="377"/>
      <c r="U166" s="143"/>
      <c r="V166" s="143"/>
      <c r="W166" s="143"/>
      <c r="X166" s="143"/>
      <c r="Y166" s="143"/>
      <c r="Z166" s="143"/>
      <c r="AA166" s="143"/>
      <c r="AB166" s="143"/>
      <c r="AC166" s="143"/>
      <c r="AD166" s="143"/>
      <c r="AE166" s="143"/>
      <c r="AF166" s="143"/>
      <c r="AG166" s="143"/>
      <c r="AH166" s="143"/>
      <c r="AI166" s="143"/>
      <c r="AJ166" s="143"/>
    </row>
    <row r="167" spans="1:36" s="19" customFormat="1" x14ac:dyDescent="0.25">
      <c r="A167" s="3"/>
      <c r="B167" s="3" t="str">
        <f t="shared" si="65"/>
        <v>SAPN</v>
      </c>
      <c r="C167" s="3" t="str">
        <f t="shared" si="66"/>
        <v>Residential</v>
      </c>
      <c r="D167" s="3" t="str">
        <f t="shared" si="67"/>
        <v>with CL</v>
      </c>
      <c r="E167" s="3" t="s">
        <v>14</v>
      </c>
      <c r="F167" s="131">
        <f t="array" ref="F167">IFERROR(INDEX(Usage!$B$5:$P$18,MATCH($B167,Usage!$B$5:$B$18,0),MATCH($C167&amp;$D167&amp;$E167,Usage!$B$5:$S$5&amp;Usage!$B$6:$S$6&amp;Usage!$B$7:$S$7,0)),0)</f>
        <v>1800</v>
      </c>
      <c r="G167" s="5" t="s">
        <v>55</v>
      </c>
      <c r="H167" s="130">
        <f>SUM(H162:H166)</f>
        <v>0</v>
      </c>
      <c r="I167" s="130">
        <v>22.16</v>
      </c>
      <c r="J167" s="130">
        <f>IF(AND(H167="",I167=""),"",H167+I167*+Usage!H$40/1000)</f>
        <v>39.887999999999998</v>
      </c>
      <c r="K167" s="145"/>
      <c r="L167" s="150"/>
      <c r="M167" s="145">
        <f t="shared" si="69"/>
        <v>-0.25903782711919621</v>
      </c>
      <c r="N167" s="150"/>
      <c r="O167" s="130">
        <f>SUM(O163:O166)</f>
        <v>0</v>
      </c>
      <c r="P167" s="130">
        <f>SUM(P163:P166)</f>
        <v>16.419721751038612</v>
      </c>
      <c r="Q167" s="130">
        <f t="shared" si="68"/>
        <v>29.555499151869501</v>
      </c>
      <c r="R167" s="144"/>
      <c r="S167" s="144"/>
      <c r="T167" s="377"/>
      <c r="U167" s="144"/>
      <c r="V167" s="144"/>
      <c r="W167" s="144"/>
      <c r="X167" s="144"/>
      <c r="Y167" s="144"/>
      <c r="Z167" s="144"/>
      <c r="AA167" s="144"/>
      <c r="AB167" s="144"/>
      <c r="AC167" s="144"/>
      <c r="AD167" s="144"/>
      <c r="AE167" s="144"/>
      <c r="AF167" s="144"/>
      <c r="AG167" s="144"/>
      <c r="AH167" s="144"/>
      <c r="AI167" s="144"/>
      <c r="AJ167" s="144"/>
    </row>
    <row r="168" spans="1:36" s="19" customFormat="1" x14ac:dyDescent="0.25">
      <c r="A168" s="3"/>
      <c r="B168" s="3" t="str">
        <f t="shared" si="65"/>
        <v>SAPN</v>
      </c>
      <c r="C168" s="3" t="str">
        <f t="shared" si="66"/>
        <v>Residential</v>
      </c>
      <c r="D168" s="3" t="str">
        <f t="shared" si="67"/>
        <v>with CL</v>
      </c>
      <c r="E168" s="3" t="s">
        <v>55</v>
      </c>
      <c r="F168" s="131">
        <f t="array" ref="F168">IFERROR(INDEX(Usage!$B$5:$P$18,MATCH($B168,Usage!$B$5:$B$18,0),MATCH($C168&amp;$D168&amp;$E168,Usage!$B$5:$S$5&amp;Usage!$B$6:$S$6&amp;Usage!$B$7:$S$7,0)),0)</f>
        <v>6000</v>
      </c>
      <c r="G168" s="5" t="s">
        <v>55</v>
      </c>
      <c r="H168" s="130"/>
      <c r="I168" s="130"/>
      <c r="J168" s="130">
        <f>J162+J167</f>
        <v>132.96</v>
      </c>
      <c r="K168" s="145"/>
      <c r="L168" s="150"/>
      <c r="M168" s="145">
        <f t="shared" si="69"/>
        <v>-0.25903782711919632</v>
      </c>
      <c r="N168" s="150"/>
      <c r="O168" s="130"/>
      <c r="P168" s="130"/>
      <c r="Q168" s="130">
        <f>Q162+Q167</f>
        <v>98.518330506231663</v>
      </c>
      <c r="R168" s="144"/>
      <c r="S168" s="144"/>
      <c r="T168" s="377"/>
      <c r="U168" s="144"/>
      <c r="V168" s="144"/>
      <c r="W168" s="144"/>
      <c r="X168" s="144"/>
      <c r="Y168" s="144"/>
      <c r="Z168" s="144"/>
      <c r="AA168" s="144"/>
      <c r="AB168" s="144"/>
      <c r="AC168" s="144"/>
      <c r="AD168" s="144"/>
      <c r="AE168" s="144"/>
      <c r="AF168" s="144"/>
      <c r="AG168" s="144"/>
      <c r="AH168" s="144"/>
      <c r="AI168" s="144"/>
      <c r="AJ168" s="144"/>
    </row>
    <row r="169" spans="1:36" s="19" customFormat="1" x14ac:dyDescent="0.25">
      <c r="A169" s="3"/>
      <c r="B169" s="3" t="str">
        <f t="shared" ref="B169:D170" si="72">B168</f>
        <v>SAPN</v>
      </c>
      <c r="C169" s="3" t="str">
        <f t="shared" si="72"/>
        <v>Residential</v>
      </c>
      <c r="D169" s="3" t="str">
        <f t="shared" si="72"/>
        <v>with CL</v>
      </c>
      <c r="E169" s="3"/>
      <c r="F169" s="131"/>
      <c r="G169" s="3" t="s">
        <v>38</v>
      </c>
      <c r="H169" s="128"/>
      <c r="I169" s="128"/>
      <c r="J169" s="128">
        <f>J168*GST</f>
        <v>13.296000000000001</v>
      </c>
      <c r="K169" s="144"/>
      <c r="L169" s="149"/>
      <c r="M169" s="144"/>
      <c r="N169" s="149"/>
      <c r="O169" s="128"/>
      <c r="P169" s="128"/>
      <c r="Q169" s="277">
        <f>Q168*GST</f>
        <v>9.8518330506231671</v>
      </c>
      <c r="R169" s="144"/>
      <c r="S169" s="144"/>
      <c r="T169" s="377"/>
      <c r="U169" s="144"/>
      <c r="V169" s="144"/>
      <c r="W169" s="144"/>
      <c r="X169" s="144"/>
      <c r="Y169" s="144"/>
      <c r="Z169" s="144"/>
      <c r="AA169" s="144"/>
      <c r="AB169" s="144"/>
      <c r="AC169" s="144"/>
      <c r="AD169" s="144"/>
      <c r="AE169" s="144"/>
      <c r="AF169" s="144"/>
      <c r="AG169" s="144"/>
      <c r="AH169" s="144"/>
      <c r="AI169" s="144"/>
      <c r="AJ169" s="144"/>
    </row>
    <row r="170" spans="1:36" s="19" customFormat="1" x14ac:dyDescent="0.25">
      <c r="A170" s="3"/>
      <c r="B170" s="3" t="str">
        <f t="shared" si="72"/>
        <v>SAPN</v>
      </c>
      <c r="C170" s="3" t="str">
        <f t="shared" si="72"/>
        <v>Residential</v>
      </c>
      <c r="D170" s="3" t="str">
        <f t="shared" si="72"/>
        <v>with CL</v>
      </c>
      <c r="E170" s="3"/>
      <c r="F170" s="131"/>
      <c r="G170" s="5" t="s">
        <v>80</v>
      </c>
      <c r="H170" s="130"/>
      <c r="I170" s="130"/>
      <c r="J170" s="130">
        <f>SUM(J168:J169)</f>
        <v>146.256</v>
      </c>
      <c r="K170" s="145"/>
      <c r="L170" s="150"/>
      <c r="M170" s="145">
        <f>IF(OR(J170=0,Q170=""),"",Q170/J170-1)</f>
        <v>-0.25903782711919621</v>
      </c>
      <c r="N170" s="150"/>
      <c r="O170" s="130"/>
      <c r="P170" s="130"/>
      <c r="Q170" s="130">
        <f>SUM(Q168:Q169)</f>
        <v>108.37016355685483</v>
      </c>
      <c r="R170" s="144"/>
      <c r="S170" s="144"/>
      <c r="T170" s="377"/>
      <c r="U170" s="144"/>
      <c r="V170" s="144"/>
      <c r="W170" s="144"/>
      <c r="X170" s="144"/>
      <c r="Y170" s="144"/>
      <c r="Z170" s="144"/>
      <c r="AA170" s="144"/>
      <c r="AB170" s="144"/>
      <c r="AC170" s="144"/>
      <c r="AD170" s="144"/>
      <c r="AE170" s="144"/>
      <c r="AF170" s="144"/>
      <c r="AG170" s="144"/>
      <c r="AH170" s="144"/>
      <c r="AI170" s="144"/>
      <c r="AJ170" s="144"/>
    </row>
    <row r="171" spans="1:36" s="19" customFormat="1" x14ac:dyDescent="0.25">
      <c r="A171" s="3"/>
      <c r="B171" s="3"/>
      <c r="C171" s="3"/>
      <c r="D171" s="3"/>
      <c r="E171" s="3"/>
      <c r="F171" s="131"/>
      <c r="G171" s="3"/>
      <c r="H171" s="128"/>
      <c r="I171" s="128"/>
      <c r="J171" s="128"/>
      <c r="K171" s="144"/>
      <c r="L171" s="149"/>
      <c r="M171" s="143"/>
      <c r="N171" s="149"/>
      <c r="O171" s="128"/>
      <c r="P171" s="128"/>
      <c r="Q171" s="277"/>
      <c r="R171" s="144"/>
      <c r="S171" s="144"/>
      <c r="T171" s="377"/>
      <c r="U171" s="144"/>
      <c r="V171" s="144"/>
      <c r="W171" s="144"/>
      <c r="X171" s="144"/>
      <c r="Y171" s="144"/>
      <c r="Z171" s="144"/>
      <c r="AA171" s="144"/>
      <c r="AB171" s="144"/>
      <c r="AC171" s="144"/>
      <c r="AD171" s="144"/>
      <c r="AE171" s="144"/>
      <c r="AF171" s="144"/>
      <c r="AG171" s="144"/>
      <c r="AH171" s="144"/>
      <c r="AI171" s="144"/>
      <c r="AJ171" s="144"/>
    </row>
    <row r="172" spans="1:36" s="19" customFormat="1" x14ac:dyDescent="0.25">
      <c r="A172" s="3"/>
      <c r="B172" s="5" t="s">
        <v>5</v>
      </c>
      <c r="C172" s="5" t="s">
        <v>13</v>
      </c>
      <c r="D172" s="5" t="s">
        <v>127</v>
      </c>
      <c r="E172" s="3"/>
      <c r="F172" s="131"/>
      <c r="G172" s="3"/>
      <c r="H172" s="128"/>
      <c r="I172" s="128"/>
      <c r="J172" s="128"/>
      <c r="K172" s="144"/>
      <c r="L172" s="149"/>
      <c r="M172" s="143"/>
      <c r="N172" s="149"/>
      <c r="O172" s="128"/>
      <c r="P172" s="128"/>
      <c r="Q172" s="277"/>
      <c r="R172" s="144"/>
      <c r="S172" s="144"/>
      <c r="T172" s="377"/>
      <c r="U172" s="144"/>
      <c r="V172" s="144"/>
      <c r="W172" s="144"/>
      <c r="X172" s="144"/>
      <c r="Y172" s="144"/>
      <c r="Z172" s="144"/>
      <c r="AA172" s="144"/>
      <c r="AB172" s="144"/>
      <c r="AC172" s="144"/>
      <c r="AD172" s="144"/>
      <c r="AE172" s="144"/>
      <c r="AF172" s="144"/>
      <c r="AG172" s="144"/>
      <c r="AH172" s="144"/>
      <c r="AI172" s="144"/>
      <c r="AJ172" s="144"/>
    </row>
    <row r="173" spans="1:36" s="19" customFormat="1" x14ac:dyDescent="0.25">
      <c r="A173" s="3"/>
      <c r="B173" s="3" t="str">
        <f t="shared" ref="B173:D179" si="73">B172</f>
        <v>SAPN</v>
      </c>
      <c r="C173" s="3" t="str">
        <f t="shared" si="73"/>
        <v>Small business</v>
      </c>
      <c r="D173" s="3" t="str">
        <f t="shared" si="73"/>
        <v>without CL</v>
      </c>
      <c r="E173" s="3" t="s">
        <v>19</v>
      </c>
      <c r="F173" s="131">
        <f t="array" ref="F173">IFERROR(INDEX(Usage!$B$5:$P$18,MATCH($B173,Usage!$B$5:$B$18,0),MATCH($C173&amp;$D173&amp;$E173,Usage!$B$5:$S$5&amp;Usage!$B$6:$S$6&amp;Usage!$B$7:$S$7,0)),0)</f>
        <v>10000</v>
      </c>
      <c r="G173" s="3" t="s">
        <v>74</v>
      </c>
      <c r="H173" s="128"/>
      <c r="I173" s="128">
        <f t="array" ref="I173">IFERROR(INDEX('Detail inputs'!$B$3:$K$195,MATCH($B173&amp;$G173&amp;I$5,'Detail inputs'!$B$3:$B$195&amp;'Detail inputs'!$G$3:$G$195&amp;'Detail inputs'!$H$3:$H$195,0),MATCH(I$4,'Detail inputs'!$B$3:$K$3,0)),0)</f>
        <v>7.54</v>
      </c>
      <c r="J173" s="128">
        <f>IF(AND(H173="",I173=""),"",H173+I173*+Usage!M$40/1000)</f>
        <v>75.400000000000006</v>
      </c>
      <c r="K173" s="143">
        <f>IFERROR(J173/J177,"")</f>
        <v>0.3402527075812275</v>
      </c>
      <c r="L173" s="140"/>
      <c r="M173" s="143">
        <f t="shared" ref="M173:M177" si="74">IF(OR(J173=0,Q173=""),"",Q173/J173-1)</f>
        <v>-0.18872113387465661</v>
      </c>
      <c r="N173" s="140"/>
      <c r="O173" s="128"/>
      <c r="P173" s="128">
        <f t="array" ref="P173">IFERROR(INDEX('Detail inputs'!$B$3:$K$195,MATCH($B173&amp;$G173&amp;P$5,'Detail inputs'!$B$3:$B$195&amp;'Detail inputs'!$G$3:$G$195&amp;'Detail inputs'!$H$3:$H$195,0),MATCH(P$4,'Detail inputs'!$B$3:$K$3,0)),0)</f>
        <v>6.1170426505850894</v>
      </c>
      <c r="Q173" s="277">
        <f t="shared" ref="Q173:Q177" si="75">IF(AND(O173="",P173=""),"",O173+P173*$F173/1000)</f>
        <v>61.170426505850898</v>
      </c>
      <c r="R173" s="143">
        <f>IFERROR(Q173/Q177,"")</f>
        <v>0.37254240621940887</v>
      </c>
      <c r="S173" s="143"/>
      <c r="T173" s="378"/>
      <c r="U173" s="143"/>
      <c r="V173" s="143"/>
      <c r="W173" s="143"/>
      <c r="X173" s="143"/>
      <c r="Y173" s="143"/>
      <c r="Z173" s="143"/>
      <c r="AA173" s="143"/>
      <c r="AB173" s="143"/>
      <c r="AC173" s="143"/>
      <c r="AD173" s="143"/>
      <c r="AE173" s="143"/>
      <c r="AF173" s="143"/>
      <c r="AG173" s="143"/>
      <c r="AH173" s="143"/>
      <c r="AI173" s="143"/>
      <c r="AJ173" s="143"/>
    </row>
    <row r="174" spans="1:36" s="19" customFormat="1" x14ac:dyDescent="0.25">
      <c r="A174" s="3"/>
      <c r="B174" s="3" t="str">
        <f t="shared" si="73"/>
        <v>SAPN</v>
      </c>
      <c r="C174" s="3" t="str">
        <f t="shared" si="73"/>
        <v>Small business</v>
      </c>
      <c r="D174" s="3" t="str">
        <f t="shared" si="73"/>
        <v>without CL</v>
      </c>
      <c r="E174" s="3" t="s">
        <v>19</v>
      </c>
      <c r="F174" s="131">
        <f t="array" ref="F174">IFERROR(INDEX(Usage!$B$5:$P$18,MATCH($B174,Usage!$B$5:$B$18,0),MATCH($C174&amp;$D174&amp;$E174,Usage!$B$5:$S$5&amp;Usage!$B$6:$S$6&amp;Usage!$B$7:$S$7,0)),0)</f>
        <v>10000</v>
      </c>
      <c r="G174" s="3" t="s">
        <v>75</v>
      </c>
      <c r="H174" s="128"/>
      <c r="I174" s="128">
        <f t="array" ref="I174">IFERROR(INDEX('Detail inputs'!$B$3:$K$195,MATCH($B174&amp;$G174&amp;I$5,'Detail inputs'!$B$3:$B$195&amp;'Detail inputs'!$G$3:$G$195&amp;'Detail inputs'!$H$3:$H$195,0),MATCH(I$4,'Detail inputs'!$B$3:$K$3,0)),0)</f>
        <v>7.85</v>
      </c>
      <c r="J174" s="128">
        <f>IF(AND(H174="",I174=""),"",H174+I174*+Usage!M$40/1000)</f>
        <v>78.5</v>
      </c>
      <c r="K174" s="143">
        <f>IFERROR(J174/J177,"")</f>
        <v>0.35424187725631767</v>
      </c>
      <c r="L174" s="140"/>
      <c r="M174" s="143">
        <f t="shared" si="74"/>
        <v>-0.3457324840764332</v>
      </c>
      <c r="N174" s="140"/>
      <c r="O174" s="128"/>
      <c r="P174" s="128">
        <f t="array" ref="P174">IFERROR(INDEX('Detail inputs'!$B$3:$K$195,MATCH($B174&amp;$G174&amp;P$5,'Detail inputs'!$B$3:$B$195&amp;'Detail inputs'!$G$3:$G$195&amp;'Detail inputs'!$H$3:$H$195,0),MATCH(P$4,'Detail inputs'!$B$3:$K$3,0)),0)</f>
        <v>5.1359999999999992</v>
      </c>
      <c r="Q174" s="277">
        <f t="shared" si="75"/>
        <v>51.359999999999992</v>
      </c>
      <c r="R174" s="143">
        <f>IFERROR(Q174/Q177,"")</f>
        <v>0.31279458189814496</v>
      </c>
      <c r="S174" s="143"/>
      <c r="T174" s="377"/>
      <c r="U174" s="143"/>
      <c r="V174" s="143"/>
      <c r="W174" s="143"/>
      <c r="X174" s="143"/>
      <c r="Y174" s="143"/>
      <c r="Z174" s="143"/>
      <c r="AA174" s="143"/>
      <c r="AB174" s="143"/>
      <c r="AC174" s="143"/>
      <c r="AD174" s="143"/>
      <c r="AE174" s="143"/>
      <c r="AF174" s="143"/>
      <c r="AG174" s="143"/>
      <c r="AH174" s="143"/>
      <c r="AI174" s="143"/>
      <c r="AJ174" s="143"/>
    </row>
    <row r="175" spans="1:36" s="19" customFormat="1" x14ac:dyDescent="0.25">
      <c r="A175" s="3"/>
      <c r="B175" s="3" t="str">
        <f t="shared" ref="B175:D175" si="76">B174</f>
        <v>SAPN</v>
      </c>
      <c r="C175" s="3" t="str">
        <f t="shared" si="76"/>
        <v>Small business</v>
      </c>
      <c r="D175" s="3" t="str">
        <f t="shared" si="76"/>
        <v>without CL</v>
      </c>
      <c r="E175" s="3" t="s">
        <v>19</v>
      </c>
      <c r="F175" s="131">
        <f t="array" ref="F175">IFERROR(INDEX(Usage!$B$5:$P$18,MATCH($B175,Usage!$B$5:$B$18,0),MATCH($C175&amp;$D175&amp;$E175,Usage!$B$5:$S$5&amp;Usage!$B$6:$S$6&amp;Usage!$B$7:$S$7,0)),0)</f>
        <v>10000</v>
      </c>
      <c r="G175" s="3" t="s">
        <v>165</v>
      </c>
      <c r="H175" s="128"/>
      <c r="I175" s="128">
        <f t="array" ref="I175">IFERROR(INDEX('Detail inputs'!$B$3:$K$195,MATCH($B175&amp;$G175&amp;I$5,'Detail inputs'!$B$3:$B$195&amp;'Detail inputs'!$G$3:$G$195&amp;'Detail inputs'!$H$3:$H$195,0),MATCH(I$4,'Detail inputs'!$B$3:$K$3,0)),0)</f>
        <v>4.57</v>
      </c>
      <c r="J175" s="128">
        <f>IF(AND(H175="",I175=""),"",H175+I175*+Usage!M$40/1000)</f>
        <v>45.7</v>
      </c>
      <c r="K175" s="143">
        <f>IFERROR(J175/J177,"")</f>
        <v>0.20622743682310471</v>
      </c>
      <c r="L175" s="140"/>
      <c r="M175" s="143">
        <f t="shared" si="74"/>
        <v>-0.1120314342176969</v>
      </c>
      <c r="N175" s="140"/>
      <c r="O175" s="128"/>
      <c r="P175" s="128">
        <f t="array" ref="P175">IFERROR(INDEX('Detail inputs'!$B$3:$K$195,MATCH($B175&amp;$G175&amp;P$5,'Detail inputs'!$B$3:$B$195&amp;'Detail inputs'!$G$3:$G$195&amp;'Detail inputs'!$H$3:$H$195,0),MATCH(P$4,'Detail inputs'!$B$3:$K$3,0)),0)</f>
        <v>4.0580163456251253</v>
      </c>
      <c r="Q175" s="277">
        <f t="shared" si="75"/>
        <v>40.580163456251256</v>
      </c>
      <c r="R175" s="143">
        <f>IFERROR(Q175/Q177,"")</f>
        <v>0.24714282051511868</v>
      </c>
      <c r="S175" s="143"/>
      <c r="T175" s="377"/>
      <c r="U175" s="143"/>
      <c r="V175" s="143"/>
      <c r="W175" s="143"/>
      <c r="X175" s="143"/>
      <c r="Y175" s="143"/>
      <c r="Z175" s="143"/>
      <c r="AA175" s="143"/>
      <c r="AB175" s="143"/>
      <c r="AC175" s="143"/>
      <c r="AD175" s="143"/>
      <c r="AE175" s="143"/>
      <c r="AF175" s="143"/>
      <c r="AG175" s="143"/>
      <c r="AH175" s="143"/>
      <c r="AI175" s="143"/>
      <c r="AJ175" s="143"/>
    </row>
    <row r="176" spans="1:36" s="19" customFormat="1" x14ac:dyDescent="0.25">
      <c r="A176" s="3"/>
      <c r="B176" s="3" t="str">
        <f t="shared" ref="B176:D176" si="77">B175</f>
        <v>SAPN</v>
      </c>
      <c r="C176" s="3" t="str">
        <f t="shared" si="77"/>
        <v>Small business</v>
      </c>
      <c r="D176" s="3" t="str">
        <f t="shared" si="77"/>
        <v>without CL</v>
      </c>
      <c r="E176" s="3" t="s">
        <v>19</v>
      </c>
      <c r="F176" s="131">
        <f t="array" ref="F176">IFERROR(INDEX(Usage!$B$5:$P$18,MATCH($B176,Usage!$B$5:$B$18,0),MATCH($C176&amp;$D176&amp;$E176,Usage!$B$5:$S$5&amp;Usage!$B$6:$S$6&amp;Usage!$B$7:$S$7,0)),0)</f>
        <v>10000</v>
      </c>
      <c r="G176" s="3" t="s">
        <v>73</v>
      </c>
      <c r="H176" s="128"/>
      <c r="I176" s="128" cm="1">
        <f t="array" ref="I176">IFERROR(INDEX('Detail inputs'!$B$3:$K$195,MATCH($B176&amp;$C176&amp;$E176&amp;$G176&amp;I$5,'Detail inputs'!$B$3:$B$195&amp;'Detail inputs'!$D$3:$D$195&amp;'Detail inputs'!$F$3:$F$195&amp;'Detail inputs'!$G$3:$G$195&amp;'Detail inputs'!$H$3:$H$195,0),MATCH(I$4,'Detail inputs'!$B$3:$K$3,0)),0)*SUM(I173:I175)</f>
        <v>2.1956000000000002</v>
      </c>
      <c r="J176" s="128">
        <f>IF(AND(H176="",I176=""),"",H176+I176*+Usage!M$40/1000)</f>
        <v>21.956000000000003</v>
      </c>
      <c r="K176" s="143">
        <f>IFERROR(J176/J177,"")</f>
        <v>9.9079422382671492E-2</v>
      </c>
      <c r="L176" s="140"/>
      <c r="M176" s="143">
        <f t="shared" si="74"/>
        <v>-0.49505248914720423</v>
      </c>
      <c r="N176" s="140"/>
      <c r="O176" s="128"/>
      <c r="P176" s="128" cm="1">
        <f t="array" ref="P176">IFERROR(INDEX('Detail inputs'!$B$3:$K$195,MATCH($B176&amp;$C176&amp;$E176&amp;$G176&amp;P$5,'Detail inputs'!$B$3:$B$195&amp;'Detail inputs'!$D$3:$D$195&amp;'Detail inputs'!$F$3:$F$195&amp;'Detail inputs'!$G$3:$G$195&amp;'Detail inputs'!$H$3:$H$195,0),MATCH(P$4,'Detail inputs'!$B$3:$K$3,0)),0)*SUM(P172:P175)</f>
        <v>1.1086627548283985</v>
      </c>
      <c r="Q176" s="277">
        <f t="shared" si="75"/>
        <v>11.086627548283985</v>
      </c>
      <c r="R176" s="143">
        <f>IFERROR(Q176/Q177,"")</f>
        <v>6.7520191367327606E-2</v>
      </c>
      <c r="S176" s="143"/>
      <c r="T176" s="377"/>
      <c r="U176" s="143"/>
      <c r="V176" s="143"/>
      <c r="W176" s="143"/>
      <c r="X176" s="143"/>
      <c r="Y176" s="143"/>
      <c r="Z176" s="143"/>
      <c r="AA176" s="143"/>
      <c r="AB176" s="143"/>
      <c r="AC176" s="143"/>
      <c r="AD176" s="143"/>
      <c r="AE176" s="143"/>
      <c r="AF176" s="143"/>
      <c r="AG176" s="143"/>
      <c r="AH176" s="143"/>
      <c r="AI176" s="143"/>
      <c r="AJ176" s="143"/>
    </row>
    <row r="177" spans="1:36" s="19" customFormat="1" x14ac:dyDescent="0.25">
      <c r="A177" s="3"/>
      <c r="B177" s="3" t="str">
        <f t="shared" ref="B177:D177" si="78">B176</f>
        <v>SAPN</v>
      </c>
      <c r="C177" s="3" t="str">
        <f t="shared" si="78"/>
        <v>Small business</v>
      </c>
      <c r="D177" s="3" t="str">
        <f t="shared" si="78"/>
        <v>without CL</v>
      </c>
      <c r="E177" s="3" t="s">
        <v>19</v>
      </c>
      <c r="F177" s="131">
        <f t="array" ref="F177">IFERROR(INDEX(Usage!$B$5:$P$18,MATCH($B177,Usage!$B$5:$B$18,0),MATCH($C177&amp;$D177&amp;$E177,Usage!$B$5:$S$5&amp;Usage!$B$6:$S$6&amp;Usage!$B$7:$S$7,0)),0)</f>
        <v>10000</v>
      </c>
      <c r="G177" s="5" t="s">
        <v>55</v>
      </c>
      <c r="H177" s="130">
        <f>SUM(H173:H176)</f>
        <v>0</v>
      </c>
      <c r="I177" s="130">
        <v>22.16</v>
      </c>
      <c r="J177" s="130">
        <f>IF(AND(H177="",I177=""),"",H177+I177*+Usage!M$40/1000)</f>
        <v>221.6</v>
      </c>
      <c r="K177" s="145"/>
      <c r="L177" s="150"/>
      <c r="M177" s="145">
        <f t="shared" si="74"/>
        <v>-0.25903782711919621</v>
      </c>
      <c r="N177" s="150"/>
      <c r="O177" s="130">
        <f>SUM(O173:O176)</f>
        <v>0</v>
      </c>
      <c r="P177" s="130">
        <f>SUM(P173:P176)</f>
        <v>16.419721751038612</v>
      </c>
      <c r="Q177" s="130">
        <f t="shared" si="75"/>
        <v>164.19721751038611</v>
      </c>
      <c r="R177" s="143"/>
      <c r="S177" s="143"/>
      <c r="T177" s="377"/>
      <c r="U177" s="143"/>
      <c r="V177" s="143"/>
      <c r="W177" s="143"/>
      <c r="X177" s="143"/>
      <c r="Y177" s="143"/>
      <c r="Z177" s="143"/>
      <c r="AA177" s="143"/>
      <c r="AB177" s="143"/>
      <c r="AC177" s="143"/>
      <c r="AD177" s="143"/>
      <c r="AE177" s="143"/>
      <c r="AF177" s="143"/>
      <c r="AG177" s="143"/>
      <c r="AH177" s="143"/>
      <c r="AI177" s="143"/>
      <c r="AJ177" s="143"/>
    </row>
    <row r="178" spans="1:36" s="19" customFormat="1" x14ac:dyDescent="0.25">
      <c r="A178" s="3"/>
      <c r="B178" s="3" t="str">
        <f t="shared" si="73"/>
        <v>SAPN</v>
      </c>
      <c r="C178" s="3" t="str">
        <f t="shared" si="73"/>
        <v>Small business</v>
      </c>
      <c r="D178" s="3" t="str">
        <f t="shared" si="73"/>
        <v>without CL</v>
      </c>
      <c r="E178" s="3"/>
      <c r="F178" s="149"/>
      <c r="G178" s="3" t="s">
        <v>38</v>
      </c>
      <c r="H178" s="128"/>
      <c r="I178" s="128"/>
      <c r="J178" s="128">
        <f>J177*GST</f>
        <v>22.16</v>
      </c>
      <c r="K178" s="144"/>
      <c r="L178" s="149"/>
      <c r="M178" s="144"/>
      <c r="N178" s="149"/>
      <c r="O178" s="128"/>
      <c r="P178" s="128"/>
      <c r="Q178" s="277">
        <f>Q177*GST</f>
        <v>16.419721751038612</v>
      </c>
      <c r="R178" s="143" t="str">
        <f>IFERROR(Q178/Q188,"")</f>
        <v/>
      </c>
      <c r="S178" s="143"/>
      <c r="T178" s="377"/>
      <c r="U178" s="143"/>
      <c r="V178" s="143"/>
      <c r="W178" s="143"/>
      <c r="X178" s="143"/>
      <c r="Y178" s="143"/>
      <c r="Z178" s="143"/>
      <c r="AA178" s="143"/>
      <c r="AB178" s="143"/>
      <c r="AC178" s="143"/>
      <c r="AD178" s="143"/>
      <c r="AE178" s="143"/>
      <c r="AF178" s="143"/>
      <c r="AG178" s="143"/>
      <c r="AH178" s="143"/>
      <c r="AI178" s="143"/>
      <c r="AJ178" s="143"/>
    </row>
    <row r="179" spans="1:36" s="19" customFormat="1" x14ac:dyDescent="0.25">
      <c r="A179" s="3"/>
      <c r="B179" s="3" t="str">
        <f t="shared" si="73"/>
        <v>SAPN</v>
      </c>
      <c r="C179" s="3" t="str">
        <f t="shared" si="73"/>
        <v>Small business</v>
      </c>
      <c r="D179" s="3" t="str">
        <f t="shared" si="73"/>
        <v>without CL</v>
      </c>
      <c r="E179" s="3"/>
      <c r="F179" s="149"/>
      <c r="G179" s="5" t="s">
        <v>80</v>
      </c>
      <c r="H179" s="130"/>
      <c r="I179" s="130"/>
      <c r="J179" s="130">
        <f>SUM(J177:J178)</f>
        <v>243.76</v>
      </c>
      <c r="K179" s="145"/>
      <c r="L179" s="150"/>
      <c r="M179" s="145">
        <f>IF(OR(J179=0,Q179=""),"",Q179/J179-1)</f>
        <v>-0.25903782711919621</v>
      </c>
      <c r="N179" s="150"/>
      <c r="O179" s="130"/>
      <c r="P179" s="130"/>
      <c r="Q179" s="130">
        <f>SUM(Q177:Q178)</f>
        <v>180.61693926142473</v>
      </c>
      <c r="R179" s="143" t="str">
        <f>IFERROR(Q179/Q188,"")</f>
        <v/>
      </c>
      <c r="S179" s="143"/>
      <c r="T179" s="377"/>
      <c r="U179" s="143"/>
      <c r="V179" s="143"/>
      <c r="W179" s="143"/>
      <c r="X179" s="143"/>
      <c r="Y179" s="143"/>
      <c r="Z179" s="143"/>
      <c r="AA179" s="143"/>
      <c r="AB179" s="143"/>
      <c r="AC179" s="143"/>
      <c r="AD179" s="143"/>
      <c r="AE179" s="143"/>
      <c r="AF179" s="143"/>
      <c r="AG179" s="143"/>
      <c r="AH179" s="143"/>
      <c r="AI179" s="143"/>
      <c r="AJ179" s="143"/>
    </row>
    <row r="180" spans="1:36" s="19" customFormat="1" x14ac:dyDescent="0.25">
      <c r="A180" s="3"/>
      <c r="B180" s="3"/>
      <c r="C180" s="3"/>
      <c r="D180" s="3"/>
      <c r="E180" s="3"/>
      <c r="F180" s="3"/>
      <c r="G180" s="3"/>
      <c r="H180" s="3"/>
      <c r="I180" s="3"/>
      <c r="J180" s="3"/>
      <c r="K180" s="3" t="str">
        <f>IFERROR(J180/J188,"")</f>
        <v/>
      </c>
      <c r="L180" s="3"/>
      <c r="M180" s="3"/>
      <c r="N180" s="3"/>
      <c r="O180" s="3"/>
      <c r="P180" s="3"/>
      <c r="Q180" s="227"/>
      <c r="R180" s="3" t="str">
        <f>IFERROR(Q180/Q188,"")</f>
        <v/>
      </c>
      <c r="S180" s="3"/>
      <c r="T180" s="371"/>
      <c r="U180" s="3"/>
      <c r="V180" s="3"/>
      <c r="W180" s="3"/>
      <c r="X180" s="3"/>
      <c r="Y180" s="3"/>
      <c r="Z180" s="3"/>
      <c r="AA180" s="3"/>
      <c r="AB180" s="3"/>
      <c r="AC180" s="3"/>
      <c r="AD180" s="3"/>
      <c r="AE180" s="3"/>
      <c r="AF180" s="3"/>
      <c r="AG180" s="3"/>
      <c r="AH180" s="3"/>
      <c r="AI180" s="3"/>
      <c r="AJ180" s="3"/>
    </row>
    <row r="181" spans="1:36" s="19" customFormat="1" x14ac:dyDescent="0.25">
      <c r="A181" s="3"/>
      <c r="B181" s="3"/>
      <c r="C181" s="3"/>
      <c r="D181" s="3"/>
      <c r="E181" s="3"/>
      <c r="F181" s="3"/>
      <c r="G181" s="3"/>
      <c r="H181" s="3"/>
      <c r="I181" s="3"/>
      <c r="J181" s="3"/>
      <c r="K181" s="3" t="str">
        <f>IFERROR(J181/J188,"")</f>
        <v/>
      </c>
      <c r="L181" s="3"/>
      <c r="M181" s="3"/>
      <c r="N181" s="3"/>
      <c r="O181" s="3"/>
      <c r="P181" s="3"/>
      <c r="Q181" s="227"/>
      <c r="R181" s="3" t="str">
        <f>IFERROR(Q181/Q188,"")</f>
        <v/>
      </c>
      <c r="S181" s="3"/>
      <c r="T181" s="371"/>
      <c r="U181" s="3"/>
      <c r="V181" s="3"/>
      <c r="W181" s="3"/>
      <c r="X181" s="3"/>
      <c r="Y181" s="3"/>
      <c r="Z181" s="3"/>
      <c r="AA181" s="3"/>
      <c r="AB181" s="3"/>
      <c r="AC181" s="3"/>
      <c r="AD181" s="3"/>
      <c r="AE181" s="3"/>
      <c r="AF181" s="3"/>
      <c r="AG181" s="3"/>
      <c r="AH181" s="3"/>
      <c r="AI181" s="3"/>
      <c r="AJ181" s="3"/>
    </row>
    <row r="182" spans="1:36" s="19" customFormat="1" x14ac:dyDescent="0.25">
      <c r="A182" s="3"/>
      <c r="B182" s="3"/>
      <c r="C182" s="3"/>
      <c r="D182" s="3"/>
      <c r="E182" s="3"/>
      <c r="F182" s="3"/>
      <c r="G182" s="3"/>
      <c r="H182" s="3"/>
      <c r="I182" s="3"/>
      <c r="J182" s="3"/>
      <c r="K182" s="3" t="str">
        <f>IFERROR(J182/J188,"")</f>
        <v/>
      </c>
      <c r="L182" s="3"/>
      <c r="M182" s="3"/>
      <c r="N182" s="3"/>
      <c r="O182" s="3"/>
      <c r="P182" s="86"/>
      <c r="Q182" s="227"/>
      <c r="R182" s="3" t="str">
        <f>IFERROR(Q182/Q188,"")</f>
        <v/>
      </c>
      <c r="S182" s="3"/>
      <c r="T182" s="371"/>
      <c r="U182" s="3"/>
      <c r="V182" s="3"/>
      <c r="W182" s="3"/>
      <c r="X182" s="3"/>
      <c r="Y182" s="3"/>
      <c r="Z182" s="3"/>
      <c r="AA182" s="3"/>
      <c r="AB182" s="3"/>
      <c r="AC182" s="3"/>
      <c r="AD182" s="3"/>
      <c r="AE182" s="3"/>
      <c r="AF182" s="3"/>
      <c r="AG182" s="3"/>
      <c r="AH182" s="3"/>
      <c r="AI182" s="3"/>
      <c r="AJ182" s="3"/>
    </row>
    <row r="183" spans="1:36" s="19" customFormat="1" x14ac:dyDescent="0.25">
      <c r="A183" s="3"/>
      <c r="B183" s="3"/>
      <c r="C183" s="3"/>
      <c r="D183" s="3"/>
      <c r="E183" s="3"/>
      <c r="F183" s="3"/>
      <c r="G183" s="3"/>
      <c r="H183" s="3"/>
      <c r="I183" s="3"/>
      <c r="J183" s="3"/>
      <c r="K183" s="3" t="str">
        <f>IFERROR(J183/J188,"")</f>
        <v/>
      </c>
      <c r="L183" s="3"/>
      <c r="M183" s="3"/>
      <c r="N183" s="3"/>
      <c r="O183" s="3"/>
      <c r="P183" s="3"/>
      <c r="Q183" s="227"/>
      <c r="R183" s="3" t="str">
        <f>IFERROR(Q183/Q188,"")</f>
        <v/>
      </c>
      <c r="S183" s="3"/>
      <c r="T183" s="371"/>
      <c r="U183" s="3"/>
      <c r="V183" s="3"/>
      <c r="W183" s="3"/>
      <c r="X183" s="3"/>
      <c r="Y183" s="3"/>
      <c r="Z183" s="3"/>
      <c r="AA183" s="3"/>
      <c r="AB183" s="3"/>
      <c r="AC183" s="3"/>
      <c r="AD183" s="3"/>
      <c r="AE183" s="3"/>
      <c r="AF183" s="3"/>
      <c r="AG183" s="3"/>
      <c r="AH183" s="3"/>
      <c r="AI183" s="3"/>
      <c r="AJ183" s="3"/>
    </row>
    <row r="184" spans="1:36" s="19" customFormat="1" x14ac:dyDescent="0.25">
      <c r="A184" s="3"/>
      <c r="B184" s="3"/>
      <c r="C184" s="3"/>
      <c r="D184" s="3"/>
      <c r="E184" s="3"/>
      <c r="F184" s="3"/>
      <c r="G184" s="3"/>
      <c r="H184" s="3"/>
      <c r="I184" s="3"/>
      <c r="J184" s="3"/>
      <c r="K184" s="3" t="str">
        <f>IFERROR(J184/J188,"")</f>
        <v/>
      </c>
      <c r="L184" s="3"/>
      <c r="M184" s="3"/>
      <c r="N184" s="3"/>
      <c r="O184" s="3"/>
      <c r="P184" s="3"/>
      <c r="Q184" s="227"/>
      <c r="R184" s="3" t="str">
        <f>IFERROR(Q184/Q188,"")</f>
        <v/>
      </c>
      <c r="S184" s="3"/>
      <c r="T184" s="371"/>
      <c r="U184" s="3"/>
      <c r="V184" s="3"/>
      <c r="W184" s="3"/>
      <c r="X184" s="3"/>
      <c r="Y184" s="3"/>
      <c r="Z184" s="3"/>
      <c r="AA184" s="3"/>
      <c r="AB184" s="3"/>
      <c r="AC184" s="3"/>
      <c r="AD184" s="3"/>
      <c r="AE184" s="3"/>
      <c r="AF184" s="3"/>
      <c r="AG184" s="3"/>
      <c r="AH184" s="3"/>
      <c r="AI184" s="3"/>
      <c r="AJ184" s="3"/>
    </row>
    <row r="185" spans="1:36" s="19" customFormat="1" x14ac:dyDescent="0.25">
      <c r="A185" s="3"/>
      <c r="B185" s="3"/>
      <c r="C185" s="3"/>
      <c r="D185" s="3"/>
      <c r="E185" s="3"/>
      <c r="F185" s="3"/>
      <c r="G185" s="3"/>
      <c r="H185" s="3"/>
      <c r="I185" s="3"/>
      <c r="J185" s="3"/>
      <c r="K185" s="3" t="str">
        <f>IFERROR(J185/J188,"")</f>
        <v/>
      </c>
      <c r="L185" s="3"/>
      <c r="M185" s="3"/>
      <c r="N185" s="3"/>
      <c r="O185" s="3"/>
      <c r="P185" s="3"/>
      <c r="Q185" s="227"/>
      <c r="R185" s="3" t="str">
        <f>IFERROR(Q185/Q188,"")</f>
        <v/>
      </c>
      <c r="S185" s="3"/>
      <c r="T185" s="371"/>
      <c r="U185" s="3"/>
      <c r="V185" s="3"/>
      <c r="W185" s="3"/>
      <c r="X185" s="3"/>
      <c r="Y185" s="3"/>
      <c r="Z185" s="3"/>
      <c r="AA185" s="3"/>
      <c r="AB185" s="3"/>
      <c r="AC185" s="3"/>
      <c r="AD185" s="3"/>
      <c r="AE185" s="3"/>
      <c r="AF185" s="3"/>
      <c r="AG185" s="3"/>
      <c r="AH185" s="3"/>
      <c r="AI185" s="3"/>
      <c r="AJ185" s="3"/>
    </row>
    <row r="186" spans="1:36" s="19" customFormat="1" x14ac:dyDescent="0.25">
      <c r="A186" s="3"/>
      <c r="B186" s="3"/>
      <c r="C186" s="3"/>
      <c r="D186" s="3"/>
      <c r="E186" s="3"/>
      <c r="F186" s="3"/>
      <c r="G186" s="3"/>
      <c r="H186" s="3"/>
      <c r="I186" s="3"/>
      <c r="J186" s="3"/>
      <c r="K186" s="3" t="str">
        <f>IFERROR(J186/J188,"")</f>
        <v/>
      </c>
      <c r="L186" s="3"/>
      <c r="M186" s="3"/>
      <c r="N186" s="3"/>
      <c r="O186" s="3"/>
      <c r="P186" s="3"/>
      <c r="Q186" s="227"/>
      <c r="R186" s="3" t="str">
        <f>IFERROR(Q186/Q188,"")</f>
        <v/>
      </c>
      <c r="S186" s="3"/>
      <c r="T186" s="371"/>
      <c r="U186" s="3"/>
      <c r="V186" s="3"/>
      <c r="W186" s="3"/>
      <c r="X186" s="3"/>
      <c r="Y186" s="3"/>
      <c r="Z186" s="3"/>
      <c r="AA186" s="3"/>
      <c r="AB186" s="3"/>
      <c r="AC186" s="3"/>
      <c r="AD186" s="3"/>
      <c r="AE186" s="3"/>
      <c r="AF186" s="3"/>
      <c r="AG186" s="3"/>
      <c r="AH186" s="3"/>
      <c r="AI186" s="3"/>
      <c r="AJ186" s="3"/>
    </row>
    <row r="187" spans="1:36" s="19" customFormat="1" x14ac:dyDescent="0.25">
      <c r="A187" s="3"/>
      <c r="B187" s="3"/>
      <c r="C187" s="3"/>
      <c r="D187" s="3"/>
      <c r="E187" s="3"/>
      <c r="F187" s="3"/>
      <c r="G187" s="3"/>
      <c r="H187" s="3"/>
      <c r="I187" s="3"/>
      <c r="J187" s="3"/>
      <c r="K187" s="3" t="str">
        <f>IFERROR(J187/J188,"")</f>
        <v/>
      </c>
      <c r="L187" s="3"/>
      <c r="M187" s="3"/>
      <c r="N187" s="3"/>
      <c r="O187" s="3"/>
      <c r="P187" s="3"/>
      <c r="Q187" s="227"/>
      <c r="R187" s="3" t="str">
        <f>IFERROR(Q187/Q188,"")</f>
        <v/>
      </c>
      <c r="S187" s="3"/>
      <c r="T187" s="371"/>
      <c r="U187" s="3"/>
      <c r="V187" s="3"/>
      <c r="W187" s="3"/>
      <c r="X187" s="3"/>
      <c r="Y187" s="3"/>
      <c r="Z187" s="3"/>
      <c r="AA187" s="3"/>
      <c r="AB187" s="3"/>
      <c r="AC187" s="3"/>
      <c r="AD187" s="3"/>
      <c r="AE187" s="3"/>
      <c r="AF187" s="3"/>
      <c r="AG187" s="3"/>
      <c r="AH187" s="3"/>
      <c r="AI187" s="3"/>
      <c r="AJ187" s="3"/>
    </row>
    <row r="188" spans="1:36" s="19" customFormat="1" x14ac:dyDescent="0.25">
      <c r="A188" s="3"/>
      <c r="B188" s="3"/>
      <c r="C188" s="3"/>
      <c r="D188" s="3"/>
      <c r="E188" s="3"/>
      <c r="F188" s="3"/>
      <c r="G188" s="3"/>
      <c r="H188" s="3"/>
      <c r="I188" s="3"/>
      <c r="J188" s="3"/>
      <c r="K188" s="3"/>
      <c r="L188" s="3"/>
      <c r="M188" s="3"/>
      <c r="N188" s="3"/>
      <c r="O188" s="3"/>
      <c r="P188" s="3"/>
      <c r="Q188" s="227"/>
      <c r="R188" s="3"/>
      <c r="S188" s="3"/>
      <c r="T188" s="371"/>
      <c r="U188" s="3"/>
      <c r="V188" s="3"/>
      <c r="W188" s="3"/>
      <c r="X188" s="3"/>
      <c r="Y188" s="3"/>
      <c r="Z188" s="3"/>
      <c r="AA188" s="3"/>
      <c r="AB188" s="3"/>
      <c r="AC188" s="3"/>
      <c r="AD188" s="3"/>
      <c r="AE188" s="3"/>
      <c r="AF188" s="3"/>
      <c r="AG188" s="3"/>
      <c r="AH188" s="3"/>
      <c r="AI188" s="3"/>
      <c r="AJ188" s="3"/>
    </row>
    <row r="189" spans="1:36" x14ac:dyDescent="0.25">
      <c r="F189" s="3"/>
      <c r="H189" s="3"/>
      <c r="I189" s="3"/>
      <c r="J189" s="3"/>
      <c r="K189" s="3"/>
      <c r="L189" s="3"/>
      <c r="M189" s="3"/>
      <c r="N189" s="3"/>
      <c r="O189" s="3"/>
      <c r="P189" s="3"/>
      <c r="Q189" s="227"/>
      <c r="R189" s="3"/>
      <c r="S189" s="3"/>
      <c r="U189" s="3"/>
      <c r="V189" s="3"/>
      <c r="W189" s="3"/>
      <c r="X189" s="3"/>
      <c r="Y189" s="3"/>
      <c r="Z189" s="3"/>
      <c r="AA189" s="3"/>
      <c r="AB189" s="3"/>
      <c r="AC189" s="3"/>
      <c r="AD189" s="3"/>
      <c r="AE189" s="3"/>
      <c r="AF189" s="3"/>
      <c r="AG189" s="3"/>
      <c r="AH189" s="3"/>
      <c r="AI189" s="3"/>
      <c r="AJ189" s="3"/>
    </row>
    <row r="190" spans="1:36" x14ac:dyDescent="0.25">
      <c r="F190" s="3"/>
      <c r="H190" s="3"/>
      <c r="I190" s="3"/>
      <c r="J190" s="3"/>
      <c r="K190" s="3"/>
      <c r="L190" s="3"/>
      <c r="M190" s="3"/>
      <c r="N190" s="3"/>
      <c r="O190" s="3"/>
      <c r="P190" s="3"/>
      <c r="Q190" s="227"/>
      <c r="R190" s="3"/>
      <c r="S190" s="3"/>
      <c r="U190" s="3"/>
      <c r="V190" s="3"/>
      <c r="W190" s="3"/>
      <c r="X190" s="3"/>
      <c r="Y190" s="3"/>
      <c r="Z190" s="3"/>
      <c r="AA190" s="3"/>
      <c r="AB190" s="3"/>
      <c r="AC190" s="3"/>
      <c r="AD190" s="3"/>
      <c r="AE190" s="3"/>
      <c r="AF190" s="3"/>
      <c r="AG190" s="3"/>
      <c r="AH190" s="3"/>
      <c r="AI190" s="3"/>
      <c r="AJ190" s="3"/>
    </row>
    <row r="191" spans="1:36" x14ac:dyDescent="0.25">
      <c r="F191" s="3"/>
      <c r="H191" s="3"/>
      <c r="I191" s="3"/>
      <c r="J191" s="3"/>
      <c r="K191" s="3"/>
      <c r="L191" s="3"/>
      <c r="M191" s="3"/>
      <c r="N191" s="3"/>
      <c r="O191" s="3"/>
      <c r="P191" s="3"/>
      <c r="Q191" s="227"/>
      <c r="R191" s="3"/>
      <c r="S191" s="3"/>
      <c r="U191" s="3"/>
      <c r="V191" s="3"/>
      <c r="W191" s="3"/>
      <c r="X191" s="3"/>
      <c r="Y191" s="3"/>
      <c r="Z191" s="3"/>
      <c r="AA191" s="3"/>
      <c r="AB191" s="3"/>
      <c r="AC191" s="3"/>
      <c r="AD191" s="3"/>
      <c r="AE191" s="3"/>
      <c r="AF191" s="3"/>
      <c r="AG191" s="3"/>
      <c r="AH191" s="3"/>
      <c r="AI191" s="3"/>
      <c r="AJ191" s="3"/>
    </row>
    <row r="192" spans="1:36" x14ac:dyDescent="0.25">
      <c r="F192" s="3"/>
      <c r="H192" s="3"/>
      <c r="I192" s="3"/>
      <c r="J192" s="3"/>
      <c r="K192" s="3"/>
      <c r="L192" s="3"/>
      <c r="M192" s="3"/>
      <c r="N192" s="3"/>
      <c r="O192" s="3"/>
      <c r="P192" s="3"/>
      <c r="Q192" s="227"/>
      <c r="R192" s="3"/>
      <c r="S192" s="3"/>
      <c r="U192" s="3"/>
      <c r="V192" s="3"/>
      <c r="W192" s="3"/>
      <c r="X192" s="3"/>
      <c r="Y192" s="3"/>
      <c r="Z192" s="3"/>
      <c r="AA192" s="3"/>
      <c r="AB192" s="3"/>
      <c r="AC192" s="3"/>
      <c r="AD192" s="3"/>
      <c r="AE192" s="3"/>
      <c r="AF192" s="3"/>
      <c r="AG192" s="3"/>
      <c r="AH192" s="3"/>
      <c r="AI192" s="3"/>
      <c r="AJ192" s="3"/>
    </row>
    <row r="193" spans="17:20" s="3" customFormat="1" x14ac:dyDescent="0.25">
      <c r="Q193" s="227"/>
      <c r="T193" s="371"/>
    </row>
    <row r="194" spans="17:20" s="3" customFormat="1" x14ac:dyDescent="0.25">
      <c r="Q194" s="227"/>
      <c r="T194" s="371"/>
    </row>
    <row r="195" spans="17:20" s="3" customFormat="1" x14ac:dyDescent="0.25">
      <c r="Q195" s="227"/>
      <c r="T195" s="371"/>
    </row>
    <row r="196" spans="17:20" s="3" customFormat="1" x14ac:dyDescent="0.25">
      <c r="Q196" s="227"/>
      <c r="T196" s="371"/>
    </row>
    <row r="197" spans="17:20" s="3" customFormat="1" x14ac:dyDescent="0.25">
      <c r="Q197" s="227"/>
      <c r="T197" s="371"/>
    </row>
    <row r="198" spans="17:20" s="3" customFormat="1" x14ac:dyDescent="0.25">
      <c r="Q198" s="227"/>
      <c r="T198" s="371"/>
    </row>
    <row r="199" spans="17:20" s="3" customFormat="1" x14ac:dyDescent="0.25">
      <c r="Q199" s="227"/>
      <c r="T199" s="371"/>
    </row>
    <row r="200" spans="17:20" s="3" customFormat="1" x14ac:dyDescent="0.25">
      <c r="Q200" s="227"/>
      <c r="T200" s="371"/>
    </row>
    <row r="201" spans="17:20" s="3" customFormat="1" x14ac:dyDescent="0.25">
      <c r="Q201" s="227"/>
      <c r="T201" s="371"/>
    </row>
    <row r="202" spans="17:20" s="3" customFormat="1" x14ac:dyDescent="0.25">
      <c r="Q202" s="227"/>
      <c r="T202" s="371"/>
    </row>
    <row r="203" spans="17:20" s="3" customFormat="1" x14ac:dyDescent="0.25">
      <c r="Q203" s="227"/>
      <c r="T203" s="371"/>
    </row>
    <row r="204" spans="17:20" s="3" customFormat="1" x14ac:dyDescent="0.25">
      <c r="Q204" s="227"/>
      <c r="T204" s="371"/>
    </row>
    <row r="205" spans="17:20" s="3" customFormat="1" x14ac:dyDescent="0.25">
      <c r="Q205" s="227"/>
      <c r="T205" s="371"/>
    </row>
    <row r="206" spans="17:20" s="3" customFormat="1" x14ac:dyDescent="0.25">
      <c r="Q206" s="227"/>
      <c r="T206" s="371"/>
    </row>
    <row r="207" spans="17:20" s="3" customFormat="1" x14ac:dyDescent="0.25">
      <c r="Q207" s="227"/>
      <c r="T207" s="371"/>
    </row>
    <row r="208" spans="17:20" s="3" customFormat="1" x14ac:dyDescent="0.25">
      <c r="Q208" s="227"/>
      <c r="T208" s="371"/>
    </row>
    <row r="209" spans="17:20" s="3" customFormat="1" x14ac:dyDescent="0.25">
      <c r="Q209" s="227"/>
      <c r="T209" s="371"/>
    </row>
    <row r="210" spans="17:20" s="3" customFormat="1" x14ac:dyDescent="0.25">
      <c r="Q210" s="227"/>
      <c r="T210" s="371"/>
    </row>
    <row r="211" spans="17:20" s="3" customFormat="1" x14ac:dyDescent="0.25">
      <c r="Q211" s="227"/>
      <c r="T211" s="371"/>
    </row>
  </sheetData>
  <sheetProtection algorithmName="SHA-256" hashValue="OjpZDaMYAJMiw2FVo/H87C3yL0zKkUhZAczYpSQ0/pg=" saltValue="/9KR6HYW7Bq0I8fu+UEwIQ==" spinCount="100000" sheet="1" formatCells="0" formatColumns="0" formatRows="0" insertColumns="0" insertRows="0" insertHyperlinks="0" deleteColumns="0" deleteRows="0" sort="0" autoFilter="0" pivotTables="0"/>
  <mergeCells count="3">
    <mergeCell ref="H3:K3"/>
    <mergeCell ref="O3:R3"/>
    <mergeCell ref="A1:B1"/>
  </mergeCells>
  <conditionalFormatting sqref="B7:D164">
    <cfRule type="expression" dxfId="204" priority="778">
      <formula>AND(B7=B6,MOD(ROW(),2)=1)</formula>
    </cfRule>
    <cfRule type="expression" dxfId="203" priority="779">
      <formula>AND(B7=B6,MOD(ROW(),2)=0)</formula>
    </cfRule>
  </conditionalFormatting>
  <conditionalFormatting sqref="B165:D165">
    <cfRule type="expression" dxfId="202" priority="600">
      <formula>AND(B165=#REF!,MOD(ROW(),2)=1)</formula>
    </cfRule>
    <cfRule type="expression" dxfId="201" priority="601">
      <formula>AND(B165=#REF!,MOD(ROW(),2)=0)</formula>
    </cfRule>
  </conditionalFormatting>
  <conditionalFormatting sqref="B166:D179">
    <cfRule type="expression" dxfId="200" priority="768">
      <formula>AND(B166=B165,MOD(ROW(),2)=1)</formula>
    </cfRule>
    <cfRule type="expression" dxfId="199" priority="769">
      <formula>AND(B166=B165,MOD(ROW(),2)=0)</formula>
    </cfRule>
  </conditionalFormatting>
  <conditionalFormatting sqref="B212:D212">
    <cfRule type="expression" dxfId="198" priority="1016">
      <formula>AND(B212=B211,MOD(ROW(),2)=1)</formula>
    </cfRule>
    <cfRule type="expression" dxfId="197" priority="1017">
      <formula>AND(B212=B211,MOD(ROW(),2)=0)</formula>
    </cfRule>
  </conditionalFormatting>
  <conditionalFormatting sqref="B154:I154 B155:D158 E158:AJ158 B212:AJ212">
    <cfRule type="expression" dxfId="196" priority="949">
      <formula>MOD(ROW(),2)=0</formula>
    </cfRule>
  </conditionalFormatting>
  <conditionalFormatting sqref="B7:AJ153">
    <cfRule type="expression" dxfId="195" priority="3">
      <formula>MOD(ROW(),2)=0</formula>
    </cfRule>
  </conditionalFormatting>
  <conditionalFormatting sqref="B159:AJ179">
    <cfRule type="expression" dxfId="194" priority="2">
      <formula>MOD(ROW(),2)=0</formula>
    </cfRule>
  </conditionalFormatting>
  <conditionalFormatting sqref="E155:I157">
    <cfRule type="expression" dxfId="193" priority="770">
      <formula>MOD(ROW(),2)=0</formula>
    </cfRule>
  </conditionalFormatting>
  <conditionalFormatting sqref="J154:AJ157">
    <cfRule type="expression" dxfId="192" priority="1">
      <formula>MOD(ROW(),2)=0</formula>
    </cfRule>
  </conditionalFormatting>
  <hyperlinks>
    <hyperlink ref="A1" location="Index!A1" display="&lt;&lt;Back to Index" xr:uid="{00000000-0004-0000-1300-000000000000}"/>
  </hyperlinks>
  <pageMargins left="0.7" right="0.7" top="0.75" bottom="0.75" header="0.3" footer="0.3"/>
  <pageSetup paperSize="9" orientation="portrait" r:id="rId1"/>
  <headerFooter>
    <oddHeader>&amp;C&amp;"Calibri"&amp;10&amp;KFF0000 OFFICIAL SENSITIVE&amp;1#_x000D_</oddHeader>
  </headerFooter>
  <ignoredErrors>
    <ignoredError sqref="K25:N25 K63:N63 K101:N101"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BF83-8252-4C85-AFBB-619D4781C1EB}">
  <sheetPr codeName="Sheet21">
    <tabColor rgb="FF0070C0"/>
  </sheetPr>
  <dimension ref="A1:AE159"/>
  <sheetViews>
    <sheetView zoomScaleNormal="100" workbookViewId="0">
      <pane xSplit="7" ySplit="6" topLeftCell="H7" activePane="bottomRight" state="frozen"/>
      <selection pane="topRight" activeCell="H1" sqref="H1"/>
      <selection pane="bottomLeft" activeCell="A7" sqref="A7"/>
      <selection pane="bottomRight" sqref="A1:B1"/>
    </sheetView>
  </sheetViews>
  <sheetFormatPr defaultColWidth="8.85546875" defaultRowHeight="15" x14ac:dyDescent="0.25"/>
  <cols>
    <col min="1" max="1" width="1.85546875" style="3" customWidth="1"/>
    <col min="2" max="4" width="12.7109375" style="3" customWidth="1"/>
    <col min="5" max="5" width="10.85546875" style="3" customWidth="1"/>
    <col min="6" max="6" width="10.85546875" style="19" customWidth="1"/>
    <col min="7" max="7" width="24.28515625" style="3" bestFit="1" customWidth="1"/>
    <col min="8" max="10" width="10.85546875" style="60" customWidth="1"/>
    <col min="11" max="11" width="11.85546875" style="19" bestFit="1" customWidth="1"/>
    <col min="12" max="12" width="0.85546875" style="19" customWidth="1"/>
    <col min="13" max="13" width="12.85546875" style="19" bestFit="1" customWidth="1"/>
    <col min="14" max="14" width="0.85546875" style="19" customWidth="1"/>
    <col min="15" max="17" width="10.85546875" style="60" customWidth="1"/>
    <col min="18" max="18" width="11.85546875" style="19" bestFit="1" customWidth="1"/>
    <col min="19" max="31" width="11.85546875" style="307" customWidth="1"/>
    <col min="32" max="16384" width="8.85546875" style="3"/>
  </cols>
  <sheetData>
    <row r="1" spans="1:31" ht="10.35" customHeight="1" x14ac:dyDescent="0.25">
      <c r="A1" s="430" t="s">
        <v>18</v>
      </c>
      <c r="B1" s="431"/>
    </row>
    <row r="2" spans="1:31" s="14" customFormat="1" ht="22.5" customHeight="1" x14ac:dyDescent="0.25">
      <c r="A2" s="15" t="s">
        <v>169</v>
      </c>
      <c r="F2" s="20"/>
      <c r="H2" s="61"/>
      <c r="I2" s="61"/>
      <c r="J2" s="61"/>
      <c r="K2" s="20"/>
      <c r="L2" s="20"/>
      <c r="M2" s="20"/>
      <c r="N2" s="20"/>
      <c r="O2" s="61"/>
      <c r="P2" s="61"/>
      <c r="Q2" s="61"/>
      <c r="R2" s="20"/>
      <c r="S2" s="20"/>
      <c r="T2" s="20"/>
      <c r="U2" s="20"/>
      <c r="V2" s="20"/>
      <c r="W2" s="20"/>
      <c r="X2" s="20"/>
      <c r="Y2" s="20"/>
      <c r="Z2" s="20"/>
      <c r="AA2" s="20"/>
      <c r="AB2" s="20"/>
      <c r="AC2" s="20"/>
      <c r="AD2" s="20"/>
      <c r="AE2" s="20"/>
    </row>
    <row r="3" spans="1:31" s="27" customFormat="1" x14ac:dyDescent="0.25">
      <c r="B3" s="28"/>
      <c r="C3" s="28"/>
      <c r="D3" s="28"/>
      <c r="E3" s="28"/>
      <c r="F3" s="41"/>
      <c r="G3" s="28"/>
      <c r="H3" s="470" t="str">
        <f>PY</f>
        <v>2024-25</v>
      </c>
      <c r="I3" s="470"/>
      <c r="J3" s="470"/>
      <c r="K3" s="470"/>
      <c r="L3" s="34"/>
      <c r="M3" s="38" t="str">
        <f>FY</f>
        <v>2025-26</v>
      </c>
      <c r="N3" s="34"/>
      <c r="O3" s="470" t="str">
        <f>FY</f>
        <v>2025-26</v>
      </c>
      <c r="P3" s="470"/>
      <c r="Q3" s="470"/>
      <c r="R3" s="470"/>
      <c r="S3" s="368"/>
      <c r="T3" s="368"/>
      <c r="U3" s="368"/>
      <c r="V3" s="368"/>
      <c r="W3" s="368"/>
      <c r="X3" s="368"/>
      <c r="Y3" s="368"/>
      <c r="Z3" s="368"/>
      <c r="AA3" s="368"/>
      <c r="AB3" s="368"/>
      <c r="AC3" s="368"/>
      <c r="AD3" s="368"/>
      <c r="AE3" s="368"/>
    </row>
    <row r="4" spans="1:31" s="27" customFormat="1" ht="14.45" customHeight="1" x14ac:dyDescent="0.25">
      <c r="B4" s="28"/>
      <c r="C4" s="28"/>
      <c r="D4" s="28"/>
      <c r="E4" s="28"/>
      <c r="F4" s="37" t="str">
        <f t="shared" ref="F4:K4" si="0">$H$3</f>
        <v>2024-25</v>
      </c>
      <c r="G4" s="28"/>
      <c r="H4" s="62" t="str">
        <f>$H$3</f>
        <v>2024-25</v>
      </c>
      <c r="I4" s="62" t="str">
        <f t="shared" si="0"/>
        <v>2024-25</v>
      </c>
      <c r="J4" s="62" t="str">
        <f t="shared" si="0"/>
        <v>2024-25</v>
      </c>
      <c r="K4" s="37" t="str">
        <f t="shared" si="0"/>
        <v>2024-25</v>
      </c>
      <c r="L4" s="37"/>
      <c r="M4" s="37" t="str">
        <f>FY</f>
        <v>2025-26</v>
      </c>
      <c r="N4" s="37"/>
      <c r="O4" s="62" t="str">
        <f>$O$3</f>
        <v>2025-26</v>
      </c>
      <c r="P4" s="62" t="str">
        <f>$O$3</f>
        <v>2025-26</v>
      </c>
      <c r="Q4" s="62" t="str">
        <f>$O$3</f>
        <v>2025-26</v>
      </c>
      <c r="R4" s="37" t="str">
        <f>$O$3</f>
        <v>2025-26</v>
      </c>
      <c r="S4" s="37"/>
      <c r="T4" s="37"/>
      <c r="U4" s="37"/>
      <c r="V4" s="37"/>
      <c r="W4" s="37"/>
      <c r="X4" s="37"/>
      <c r="Y4" s="37"/>
      <c r="Z4" s="37"/>
      <c r="AA4" s="37"/>
      <c r="AB4" s="37"/>
      <c r="AC4" s="37"/>
      <c r="AD4" s="37"/>
      <c r="AE4" s="37"/>
    </row>
    <row r="5" spans="1:31" s="5" customFormat="1" x14ac:dyDescent="0.25">
      <c r="B5" s="23" t="s">
        <v>1</v>
      </c>
      <c r="C5" s="23" t="s">
        <v>10</v>
      </c>
      <c r="D5" s="23" t="s">
        <v>22</v>
      </c>
      <c r="E5" s="23" t="s">
        <v>11</v>
      </c>
      <c r="F5" s="12" t="s">
        <v>24</v>
      </c>
      <c r="G5" s="23" t="s">
        <v>32</v>
      </c>
      <c r="H5" s="146" t="s">
        <v>46</v>
      </c>
      <c r="I5" s="146" t="s">
        <v>47</v>
      </c>
      <c r="J5" s="146" t="s">
        <v>21</v>
      </c>
      <c r="K5" s="133" t="s">
        <v>23</v>
      </c>
      <c r="L5" s="133"/>
      <c r="M5" s="133" t="s">
        <v>20</v>
      </c>
      <c r="N5" s="133"/>
      <c r="O5" s="146" t="s">
        <v>46</v>
      </c>
      <c r="P5" s="146" t="s">
        <v>47</v>
      </c>
      <c r="Q5" s="146" t="s">
        <v>21</v>
      </c>
      <c r="R5" s="133" t="s">
        <v>23</v>
      </c>
      <c r="S5" s="133"/>
      <c r="T5" s="133"/>
      <c r="U5" s="133"/>
      <c r="V5" s="133"/>
      <c r="W5" s="133"/>
      <c r="X5" s="133"/>
      <c r="Y5" s="133"/>
      <c r="Z5" s="133"/>
      <c r="AA5" s="133"/>
      <c r="AB5" s="133"/>
      <c r="AC5" s="133"/>
      <c r="AD5" s="133"/>
      <c r="AE5" s="133"/>
    </row>
    <row r="6" spans="1:31" s="29" customFormat="1" x14ac:dyDescent="0.25">
      <c r="B6" s="30"/>
      <c r="C6" s="30"/>
      <c r="D6" s="30"/>
      <c r="E6" s="30"/>
      <c r="F6" s="31" t="s">
        <v>53</v>
      </c>
      <c r="G6" s="30"/>
      <c r="H6" s="147" t="s">
        <v>68</v>
      </c>
      <c r="I6" s="147" t="s">
        <v>44</v>
      </c>
      <c r="J6" s="147" t="s">
        <v>45</v>
      </c>
      <c r="K6" s="148" t="s">
        <v>27</v>
      </c>
      <c r="L6" s="148"/>
      <c r="M6" s="148" t="s">
        <v>27</v>
      </c>
      <c r="N6" s="148"/>
      <c r="O6" s="147" t="s">
        <v>68</v>
      </c>
      <c r="P6" s="147" t="s">
        <v>44</v>
      </c>
      <c r="Q6" s="147" t="s">
        <v>45</v>
      </c>
      <c r="R6" s="148" t="s">
        <v>27</v>
      </c>
      <c r="S6" s="148"/>
      <c r="T6" s="148"/>
      <c r="U6" s="148"/>
      <c r="V6" s="148"/>
      <c r="W6" s="148"/>
      <c r="X6" s="148"/>
      <c r="Y6" s="148"/>
      <c r="Z6" s="148"/>
      <c r="AA6" s="148"/>
      <c r="AB6" s="148"/>
      <c r="AC6" s="148"/>
      <c r="AD6" s="148"/>
      <c r="AE6" s="148"/>
    </row>
    <row r="7" spans="1:31" x14ac:dyDescent="0.25">
      <c r="F7" s="13"/>
      <c r="G7" s="5"/>
      <c r="K7" s="142"/>
      <c r="L7" s="35"/>
      <c r="M7" s="142"/>
      <c r="N7" s="35"/>
      <c r="R7" s="142"/>
      <c r="S7" s="142"/>
      <c r="T7" s="142"/>
      <c r="U7" s="142"/>
      <c r="V7" s="142"/>
      <c r="W7" s="142"/>
      <c r="X7" s="142"/>
      <c r="Y7" s="142"/>
      <c r="Z7" s="142"/>
      <c r="AA7" s="142"/>
      <c r="AB7" s="142"/>
      <c r="AC7" s="142"/>
      <c r="AD7" s="142"/>
      <c r="AE7" s="142"/>
    </row>
    <row r="8" spans="1:31" x14ac:dyDescent="0.25">
      <c r="B8" s="5" t="s">
        <v>2</v>
      </c>
      <c r="C8" s="5" t="s">
        <v>6</v>
      </c>
      <c r="D8" s="5" t="s">
        <v>127</v>
      </c>
      <c r="F8" s="131"/>
      <c r="K8" s="142"/>
      <c r="L8" s="35"/>
      <c r="M8" s="142"/>
      <c r="N8" s="35"/>
      <c r="R8" s="142"/>
      <c r="S8" s="142"/>
      <c r="T8" s="142"/>
      <c r="U8" s="142"/>
      <c r="V8" s="142"/>
      <c r="W8" s="142"/>
      <c r="X8" s="142"/>
      <c r="Y8" s="142"/>
      <c r="Z8" s="142"/>
      <c r="AA8" s="142"/>
      <c r="AB8" s="142"/>
      <c r="AC8" s="142"/>
      <c r="AD8" s="142"/>
      <c r="AE8" s="142"/>
    </row>
    <row r="9" spans="1:31" x14ac:dyDescent="0.25">
      <c r="B9" s="55" t="str">
        <f t="shared" ref="B9:D9" si="1">B8</f>
        <v>Ausgrid</v>
      </c>
      <c r="C9" s="55" t="str">
        <f t="shared" si="1"/>
        <v>Residential</v>
      </c>
      <c r="D9" s="55" t="str">
        <f t="shared" si="1"/>
        <v>without CL</v>
      </c>
      <c r="E9" s="3" t="s">
        <v>19</v>
      </c>
      <c r="F9" s="131">
        <f t="array" ref="F9">IFERROR(INDEX(Usage!$B$5:$P$18,MATCH($B9,Usage!$B$5:$B$18,0),MATCH($C9&amp;$D9&amp;$E9&amp;"Total",Usage!$B$5:$S$5&amp;Usage!$B$6:$S$6&amp;Usage!$B$7:$S$7&amp;Usage!$B$13:$S$13,0)),0)</f>
        <v>3900</v>
      </c>
      <c r="G9" s="3" t="s">
        <v>270</v>
      </c>
      <c r="H9" s="128" cm="1">
        <f t="array" ref="H9">IFERROR(INDEX('Detail inputs'!$B$3:$K$195,MATCH($B9&amp;$G9&amp;H$5&amp;$C9,'Detail inputs'!$B$3:$B$195&amp;'Detail inputs'!$G$3:$G$195&amp;'Detail inputs'!$H$3:$H$195&amp;'Detail inputs'!$D$3:$D$195,0),MATCH(H$4,'Detail inputs'!$B$3:$K$3,0)),0)</f>
        <v>142</v>
      </c>
      <c r="I9" s="128"/>
      <c r="J9" s="128">
        <f>IF(AND(H9="",I9=""),"",H9+I9*$F9/1000)</f>
        <v>142</v>
      </c>
      <c r="K9" s="143">
        <f>IFERROR(J9/J13,"")</f>
        <v>0.67423199278286883</v>
      </c>
      <c r="L9" s="129"/>
      <c r="M9" s="143">
        <f>IF(OR(J9=0,Q9=""),"",Q9/J9-1)</f>
        <v>0.31050277872331322</v>
      </c>
      <c r="N9" s="129"/>
      <c r="O9" s="128" cm="1">
        <f t="array" ref="O9">IFERROR(INDEX('Detail inputs'!$B$3:$K$195,MATCH($B9&amp;$G9&amp;O$5&amp;$C9,'Detail inputs'!$B$3:$B$195&amp;'Detail inputs'!$G$3:$G$195&amp;'Detail inputs'!$H$3:$H$195&amp;'Detail inputs'!$D$3:$D$195,0),MATCH(O$4,'Detail inputs'!$B$3:$K$3,0)),0)</f>
        <v>186.09139457871049</v>
      </c>
      <c r="P9" s="128"/>
      <c r="Q9" s="128">
        <f>IF(AND(O9="",P9=""),"",O9+P9*$F9/1000)</f>
        <v>186.09139457871049</v>
      </c>
      <c r="R9" s="143">
        <f>IFERROR(Q9/Q13,"")</f>
        <v>0.69219903820062345</v>
      </c>
      <c r="S9" s="143"/>
      <c r="T9" s="143"/>
      <c r="U9" s="143"/>
      <c r="V9" s="143"/>
      <c r="W9" s="143"/>
      <c r="X9" s="143"/>
      <c r="Y9" s="143"/>
      <c r="Z9" s="143"/>
      <c r="AA9" s="143"/>
      <c r="AB9" s="143"/>
      <c r="AC9" s="143"/>
      <c r="AD9" s="143"/>
      <c r="AE9" s="143"/>
    </row>
    <row r="10" spans="1:31" x14ac:dyDescent="0.25">
      <c r="B10" s="55" t="str">
        <f t="shared" ref="B10:D10" si="2">B9</f>
        <v>Ausgrid</v>
      </c>
      <c r="C10" s="55" t="str">
        <f t="shared" si="2"/>
        <v>Residential</v>
      </c>
      <c r="D10" s="55" t="str">
        <f t="shared" si="2"/>
        <v>without CL</v>
      </c>
      <c r="E10" s="3" t="s">
        <v>19</v>
      </c>
      <c r="F10" s="131">
        <f t="array" ref="F10">IFERROR(INDEX(Usage!$B$5:$P$18,MATCH($B10,Usage!$B$5:$B$18,0),MATCH($C10&amp;$D10&amp;$E10&amp;"Total",Usage!$B$5:$S$5&amp;Usage!$B$6:$S$6&amp;Usage!$B$7:$S$7&amp;Usage!$B$13:$S$13,0)),0)</f>
        <v>3900</v>
      </c>
      <c r="G10" s="120" t="s">
        <v>277</v>
      </c>
      <c r="H10" s="128" cm="1">
        <f t="array" ref="H10">IFERROR(INDEX('Detail inputs'!$B$3:$K$195,MATCH($B10&amp;$G10&amp;H$5&amp;$C10,'Detail inputs'!$B$3:$B$195&amp;'Detail inputs'!$G$3:$G$195&amp;'Detail inputs'!$H$3:$H$195&amp;'Detail inputs'!$D$3:$D$195,0),MATCH(H$4,'Detail inputs'!$B$3:$K$3,0)),0)</f>
        <v>37.950000000000003</v>
      </c>
      <c r="I10" s="128"/>
      <c r="J10" s="128">
        <f>IF(AND(H10="",I10=""),"",H10+I10*$F10/1000)</f>
        <v>37.950000000000003</v>
      </c>
      <c r="K10" s="143">
        <f>IFERROR(J10/J13,"")</f>
        <v>0.18019087412753435</v>
      </c>
      <c r="L10" s="129"/>
      <c r="M10" s="143">
        <f>IF(OR(J10=0,Q10=""),"",Q10/J10-1)</f>
        <v>0.20098525537320788</v>
      </c>
      <c r="N10" s="129"/>
      <c r="O10" s="128" cm="1">
        <f t="array" ref="O10">IFERROR(INDEX('Detail inputs'!$B$3:$K$195,MATCH($B10&amp;$G10&amp;O$5,'Detail inputs'!$B$3:$B$195&amp;'Detail inputs'!$G$3:$G$195&amp;'Detail inputs'!$H$3:$H$195,0),MATCH(O$4,'Detail inputs'!$B$3:$K$3,0)),0)</f>
        <v>45.577390441413243</v>
      </c>
      <c r="P10" s="128"/>
      <c r="Q10" s="128">
        <f>IF(AND(O10="",P10=""),"",O10+P10*$F10/1000)</f>
        <v>45.577390441413243</v>
      </c>
      <c r="R10" s="143">
        <f>IFERROR(Q10/Q13,"")</f>
        <v>0.16953296469545512</v>
      </c>
      <c r="S10" s="143"/>
      <c r="T10" s="143"/>
      <c r="U10" s="143"/>
      <c r="V10" s="143"/>
      <c r="W10" s="143"/>
      <c r="X10" s="143"/>
      <c r="Y10" s="143"/>
      <c r="Z10" s="143"/>
      <c r="AA10" s="143"/>
      <c r="AB10" s="143"/>
      <c r="AC10" s="143"/>
      <c r="AD10" s="143"/>
      <c r="AE10" s="143"/>
    </row>
    <row r="11" spans="1:31" x14ac:dyDescent="0.25">
      <c r="B11" s="55" t="str">
        <f t="shared" ref="B11:D12" si="3">B10</f>
        <v>Ausgrid</v>
      </c>
      <c r="C11" s="55" t="str">
        <f t="shared" si="3"/>
        <v>Residential</v>
      </c>
      <c r="D11" s="55" t="str">
        <f t="shared" si="3"/>
        <v>without CL</v>
      </c>
      <c r="E11" s="3" t="s">
        <v>19</v>
      </c>
      <c r="F11" s="131">
        <f t="array" ref="F11">IFERROR(INDEX(Usage!$B$5:$P$18,MATCH($B11,Usage!$B$5:$B$18,0),MATCH($C11&amp;$D11&amp;$E11&amp;"Total",Usage!$B$5:$S$5&amp;Usage!$B$6:$S$6&amp;Usage!$B$7:$S$7&amp;Usage!$B$13:$S$13,0)),0)</f>
        <v>3900</v>
      </c>
      <c r="G11" s="3" t="s">
        <v>167</v>
      </c>
      <c r="H11" s="128" cm="1">
        <f t="array" ref="H11">IFERROR(INDEX('Detail inputs'!$B$3:$K$195,MATCH($B11&amp;$G11&amp;H$5,'Detail inputs'!$B$3:$B$195&amp;'Detail inputs'!$G$3:$G$195&amp;'Detail inputs'!$H$3:$H$195,0),MATCH(H$4,'Detail inputs'!$B$3:$K$3,0)),0)</f>
        <v>30</v>
      </c>
      <c r="I11" s="128"/>
      <c r="J11" s="128">
        <f>IF(AND(H11="",I11=""),"",H11+I11*$F11/1000)</f>
        <v>30</v>
      </c>
      <c r="K11" s="143">
        <f>IFERROR(J11/J13,"")</f>
        <v>0.14244337875694413</v>
      </c>
      <c r="L11" s="129"/>
      <c r="M11" s="143">
        <f>IF(OR(J11=0,Q11=""),"",Q11/J11-1)</f>
        <v>0.18419177243490248</v>
      </c>
      <c r="N11" s="129"/>
      <c r="O11" s="128" cm="1">
        <f t="array" ref="O11">IFERROR(INDEX('Detail inputs'!$B$3:$K$195,MATCH($B11&amp;$G11&amp;O$5,'Detail inputs'!$B$3:$B$195&amp;'Detail inputs'!$G$3:$G$195&amp;'Detail inputs'!$H$3:$H$195,0),MATCH(O$4,'Detail inputs'!$B$3:$K$3,0)),0)</f>
        <v>35.525753173047072</v>
      </c>
      <c r="P11" s="128"/>
      <c r="Q11" s="128">
        <f>IF(AND(O11="",P11=""),"",O11+P11*$F11/1000)</f>
        <v>35.525753173047072</v>
      </c>
      <c r="R11" s="143">
        <f>IFERROR(Q11/Q13,"")</f>
        <v>0.13214416622223116</v>
      </c>
      <c r="S11" s="143"/>
      <c r="T11" s="143"/>
      <c r="U11" s="143"/>
      <c r="V11" s="143"/>
      <c r="W11" s="143"/>
      <c r="X11" s="143"/>
      <c r="Y11" s="143"/>
      <c r="Z11" s="143"/>
      <c r="AA11" s="143"/>
      <c r="AB11" s="143"/>
      <c r="AC11" s="143"/>
      <c r="AD11" s="143"/>
      <c r="AE11" s="143"/>
    </row>
    <row r="12" spans="1:31" x14ac:dyDescent="0.25">
      <c r="B12" s="55" t="str">
        <f t="shared" si="3"/>
        <v>Ausgrid</v>
      </c>
      <c r="C12" s="55" t="str">
        <f t="shared" si="3"/>
        <v>Residential</v>
      </c>
      <c r="D12" s="55" t="str">
        <f t="shared" si="3"/>
        <v>without CL</v>
      </c>
      <c r="E12" s="3" t="s">
        <v>19</v>
      </c>
      <c r="F12" s="131">
        <f>+F11</f>
        <v>3900</v>
      </c>
      <c r="G12" s="3" t="s">
        <v>207</v>
      </c>
      <c r="H12" s="128" cm="1">
        <f t="array" ref="H12">IFERROR(INDEX('Detail inputs'!$B$3:$K$195,MATCH($B12&amp;$G12&amp;H$5,'Detail inputs'!$B$3:$B$195&amp;'Detail inputs'!$G$3:$G$195&amp;'Detail inputs'!$H$3:$H$195,0),MATCH(H$4,'Detail inputs'!$B$3:$K$3,0)),0)</f>
        <v>0.66</v>
      </c>
      <c r="I12" s="128"/>
      <c r="J12" s="128">
        <f>IF(AND(H12="",I12=""),"",H12+I12*$F12/1000)</f>
        <v>0.66</v>
      </c>
      <c r="K12" s="143">
        <f>IFERROR(J12/J13,"")</f>
        <v>3.1337543326527711E-3</v>
      </c>
      <c r="L12" s="129"/>
      <c r="M12" s="143">
        <f>IF(OR(J12=0,Q12=""),0,Q12/J12-1)</f>
        <v>1.4944485574823805</v>
      </c>
      <c r="N12" s="129"/>
      <c r="O12" s="128" cm="1">
        <f t="array" ref="O12">IFERROR(INDEX('Detail inputs'!$B$3:$K$195,MATCH($B12&amp;$G12&amp;O$5&amp;$C12,'Detail inputs'!$B$3:$B$195&amp;'Detail inputs'!$G$3:$G$195&amp;'Detail inputs'!$H$3:$H$195&amp;'Detail inputs'!$D$3:$D$195,0),MATCH(O$4,'Detail inputs'!$B$3:$K$3,0)),0)</f>
        <v>1.6463360479383711</v>
      </c>
      <c r="P12" s="128"/>
      <c r="Q12" s="128">
        <f>IF(AND(O12="",P12=""),"",O12+P12*$F12/1000)</f>
        <v>1.6463360479383711</v>
      </c>
      <c r="R12" s="143">
        <f>IFERROR(Q12/Q13,"")</f>
        <v>6.1238308816904813E-3</v>
      </c>
      <c r="S12" s="143"/>
      <c r="T12" s="143"/>
      <c r="U12" s="143"/>
      <c r="V12" s="143"/>
      <c r="W12" s="143"/>
      <c r="X12" s="143"/>
      <c r="Y12" s="143"/>
      <c r="Z12" s="143"/>
      <c r="AA12" s="143"/>
      <c r="AB12" s="143"/>
      <c r="AC12" s="143"/>
      <c r="AD12" s="143"/>
      <c r="AE12" s="143"/>
    </row>
    <row r="13" spans="1:31" s="19" customFormat="1" x14ac:dyDescent="0.25">
      <c r="A13" s="3"/>
      <c r="B13" s="55" t="str">
        <f t="shared" ref="B13:C13" si="4">B12</f>
        <v>Ausgrid</v>
      </c>
      <c r="C13" s="55" t="str">
        <f t="shared" si="4"/>
        <v>Residential</v>
      </c>
      <c r="D13" s="55" t="str">
        <f>+D11</f>
        <v>without CL</v>
      </c>
      <c r="E13" s="3" t="s">
        <v>19</v>
      </c>
      <c r="F13" s="131">
        <f t="array" ref="F13">IFERROR(INDEX(Usage!$B$5:$P$18,MATCH($B13,Usage!$B$5:$B$18,0),MATCH($C13&amp;$D13&amp;$E13&amp;"Total",Usage!$B$5:$S$5&amp;Usage!$B$6:$S$6&amp;Usage!$B$7:$S$7&amp;Usage!$B$13:$S$13,0)),0)</f>
        <v>3900</v>
      </c>
      <c r="G13" s="5" t="s">
        <v>55</v>
      </c>
      <c r="H13" s="130">
        <f>SUM(H9:H12)</f>
        <v>210.60999999999999</v>
      </c>
      <c r="I13" s="130">
        <f>SUM(I9:I12)</f>
        <v>0</v>
      </c>
      <c r="J13" s="130">
        <f>IF(AND(H13="",I13=""),"",H13+I13*$F13/1000)</f>
        <v>210.60999999999999</v>
      </c>
      <c r="K13" s="145"/>
      <c r="L13" s="130"/>
      <c r="M13" s="145">
        <f>IF(OR(J13=0,Q13=""),"",Q13/J13-1)</f>
        <v>0.27648674916247629</v>
      </c>
      <c r="N13" s="130"/>
      <c r="O13" s="130">
        <f>SUM(O9:O12)</f>
        <v>268.84087424110913</v>
      </c>
      <c r="P13" s="130">
        <f>SUM(P9:P12)</f>
        <v>0</v>
      </c>
      <c r="Q13" s="130">
        <f>IF(AND(O13="",P13=""),"",O13+P13*$F13/1000)</f>
        <v>268.84087424110913</v>
      </c>
      <c r="R13" s="144"/>
      <c r="S13" s="144"/>
      <c r="T13" s="144"/>
      <c r="U13" s="144"/>
      <c r="V13" s="144"/>
      <c r="W13" s="144"/>
      <c r="X13" s="144"/>
      <c r="Y13" s="144"/>
      <c r="Z13" s="144"/>
      <c r="AA13" s="144"/>
      <c r="AB13" s="144"/>
      <c r="AC13" s="144"/>
      <c r="AD13" s="144"/>
      <c r="AE13" s="144"/>
    </row>
    <row r="14" spans="1:31" s="19" customFormat="1" x14ac:dyDescent="0.25">
      <c r="A14" s="3"/>
      <c r="B14" s="55" t="str">
        <f t="shared" ref="B14:D14" si="5">B13</f>
        <v>Ausgrid</v>
      </c>
      <c r="C14" s="55" t="str">
        <f t="shared" si="5"/>
        <v>Residential</v>
      </c>
      <c r="D14" s="55" t="str">
        <f t="shared" si="5"/>
        <v>without CL</v>
      </c>
      <c r="E14" s="3" t="s">
        <v>19</v>
      </c>
      <c r="F14" s="131">
        <f t="array" ref="F14">IFERROR(INDEX(Usage!$B$5:$P$18,MATCH($B14,Usage!$B$5:$B$18,0),MATCH($C14&amp;$D14&amp;$E14&amp;"Total",Usage!$B$5:$S$5&amp;Usage!$B$6:$S$6&amp;Usage!$B$7:$S$7&amp;Usage!$B$13:$S$13,0)),0)</f>
        <v>3900</v>
      </c>
      <c r="G14" s="3" t="s">
        <v>170</v>
      </c>
      <c r="H14" s="128"/>
      <c r="I14" s="128"/>
      <c r="J14" s="128">
        <f>J13*CPIPY</f>
        <v>14.998801760000035</v>
      </c>
      <c r="K14" s="144"/>
      <c r="L14" s="128"/>
      <c r="M14" s="144">
        <f>IF(OR(J14=0,Q14=""),"",Q14/J14-1)</f>
        <v>1.7518532021673305E-2</v>
      </c>
      <c r="N14" s="128"/>
      <c r="O14" s="128"/>
      <c r="P14" s="128"/>
      <c r="Q14" s="128">
        <f>Q13*CPI</f>
        <v>15.261558748919324</v>
      </c>
      <c r="R14" s="144"/>
      <c r="S14" s="144"/>
      <c r="T14" s="144"/>
      <c r="U14" s="144"/>
      <c r="V14" s="144"/>
      <c r="W14" s="144"/>
      <c r="X14" s="144"/>
      <c r="Y14" s="144"/>
      <c r="Z14" s="144"/>
      <c r="AA14" s="144"/>
      <c r="AB14" s="144"/>
      <c r="AC14" s="144"/>
      <c r="AD14" s="144"/>
      <c r="AE14" s="144"/>
    </row>
    <row r="15" spans="1:31" s="19" customFormat="1" x14ac:dyDescent="0.25">
      <c r="A15" s="3"/>
      <c r="B15" s="55" t="str">
        <f t="shared" ref="B15:D15" si="6">B14</f>
        <v>Ausgrid</v>
      </c>
      <c r="C15" s="55" t="str">
        <f t="shared" si="6"/>
        <v>Residential</v>
      </c>
      <c r="D15" s="55" t="str">
        <f t="shared" si="6"/>
        <v>without CL</v>
      </c>
      <c r="E15" s="3"/>
      <c r="F15" s="131"/>
      <c r="G15" s="3" t="s">
        <v>38</v>
      </c>
      <c r="H15" s="128"/>
      <c r="I15" s="128"/>
      <c r="J15" s="128">
        <f>SUM(J13,J14)*GST</f>
        <v>22.560880176000001</v>
      </c>
      <c r="K15" s="144"/>
      <c r="L15" s="128"/>
      <c r="M15" s="143">
        <f>IF(OR(J15=0,Q15=""),0,Q15/J15-1)</f>
        <v>0.2592701648770479</v>
      </c>
      <c r="N15" s="128"/>
      <c r="O15" s="128"/>
      <c r="P15" s="128"/>
      <c r="Q15" s="128">
        <f>SUM(Q13,Q14)*GST</f>
        <v>28.410243299002843</v>
      </c>
      <c r="R15" s="145"/>
      <c r="S15" s="145"/>
      <c r="T15" s="145"/>
      <c r="U15" s="145"/>
      <c r="V15" s="145"/>
      <c r="W15" s="145"/>
      <c r="X15" s="145"/>
      <c r="Y15" s="145"/>
      <c r="Z15" s="145"/>
      <c r="AA15" s="145"/>
      <c r="AB15" s="145"/>
      <c r="AC15" s="145"/>
      <c r="AD15" s="145"/>
      <c r="AE15" s="145"/>
    </row>
    <row r="16" spans="1:31" s="19" customFormat="1" x14ac:dyDescent="0.25">
      <c r="A16" s="3"/>
      <c r="B16" s="55" t="str">
        <f>B15</f>
        <v>Ausgrid</v>
      </c>
      <c r="C16" s="55" t="str">
        <f>C15</f>
        <v>Residential</v>
      </c>
      <c r="D16" s="55" t="str">
        <f>D15</f>
        <v>without CL</v>
      </c>
      <c r="E16" s="3"/>
      <c r="F16" s="131"/>
      <c r="G16" s="5" t="s">
        <v>80</v>
      </c>
      <c r="H16" s="130"/>
      <c r="I16" s="130"/>
      <c r="J16" s="130">
        <f>SUM(J13:J15)</f>
        <v>248.16968193600002</v>
      </c>
      <c r="K16" s="145"/>
      <c r="L16" s="130"/>
      <c r="M16" s="145">
        <f>IF(OR(J16=0,Q16=""),"",Q16/J16-1)</f>
        <v>0.2592701648770479</v>
      </c>
      <c r="N16" s="130"/>
      <c r="O16" s="130"/>
      <c r="P16" s="130"/>
      <c r="Q16" s="130">
        <f>SUM(Q13:Q15)</f>
        <v>312.51267628903128</v>
      </c>
      <c r="R16" s="145"/>
      <c r="S16" s="145"/>
      <c r="T16" s="145"/>
      <c r="U16" s="145"/>
      <c r="V16" s="145"/>
      <c r="W16" s="145"/>
      <c r="X16" s="145"/>
      <c r="Y16" s="145"/>
      <c r="Z16" s="145"/>
      <c r="AA16" s="145"/>
      <c r="AB16" s="145"/>
      <c r="AC16" s="145"/>
      <c r="AD16" s="145"/>
      <c r="AE16" s="145"/>
    </row>
    <row r="17" spans="1:31" s="19" customFormat="1" x14ac:dyDescent="0.25">
      <c r="A17" s="3"/>
      <c r="B17" s="55" t="str">
        <f t="shared" ref="B17:D17" si="7">B16</f>
        <v>Ausgrid</v>
      </c>
      <c r="C17" s="55" t="str">
        <f t="shared" si="7"/>
        <v>Residential</v>
      </c>
      <c r="D17" s="55" t="str">
        <f t="shared" si="7"/>
        <v>without CL</v>
      </c>
      <c r="E17" s="3"/>
      <c r="F17" s="131"/>
      <c r="G17" s="3"/>
      <c r="H17" s="128"/>
      <c r="I17" s="128"/>
      <c r="J17" s="128"/>
      <c r="K17" s="143"/>
      <c r="L17" s="128"/>
      <c r="M17" s="143"/>
      <c r="N17" s="128"/>
      <c r="O17" s="128"/>
      <c r="P17" s="128"/>
      <c r="Q17" s="128"/>
      <c r="R17" s="143"/>
      <c r="S17" s="143"/>
      <c r="T17" s="143"/>
      <c r="U17" s="143"/>
      <c r="V17" s="143"/>
      <c r="W17" s="143"/>
      <c r="X17" s="143"/>
      <c r="Y17" s="143"/>
      <c r="Z17" s="143"/>
      <c r="AA17" s="143"/>
      <c r="AB17" s="143"/>
      <c r="AC17" s="143"/>
      <c r="AD17" s="143"/>
      <c r="AE17" s="143"/>
    </row>
    <row r="18" spans="1:31" s="19" customFormat="1" x14ac:dyDescent="0.25">
      <c r="A18" s="3"/>
      <c r="B18" s="281" t="s">
        <v>2</v>
      </c>
      <c r="C18" s="59" t="s">
        <v>6</v>
      </c>
      <c r="D18" s="59" t="s">
        <v>128</v>
      </c>
      <c r="E18" s="3"/>
      <c r="F18" s="131"/>
      <c r="G18" s="3"/>
      <c r="H18" s="128"/>
      <c r="I18" s="128"/>
      <c r="J18" s="128"/>
      <c r="K18" s="143"/>
      <c r="L18" s="128"/>
      <c r="M18" s="143"/>
      <c r="N18" s="128"/>
      <c r="O18" s="128"/>
      <c r="P18" s="128"/>
      <c r="Q18" s="128"/>
      <c r="R18" s="143"/>
      <c r="S18" s="143"/>
      <c r="T18" s="143"/>
      <c r="U18" s="143"/>
      <c r="V18" s="143"/>
      <c r="W18" s="143"/>
      <c r="X18" s="143"/>
      <c r="Y18" s="143"/>
      <c r="Z18" s="143"/>
      <c r="AA18" s="143"/>
      <c r="AB18" s="143"/>
      <c r="AC18" s="143"/>
      <c r="AD18" s="143"/>
      <c r="AE18" s="143"/>
    </row>
    <row r="19" spans="1:31" x14ac:dyDescent="0.25">
      <c r="B19" s="55" t="str">
        <f t="shared" ref="B19:D19" si="8">B18</f>
        <v>Ausgrid</v>
      </c>
      <c r="C19" s="55" t="str">
        <f>C18</f>
        <v>Residential</v>
      </c>
      <c r="D19" s="55" t="str">
        <f t="shared" si="8"/>
        <v>with CL</v>
      </c>
      <c r="E19" s="3" t="s">
        <v>19</v>
      </c>
      <c r="F19" s="131">
        <f t="array" ref="F19">IFERROR(INDEX(Usage!$B$5:$P$18,MATCH($B19,Usage!$B$5:$B$18,0),MATCH($C19&amp;$D19&amp;$E19&amp;"Total",Usage!$B$5:$S$5&amp;Usage!$B$6:$S$6&amp;Usage!$B$7:$S$7&amp;Usage!$B$13:$S$13,0)),0)</f>
        <v>4800</v>
      </c>
      <c r="G19" s="3" t="s">
        <v>270</v>
      </c>
      <c r="H19" s="128" cm="1">
        <f t="array" ref="H19">IFERROR(INDEX('Detail inputs'!$B$3:$K$195,MATCH($B19&amp;$G19&amp;H$5&amp;$C19,'Detail inputs'!$B$3:$B$195&amp;'Detail inputs'!$G$3:$G$195&amp;'Detail inputs'!$H$3:$H$195&amp;'Detail inputs'!$D$3:$D$195,0),MATCH(H$4,'Detail inputs'!$B$3:$K$3,0)),0)</f>
        <v>142</v>
      </c>
      <c r="I19" s="128"/>
      <c r="J19" s="128">
        <f>IF(AND(H19="",I19=""),"",H19+I19*$F19/1000)</f>
        <v>142</v>
      </c>
      <c r="K19" s="143">
        <f>IFERROR(J19/J23,"")</f>
        <v>0.67423199278286883</v>
      </c>
      <c r="L19" s="129"/>
      <c r="M19" s="143">
        <f>IF(OR(J19=0,Q19=""),"",Q19/J19-1)</f>
        <v>0.31050277872331322</v>
      </c>
      <c r="N19" s="129"/>
      <c r="O19" s="128" cm="1">
        <f t="array" ref="O19">IFERROR(INDEX('Detail inputs'!$B$3:$K$195,MATCH($B19&amp;$G19&amp;O$5&amp;$C19,'Detail inputs'!$B$3:$B$195&amp;'Detail inputs'!$G$3:$G$195&amp;'Detail inputs'!$H$3:$H$195&amp;'Detail inputs'!$D$3:$D$195,0),MATCH(O$4,'Detail inputs'!$B$3:$K$3,0)),0)</f>
        <v>186.09139457871049</v>
      </c>
      <c r="P19" s="128"/>
      <c r="Q19" s="128">
        <f>IF(AND(O19="",P19=""),"",O19+P19*$F19/1000)</f>
        <v>186.09139457871049</v>
      </c>
      <c r="R19" s="143">
        <f>IFERROR(Q19/Q23,"")</f>
        <v>0.69219903820062345</v>
      </c>
      <c r="S19" s="143"/>
      <c r="T19" s="143"/>
      <c r="U19" s="143"/>
      <c r="V19" s="143"/>
      <c r="W19" s="143"/>
      <c r="X19" s="143"/>
      <c r="Y19" s="143"/>
      <c r="Z19" s="143"/>
      <c r="AA19" s="143"/>
      <c r="AB19" s="143"/>
      <c r="AC19" s="143"/>
      <c r="AD19" s="143"/>
      <c r="AE19" s="143"/>
    </row>
    <row r="20" spans="1:31" x14ac:dyDescent="0.25">
      <c r="B20" s="55" t="str">
        <f t="shared" ref="B20:D20" si="9">B19</f>
        <v>Ausgrid</v>
      </c>
      <c r="C20" s="55" t="str">
        <f t="shared" si="9"/>
        <v>Residential</v>
      </c>
      <c r="D20" s="55" t="str">
        <f t="shared" si="9"/>
        <v>with CL</v>
      </c>
      <c r="E20" s="3" t="s">
        <v>19</v>
      </c>
      <c r="F20" s="131">
        <f t="array" ref="F20">IFERROR(INDEX(Usage!$B$5:$P$18,MATCH($B20,Usage!$B$5:$B$18,0),MATCH($C20&amp;$D20&amp;$E20&amp;"Total",Usage!$B$5:$S$5&amp;Usage!$B$6:$S$6&amp;Usage!$B$7:$S$7&amp;Usage!$B$13:$S$13,0)),0)</f>
        <v>4800</v>
      </c>
      <c r="G20" s="120" t="s">
        <v>277</v>
      </c>
      <c r="H20" s="128" cm="1">
        <f t="array" ref="H20">IFERROR(INDEX('Detail inputs'!$B$3:$K$195,MATCH($B20&amp;$G20&amp;H$5&amp;$C20,'Detail inputs'!$B$3:$B$195&amp;'Detail inputs'!$G$3:$G$195&amp;'Detail inputs'!$H$3:$H$195&amp;'Detail inputs'!$D$3:$D$195,0),MATCH(H$4,'Detail inputs'!$B$3:$K$3,0)),0)</f>
        <v>37.950000000000003</v>
      </c>
      <c r="I20" s="128"/>
      <c r="J20" s="128">
        <f>IF(AND(H20="",I20=""),"",H20+I20*$F20/1000)</f>
        <v>37.950000000000003</v>
      </c>
      <c r="K20" s="143">
        <f>IFERROR(J20/J23,"")</f>
        <v>0.18019087412753435</v>
      </c>
      <c r="L20" s="129"/>
      <c r="M20" s="143">
        <f>IF(OR(J20=0,Q20=""),"",Q20/J20-1)</f>
        <v>0.20098525537320788</v>
      </c>
      <c r="N20" s="129"/>
      <c r="O20" s="128" cm="1">
        <f t="array" ref="O20">IFERROR(INDEX('Detail inputs'!$B$3:$K$195,MATCH($B20&amp;$G20&amp;O$5,'Detail inputs'!$B$3:$B$195&amp;'Detail inputs'!$G$3:$G$195&amp;'Detail inputs'!$H$3:$H$195,0),MATCH(O$4,'Detail inputs'!$B$3:$K$3,0)),0)</f>
        <v>45.577390441413243</v>
      </c>
      <c r="P20" s="128"/>
      <c r="Q20" s="128">
        <f>IF(AND(O20="",P20=""),"",O20+P20*$F20/1000)</f>
        <v>45.577390441413243</v>
      </c>
      <c r="R20" s="143">
        <f>IFERROR(Q20/Q23,"")</f>
        <v>0.16953296469545512</v>
      </c>
      <c r="S20" s="143"/>
      <c r="T20" s="143"/>
      <c r="U20" s="143"/>
      <c r="V20" s="143"/>
      <c r="W20" s="143"/>
      <c r="X20" s="143"/>
      <c r="Y20" s="143"/>
      <c r="Z20" s="143"/>
      <c r="AA20" s="143"/>
      <c r="AB20" s="143"/>
      <c r="AC20" s="143"/>
      <c r="AD20" s="143"/>
      <c r="AE20" s="143"/>
    </row>
    <row r="21" spans="1:31" x14ac:dyDescent="0.25">
      <c r="B21" s="55" t="str">
        <f t="shared" ref="B21:D22" si="10">B20</f>
        <v>Ausgrid</v>
      </c>
      <c r="C21" s="55" t="str">
        <f t="shared" si="10"/>
        <v>Residential</v>
      </c>
      <c r="D21" s="55" t="str">
        <f t="shared" si="10"/>
        <v>with CL</v>
      </c>
      <c r="E21" s="3" t="s">
        <v>19</v>
      </c>
      <c r="F21" s="131">
        <f t="array" ref="F21">IFERROR(INDEX(Usage!$B$5:$P$18,MATCH($B21,Usage!$B$5:$B$18,0),MATCH($C21&amp;$D21&amp;$E21&amp;"Total",Usage!$B$5:$S$5&amp;Usage!$B$6:$S$6&amp;Usage!$B$7:$S$7&amp;Usage!$B$13:$S$13,0)),0)</f>
        <v>4800</v>
      </c>
      <c r="G21" s="3" t="s">
        <v>167</v>
      </c>
      <c r="H21" s="128" cm="1">
        <f t="array" ref="H21">IFERROR(INDEX('Detail inputs'!$B$3:$K$195,MATCH($B21&amp;$G21&amp;H$5,'Detail inputs'!$B$3:$B$195&amp;'Detail inputs'!$G$3:$G$195&amp;'Detail inputs'!$H$3:$H$195,0),MATCH(H$4,'Detail inputs'!$B$3:$K$3,0)),0)</f>
        <v>30</v>
      </c>
      <c r="I21" s="128"/>
      <c r="J21" s="128">
        <f>IF(AND(H21="",I21=""),"",H21+I21*$F21/1000)</f>
        <v>30</v>
      </c>
      <c r="K21" s="143">
        <f>IFERROR(J21/J23,"")</f>
        <v>0.14244337875694413</v>
      </c>
      <c r="L21" s="129"/>
      <c r="M21" s="143">
        <f>IF(OR(J21=0,Q21=""),"",Q21/J21-1)</f>
        <v>0.18419177243490248</v>
      </c>
      <c r="N21" s="129"/>
      <c r="O21" s="128" cm="1">
        <f t="array" ref="O21">IFERROR(INDEX('Detail inputs'!$B$3:$K$195,MATCH($B21&amp;$G21&amp;O$5,'Detail inputs'!$B$3:$B$195&amp;'Detail inputs'!$G$3:$G$195&amp;'Detail inputs'!$H$3:$H$195,0),MATCH(O$4,'Detail inputs'!$B$3:$K$3,0)),0)</f>
        <v>35.525753173047072</v>
      </c>
      <c r="P21" s="128"/>
      <c r="Q21" s="128">
        <f>IF(AND(O21="",P21=""),"",O21+P21*$F21/1000)</f>
        <v>35.525753173047072</v>
      </c>
      <c r="R21" s="143">
        <f>IFERROR(Q21/Q23,"")</f>
        <v>0.13214416622223116</v>
      </c>
      <c r="S21" s="143"/>
      <c r="T21" s="143"/>
      <c r="U21" s="143"/>
      <c r="V21" s="143"/>
      <c r="W21" s="143"/>
      <c r="X21" s="143"/>
      <c r="Y21" s="143"/>
      <c r="Z21" s="143"/>
      <c r="AA21" s="143"/>
      <c r="AB21" s="143"/>
      <c r="AC21" s="143"/>
      <c r="AD21" s="143"/>
      <c r="AE21" s="143"/>
    </row>
    <row r="22" spans="1:31" s="19" customFormat="1" x14ac:dyDescent="0.25">
      <c r="B22" s="55" t="str">
        <f t="shared" si="10"/>
        <v>Ausgrid</v>
      </c>
      <c r="C22" s="55" t="str">
        <f t="shared" si="10"/>
        <v>Residential</v>
      </c>
      <c r="D22" s="55" t="str">
        <f t="shared" si="10"/>
        <v>with CL</v>
      </c>
      <c r="E22" s="3" t="s">
        <v>19</v>
      </c>
      <c r="F22" s="131">
        <f>+F21</f>
        <v>4800</v>
      </c>
      <c r="G22" s="3" t="s">
        <v>207</v>
      </c>
      <c r="H22" s="128" cm="1">
        <f t="array" ref="H22">IFERROR(INDEX('Detail inputs'!$B$3:$K$195,MATCH($B22&amp;$G22&amp;H$5,'Detail inputs'!$B$3:$B$195&amp;'Detail inputs'!$G$3:$G$195&amp;'Detail inputs'!$H$3:$H$195,0),MATCH(H$4,'Detail inputs'!$B$3:$K$3,0)),0)</f>
        <v>0.66</v>
      </c>
      <c r="I22" s="128"/>
      <c r="J22" s="128">
        <f>IF(AND(H22="",I22=""),"",H22+I22*$F22/1000)</f>
        <v>0.66</v>
      </c>
      <c r="K22" s="143">
        <f>IFERROR(J22/J23,"")</f>
        <v>3.1337543326527711E-3</v>
      </c>
      <c r="L22" s="129"/>
      <c r="M22" s="143">
        <f>IF(OR(J22=0,Q22=""),0,Q22/J22-1)</f>
        <v>1.4944485574823805</v>
      </c>
      <c r="N22" s="129"/>
      <c r="O22" s="128" cm="1">
        <f t="array" ref="O22">IFERROR(INDEX('Detail inputs'!$B$3:$K$195,MATCH($B22&amp;$G22&amp;O$5&amp;$C22,'Detail inputs'!$B$3:$B$195&amp;'Detail inputs'!$G$3:$G$195&amp;'Detail inputs'!$H$3:$H$195&amp;'Detail inputs'!$D$3:$D$195,0),MATCH(O$4,'Detail inputs'!$B$3:$K$3,0)),0)</f>
        <v>1.6463360479383711</v>
      </c>
      <c r="P22" s="128"/>
      <c r="Q22" s="128">
        <f>IF(AND(O22="",P22=""),"",O22+P22*$F22/1000)</f>
        <v>1.6463360479383711</v>
      </c>
      <c r="R22" s="143">
        <f>IFERROR(Q22/Q23,"")</f>
        <v>6.1238308816904813E-3</v>
      </c>
      <c r="S22" s="143"/>
      <c r="T22" s="143"/>
      <c r="U22" s="143"/>
      <c r="V22" s="143"/>
      <c r="W22" s="143"/>
      <c r="X22" s="143"/>
      <c r="Y22" s="143"/>
      <c r="Z22" s="143"/>
      <c r="AA22" s="143"/>
      <c r="AB22" s="143"/>
      <c r="AC22" s="143"/>
      <c r="AD22" s="143"/>
      <c r="AE22" s="143"/>
    </row>
    <row r="23" spans="1:31" s="19" customFormat="1" x14ac:dyDescent="0.25">
      <c r="A23" s="3"/>
      <c r="B23" s="55" t="str">
        <f t="shared" ref="B23:C23" si="11">B22</f>
        <v>Ausgrid</v>
      </c>
      <c r="C23" s="55" t="str">
        <f t="shared" si="11"/>
        <v>Residential</v>
      </c>
      <c r="D23" s="55" t="str">
        <f>+D21</f>
        <v>with CL</v>
      </c>
      <c r="E23" s="3" t="s">
        <v>19</v>
      </c>
      <c r="F23" s="131">
        <f t="array" ref="F23">IFERROR(INDEX(Usage!$B$5:$P$18,MATCH($B23,Usage!$B$5:$B$18,0),MATCH($C23&amp;$D23&amp;$E23&amp;"Total",Usage!$B$5:$S$5&amp;Usage!$B$6:$S$6&amp;Usage!$B$7:$S$7&amp;Usage!$B$13:$S$13,0)),0)</f>
        <v>4800</v>
      </c>
      <c r="G23" s="5" t="s">
        <v>55</v>
      </c>
      <c r="H23" s="130">
        <f>SUM(H19:H22)</f>
        <v>210.60999999999999</v>
      </c>
      <c r="I23" s="130">
        <f>SUM(I19:I22)</f>
        <v>0</v>
      </c>
      <c r="J23" s="130">
        <f>IF(AND(H23="",I23=""),"",H23+I23*$F23/1000)</f>
        <v>210.60999999999999</v>
      </c>
      <c r="K23" s="145"/>
      <c r="L23" s="130"/>
      <c r="M23" s="145">
        <f>IF(OR(J23=0,Q23=""),"",Q23/J23-1)</f>
        <v>0.27648674916247629</v>
      </c>
      <c r="N23" s="130"/>
      <c r="O23" s="130">
        <f>SUM(O19:O22)</f>
        <v>268.84087424110913</v>
      </c>
      <c r="P23" s="130">
        <f>SUM(P19:P22)</f>
        <v>0</v>
      </c>
      <c r="Q23" s="130">
        <f>IF(AND(O23="",P23=""),"",O23+P23*$F23/1000)</f>
        <v>268.84087424110913</v>
      </c>
      <c r="R23" s="144"/>
      <c r="S23" s="144"/>
      <c r="T23" s="144"/>
      <c r="U23" s="144"/>
      <c r="V23" s="144"/>
      <c r="W23" s="144"/>
      <c r="X23" s="144"/>
      <c r="Y23" s="144"/>
      <c r="Z23" s="144"/>
      <c r="AA23" s="144"/>
      <c r="AB23" s="144"/>
      <c r="AC23" s="144"/>
      <c r="AD23" s="144"/>
      <c r="AE23" s="144"/>
    </row>
    <row r="24" spans="1:31" s="19" customFormat="1" x14ac:dyDescent="0.25">
      <c r="A24" s="3"/>
      <c r="B24" s="55" t="str">
        <f t="shared" ref="B24:D24" si="12">B23</f>
        <v>Ausgrid</v>
      </c>
      <c r="C24" s="55" t="str">
        <f t="shared" si="12"/>
        <v>Residential</v>
      </c>
      <c r="D24" s="55" t="str">
        <f t="shared" si="12"/>
        <v>with CL</v>
      </c>
      <c r="E24" s="3" t="s">
        <v>19</v>
      </c>
      <c r="F24" s="131">
        <f t="array" ref="F24">IFERROR(INDEX(Usage!$B$5:$P$18,MATCH($B24,Usage!$B$5:$B$18,0),MATCH($C24&amp;$D24&amp;$E24&amp;"Total",Usage!$B$5:$S$5&amp;Usage!$B$6:$S$6&amp;Usage!$B$7:$S$7&amp;Usage!$B$13:$S$13,0)),0)</f>
        <v>4800</v>
      </c>
      <c r="G24" s="3" t="s">
        <v>170</v>
      </c>
      <c r="H24" s="128"/>
      <c r="I24" s="128"/>
      <c r="J24" s="128">
        <f>J23*CPIPY</f>
        <v>14.998801760000035</v>
      </c>
      <c r="K24" s="144"/>
      <c r="L24" s="128"/>
      <c r="M24" s="144">
        <f>IF(OR(J24=0,Q24=""),"",Q24/J24-1)</f>
        <v>1.7518532021673305E-2</v>
      </c>
      <c r="N24" s="128"/>
      <c r="O24" s="128"/>
      <c r="P24" s="143"/>
      <c r="Q24" s="128">
        <f>Q23*CPI</f>
        <v>15.261558748919324</v>
      </c>
      <c r="R24" s="144"/>
      <c r="S24" s="144"/>
      <c r="T24" s="144"/>
      <c r="U24" s="144"/>
      <c r="V24" s="144"/>
      <c r="W24" s="144"/>
      <c r="X24" s="144"/>
      <c r="Y24" s="144"/>
      <c r="Z24" s="144"/>
      <c r="AA24" s="144"/>
      <c r="AB24" s="144"/>
      <c r="AC24" s="144"/>
      <c r="AD24" s="144"/>
      <c r="AE24" s="144"/>
    </row>
    <row r="25" spans="1:31" s="19" customFormat="1" x14ac:dyDescent="0.25">
      <c r="A25" s="3"/>
      <c r="B25" s="55" t="str">
        <f t="shared" ref="B25" si="13">B24</f>
        <v>Ausgrid</v>
      </c>
      <c r="C25" s="55" t="str">
        <f t="shared" ref="C25:D25" si="14">C24</f>
        <v>Residential</v>
      </c>
      <c r="D25" s="55" t="str">
        <f t="shared" si="14"/>
        <v>with CL</v>
      </c>
      <c r="E25" s="3"/>
      <c r="F25" s="131"/>
      <c r="G25" s="3" t="s">
        <v>38</v>
      </c>
      <c r="H25" s="128"/>
      <c r="I25" s="128"/>
      <c r="J25" s="128">
        <f>SUM(J23,J24)*GST</f>
        <v>22.560880176000001</v>
      </c>
      <c r="K25" s="144"/>
      <c r="L25" s="128"/>
      <c r="M25" s="143">
        <f>IF(OR(J25=0,Q25=""),0,Q25/J25-1)</f>
        <v>0.2592701648770479</v>
      </c>
      <c r="N25" s="128"/>
      <c r="O25" s="128"/>
      <c r="P25" s="128"/>
      <c r="Q25" s="128">
        <f>SUM(Q23,Q24)*GST</f>
        <v>28.410243299002843</v>
      </c>
      <c r="R25" s="145"/>
      <c r="S25" s="145"/>
      <c r="T25" s="145"/>
      <c r="U25" s="145"/>
      <c r="V25" s="145"/>
      <c r="W25" s="145"/>
      <c r="X25" s="145"/>
      <c r="Y25" s="145"/>
      <c r="Z25" s="145"/>
      <c r="AA25" s="145"/>
      <c r="AB25" s="145"/>
      <c r="AC25" s="145"/>
      <c r="AD25" s="145"/>
      <c r="AE25" s="145"/>
    </row>
    <row r="26" spans="1:31" s="19" customFormat="1" x14ac:dyDescent="0.25">
      <c r="A26" s="3"/>
      <c r="B26" s="55" t="str">
        <f t="shared" ref="B26:D26" si="15">B25</f>
        <v>Ausgrid</v>
      </c>
      <c r="C26" s="55" t="str">
        <f t="shared" si="15"/>
        <v>Residential</v>
      </c>
      <c r="D26" s="55" t="str">
        <f t="shared" si="15"/>
        <v>with CL</v>
      </c>
      <c r="E26" s="3"/>
      <c r="F26" s="131"/>
      <c r="G26" s="5" t="s">
        <v>80</v>
      </c>
      <c r="H26" s="130"/>
      <c r="I26" s="130"/>
      <c r="J26" s="130">
        <f>SUM(J23:J25)</f>
        <v>248.16968193600002</v>
      </c>
      <c r="K26" s="145"/>
      <c r="L26" s="130"/>
      <c r="M26" s="145">
        <f>IF(OR(J26=0,Q26=""),"",Q26/J26-1)</f>
        <v>0.2592701648770479</v>
      </c>
      <c r="N26" s="130"/>
      <c r="O26" s="130"/>
      <c r="P26" s="130"/>
      <c r="Q26" s="130">
        <f>SUM(Q23:Q25)</f>
        <v>312.51267628903128</v>
      </c>
      <c r="R26" s="145"/>
      <c r="S26" s="145"/>
      <c r="T26" s="145"/>
      <c r="U26" s="145"/>
      <c r="V26" s="145"/>
      <c r="W26" s="145"/>
      <c r="X26" s="145"/>
      <c r="Y26" s="145"/>
      <c r="Z26" s="145"/>
      <c r="AA26" s="145"/>
      <c r="AB26" s="145"/>
      <c r="AC26" s="145"/>
      <c r="AD26" s="145"/>
      <c r="AE26" s="145"/>
    </row>
    <row r="27" spans="1:31" s="19" customFormat="1" x14ac:dyDescent="0.25">
      <c r="A27" s="3"/>
      <c r="B27" s="55" t="str">
        <f t="shared" ref="B27:D27" si="16">B26</f>
        <v>Ausgrid</v>
      </c>
      <c r="C27" s="55" t="str">
        <f t="shared" si="16"/>
        <v>Residential</v>
      </c>
      <c r="D27" s="55" t="str">
        <f t="shared" si="16"/>
        <v>with CL</v>
      </c>
      <c r="E27" s="3"/>
      <c r="F27" s="131"/>
      <c r="G27" s="3"/>
      <c r="H27" s="128"/>
      <c r="I27" s="128"/>
      <c r="J27" s="128"/>
      <c r="K27" s="143"/>
      <c r="L27" s="128"/>
      <c r="M27" s="143"/>
      <c r="N27" s="128"/>
      <c r="O27" s="128"/>
      <c r="P27" s="128"/>
      <c r="Q27" s="128"/>
      <c r="R27" s="143"/>
      <c r="S27" s="143"/>
      <c r="T27" s="143"/>
      <c r="U27" s="143"/>
      <c r="V27" s="143"/>
      <c r="W27" s="143"/>
      <c r="X27" s="143"/>
      <c r="Y27" s="143"/>
      <c r="Z27" s="143"/>
      <c r="AA27" s="143"/>
      <c r="AB27" s="143"/>
      <c r="AC27" s="143"/>
      <c r="AD27" s="143"/>
      <c r="AE27" s="143"/>
    </row>
    <row r="28" spans="1:31" x14ac:dyDescent="0.25">
      <c r="B28" s="59" t="s">
        <v>2</v>
      </c>
      <c r="C28" s="59" t="s">
        <v>13</v>
      </c>
      <c r="D28" s="59" t="s">
        <v>127</v>
      </c>
      <c r="F28" s="131"/>
      <c r="H28" s="128"/>
      <c r="I28" s="128"/>
      <c r="J28" s="128"/>
      <c r="K28" s="143"/>
      <c r="L28" s="128"/>
      <c r="M28" s="143"/>
      <c r="N28" s="128"/>
      <c r="O28" s="128"/>
      <c r="P28" s="128"/>
      <c r="Q28" s="128"/>
      <c r="R28" s="143"/>
      <c r="S28" s="143"/>
      <c r="T28" s="143"/>
      <c r="U28" s="143"/>
      <c r="V28" s="143"/>
      <c r="W28" s="143"/>
      <c r="X28" s="143"/>
      <c r="Y28" s="143"/>
      <c r="Z28" s="143"/>
      <c r="AA28" s="143"/>
      <c r="AB28" s="143"/>
      <c r="AC28" s="143"/>
      <c r="AD28" s="143"/>
      <c r="AE28" s="143"/>
    </row>
    <row r="29" spans="1:31" x14ac:dyDescent="0.25">
      <c r="B29" s="55" t="str">
        <f>B28</f>
        <v>Ausgrid</v>
      </c>
      <c r="C29" s="55" t="str">
        <f t="shared" ref="C29:D29" si="17">C28</f>
        <v>Small business</v>
      </c>
      <c r="D29" s="55" t="str">
        <f t="shared" si="17"/>
        <v>without CL</v>
      </c>
      <c r="E29" s="3" t="s">
        <v>19</v>
      </c>
      <c r="F29" s="131">
        <f t="array" ref="F29">IFERROR(INDEX(Usage!$B$5:$P$18,MATCH($B29,Usage!$B$5:$B$18,0),MATCH($C29&amp;$D29&amp;$E29&amp;"Total",Usage!$B$5:$S$5&amp;Usage!$B$6:$S$6&amp;Usage!$B$7:$S$7&amp;Usage!$B$13:$S$13,0)),0)</f>
        <v>10000</v>
      </c>
      <c r="G29" s="3" t="s">
        <v>270</v>
      </c>
      <c r="H29" s="128" cm="1">
        <f t="array" ref="H29">IFERROR(INDEX('Detail inputs'!$B$3:$K$195,MATCH($B29&amp;$G29&amp;H$5&amp;$C29,'Detail inputs'!$B$3:$B$195&amp;'Detail inputs'!$G$3:$G$195&amp;'Detail inputs'!$H$3:$H$195&amp;'Detail inputs'!$D$3:$D$195,0),MATCH(H$4,'Detail inputs'!$B$3:$K$3,0)),0)</f>
        <v>183</v>
      </c>
      <c r="I29" s="128"/>
      <c r="J29" s="128">
        <f>IF(AND(H29="",I29=""),"",H29+I29*$F29/1000)</f>
        <v>183</v>
      </c>
      <c r="K29" s="143">
        <f>IFERROR(J29/J33,"")</f>
        <v>0.66086454082553903</v>
      </c>
      <c r="L29" s="129"/>
      <c r="M29" s="143">
        <f>IF(OR(J29=0,Q29=""),"",Q29/J29-1)</f>
        <v>0.37954202038147322</v>
      </c>
      <c r="N29" s="129"/>
      <c r="O29" s="128" cm="1">
        <f t="array" ref="O29">IFERROR(INDEX('Detail inputs'!$B$3:$K$195,MATCH($B29&amp;$G29&amp;O$5&amp;$C29,'Detail inputs'!$B$3:$B$195&amp;'Detail inputs'!$G$3:$G$195&amp;'Detail inputs'!$H$3:$H$195&amp;'Detail inputs'!$D$3:$D$195,0),MATCH(O$4,'Detail inputs'!$B$3:$K$3,0)),0)</f>
        <v>252.45618972980961</v>
      </c>
      <c r="P29" s="128"/>
      <c r="Q29" s="128">
        <f>IF(AND(O29="",P29=""),"",O29+P29*$F29/1000)</f>
        <v>252.45618972980961</v>
      </c>
      <c r="R29" s="143">
        <f>IFERROR(Q29/Q33,"")</f>
        <v>0.69549755879841735</v>
      </c>
      <c r="S29" s="143"/>
      <c r="T29" s="143"/>
      <c r="U29" s="143"/>
      <c r="V29" s="143"/>
      <c r="W29" s="143"/>
      <c r="X29" s="143"/>
      <c r="Y29" s="143"/>
      <c r="Z29" s="143"/>
      <c r="AA29" s="143"/>
      <c r="AB29" s="143"/>
      <c r="AC29" s="143"/>
      <c r="AD29" s="143"/>
      <c r="AE29" s="143"/>
    </row>
    <row r="30" spans="1:31" x14ac:dyDescent="0.25">
      <c r="B30" s="55" t="str">
        <f t="shared" ref="B30:D37" si="18">B29</f>
        <v>Ausgrid</v>
      </c>
      <c r="C30" s="55" t="str">
        <f t="shared" si="18"/>
        <v>Small business</v>
      </c>
      <c r="D30" s="55" t="str">
        <f t="shared" si="18"/>
        <v>without CL</v>
      </c>
      <c r="E30" s="3" t="s">
        <v>19</v>
      </c>
      <c r="F30" s="131">
        <f t="array" ref="F30">IFERROR(INDEX(Usage!$B$5:$P$18,MATCH($B30,Usage!$B$5:$B$18,0),MATCH($C30&amp;$D30&amp;$E30&amp;"Total",Usage!$B$5:$S$5&amp;Usage!$B$6:$S$6&amp;Usage!$B$7:$S$7&amp;Usage!$B$13:$S$13,0)),0)</f>
        <v>10000</v>
      </c>
      <c r="G30" s="120" t="s">
        <v>277</v>
      </c>
      <c r="H30" s="128" cm="1">
        <f t="array" ref="H30">IFERROR(INDEX('Detail inputs'!$B$3:$K$195,MATCH($B30&amp;$G30&amp;H$5&amp;$C30,'Detail inputs'!$B$3:$B$195&amp;'Detail inputs'!$G$3:$G$195&amp;'Detail inputs'!$H$3:$H$195&amp;'Detail inputs'!$D$3:$D$195,0),MATCH(H$4,'Detail inputs'!$B$3:$K$3,0)),0)</f>
        <v>28.58</v>
      </c>
      <c r="I30" s="128"/>
      <c r="J30" s="128">
        <f>IF(AND(H30="",I30=""),"",H30+I30*$F30/1000)</f>
        <v>28.58</v>
      </c>
      <c r="K30" s="143">
        <f>IFERROR(J30/J33,"")</f>
        <v>0.10321042938138746</v>
      </c>
      <c r="L30" s="129"/>
      <c r="M30" s="143">
        <f>IF(OR(J30=0,Q30=""),"",Q30/J30-1)</f>
        <v>-1.6773470215832309E-2</v>
      </c>
      <c r="N30" s="129"/>
      <c r="O30" s="128" cm="1">
        <f t="array" ref="O30">IFERROR(INDEX('Detail inputs'!$B$3:$K$195,MATCH($B30&amp;$G30&amp;O$5&amp;$C30,'Detail inputs'!$B$3:$B$195&amp;'Detail inputs'!$G$3:$G$195&amp;'Detail inputs'!$H$3:$H$195&amp;'Detail inputs'!$D$3:$D$195,0),MATCH(O$4,'Detail inputs'!$B$3:$K$3,0)),0)</f>
        <v>28.10061422123151</v>
      </c>
      <c r="P30" s="128"/>
      <c r="Q30" s="128">
        <f>IF(AND(O30="",P30=""),"",O30+P30*$F30/1000)</f>
        <v>28.10061422123151</v>
      </c>
      <c r="R30" s="143">
        <f>IFERROR(Q30/Q33,"")</f>
        <v>7.7415050161849491E-2</v>
      </c>
      <c r="S30" s="143"/>
      <c r="T30" s="143"/>
      <c r="U30" s="143"/>
      <c r="V30" s="143"/>
      <c r="W30" s="143"/>
      <c r="X30" s="143"/>
      <c r="Y30" s="143"/>
      <c r="Z30" s="143"/>
      <c r="AA30" s="143"/>
      <c r="AB30" s="143"/>
      <c r="AC30" s="143"/>
      <c r="AD30" s="143"/>
      <c r="AE30" s="143"/>
    </row>
    <row r="31" spans="1:31" x14ac:dyDescent="0.25">
      <c r="B31" s="55" t="str">
        <f t="shared" si="18"/>
        <v>Ausgrid</v>
      </c>
      <c r="C31" s="55" t="str">
        <f t="shared" si="18"/>
        <v>Small business</v>
      </c>
      <c r="D31" s="55" t="str">
        <f t="shared" si="18"/>
        <v>without CL</v>
      </c>
      <c r="E31" s="3" t="s">
        <v>19</v>
      </c>
      <c r="F31" s="131">
        <f t="array" ref="F31">IFERROR(INDEX(Usage!$B$5:$P$18,MATCH($B31,Usage!$B$5:$B$18,0),MATCH($C31&amp;$D31&amp;$E31&amp;"Total",Usage!$B$5:$S$5&amp;Usage!$B$6:$S$6&amp;Usage!$B$7:$S$7&amp;Usage!$B$13:$S$13,0)),0)</f>
        <v>10000</v>
      </c>
      <c r="G31" s="3" t="s">
        <v>167</v>
      </c>
      <c r="H31" s="128" cm="1">
        <f t="array" ref="H31">IFERROR(INDEX('Detail inputs'!$B$3:$K$195,MATCH($B31&amp;$G31&amp;H$5&amp;$C31,'Detail inputs'!$B$3:$B$195&amp;'Detail inputs'!$G$3:$G$195&amp;'Detail inputs'!$H$3:$H$195&amp;'Detail inputs'!$D$3:$D$195,0),MATCH(H$4,'Detail inputs'!$B$3:$K$3,0)),0)</f>
        <v>65</v>
      </c>
      <c r="I31" s="128"/>
      <c r="J31" s="128">
        <f>IF(AND(H31="",I31=""),"",H31+I31*$F31/1000)</f>
        <v>65</v>
      </c>
      <c r="K31" s="143">
        <f>IFERROR(J31/J33,"")</f>
        <v>0.23473330685060131</v>
      </c>
      <c r="L31" s="129"/>
      <c r="M31" s="143">
        <f>IF(OR(J31=0,Q31=""),"",Q31/J31-1)</f>
        <v>0.23823267168747408</v>
      </c>
      <c r="N31" s="129"/>
      <c r="O31" s="128" cm="1">
        <f t="array" ref="O31">IFERROR(INDEX('Detail inputs'!$B$3:$K$195,MATCH($B31&amp;$G31&amp;O$5&amp;$C31,'Detail inputs'!$B$3:$B$195&amp;'Detail inputs'!$G$3:$G$195&amp;'Detail inputs'!$H$3:$H$195&amp;'Detail inputs'!$D$3:$D$195,0),MATCH(O$4,'Detail inputs'!$B$3:$K$3,0)),0)</f>
        <v>80.485123659685812</v>
      </c>
      <c r="P31" s="128"/>
      <c r="Q31" s="128">
        <f>IF(AND(O31="",P31=""),"",O31+P31*$F31/1000)</f>
        <v>80.485123659685812</v>
      </c>
      <c r="R31" s="143">
        <f>IFERROR(Q31/Q33,"")</f>
        <v>0.22173038056547412</v>
      </c>
      <c r="S31" s="143"/>
      <c r="T31" s="143"/>
      <c r="U31" s="143"/>
      <c r="V31" s="143"/>
      <c r="W31" s="143"/>
      <c r="X31" s="143"/>
      <c r="Y31" s="143"/>
      <c r="Z31" s="143"/>
      <c r="AA31" s="143"/>
      <c r="AB31" s="143"/>
      <c r="AC31" s="143"/>
      <c r="AD31" s="143"/>
      <c r="AE31" s="143"/>
    </row>
    <row r="32" spans="1:31" s="19" customFormat="1" x14ac:dyDescent="0.25">
      <c r="A32" s="3"/>
      <c r="B32" s="55" t="str">
        <f t="shared" ref="B32:D33" si="19">B31</f>
        <v>Ausgrid</v>
      </c>
      <c r="C32" s="55" t="str">
        <f t="shared" si="19"/>
        <v>Small business</v>
      </c>
      <c r="D32" s="55" t="str">
        <f t="shared" si="19"/>
        <v>without CL</v>
      </c>
      <c r="E32" s="3" t="s">
        <v>19</v>
      </c>
      <c r="F32" s="131">
        <f>+F31</f>
        <v>10000</v>
      </c>
      <c r="G32" s="3" t="s">
        <v>207</v>
      </c>
      <c r="H32" s="128" cm="1">
        <f t="array" ref="H32">IFERROR(INDEX('Detail inputs'!$B$3:$K$195,MATCH($B32&amp;$G32&amp;H$5&amp;$C32,'Detail inputs'!$B$3:$B$195&amp;'Detail inputs'!$G$3:$G$195&amp;'Detail inputs'!$H$3:$H$195&amp;'Detail inputs'!$D$3:$D$195,0),MATCH(H$4,'Detail inputs'!$B$3:$K$3,0)),0)</f>
        <v>0.33</v>
      </c>
      <c r="I32" s="128"/>
      <c r="J32" s="128">
        <f>IF(AND(H32="",I32=""),"",H32+I32*$F32/1000)</f>
        <v>0.33</v>
      </c>
      <c r="K32" s="143">
        <f>IFERROR(J32/J33,"")</f>
        <v>1.1917229424722837E-3</v>
      </c>
      <c r="L32" s="129"/>
      <c r="M32" s="143">
        <f>IF(OR(J32=0,Q32=""),0,Q32/J32-1)</f>
        <v>4.8924915567385483</v>
      </c>
      <c r="N32" s="129"/>
      <c r="O32" s="128" cm="1">
        <f t="array" ref="O32">IFERROR(INDEX('Detail inputs'!$B$3:$K$195,MATCH($B32&amp;$G32&amp;O$5&amp;$C32,'Detail inputs'!$B$3:$B$195&amp;'Detail inputs'!$G$3:$G$195&amp;'Detail inputs'!$H$3:$H$195&amp;'Detail inputs'!$D$3:$D$195,0),MATCH(O$4,'Detail inputs'!$B$3:$K$3,0)),0)</f>
        <v>1.944522213723721</v>
      </c>
      <c r="P32" s="128"/>
      <c r="Q32" s="128">
        <f>IF(AND(O32="",P32=""),"",O32+P32*$F32/1000)</f>
        <v>1.944522213723721</v>
      </c>
      <c r="R32" s="143">
        <f>IFERROR(Q32/Q33,"")</f>
        <v>5.3570104742591378E-3</v>
      </c>
      <c r="S32" s="143"/>
      <c r="T32" s="143"/>
      <c r="U32" s="143"/>
      <c r="V32" s="143"/>
      <c r="W32" s="143"/>
      <c r="X32" s="143"/>
      <c r="Y32" s="143"/>
      <c r="Z32" s="143"/>
      <c r="AA32" s="143"/>
      <c r="AB32" s="143"/>
      <c r="AC32" s="143"/>
      <c r="AD32" s="143"/>
      <c r="AE32" s="143"/>
    </row>
    <row r="33" spans="1:31" s="19" customFormat="1" x14ac:dyDescent="0.25">
      <c r="A33" s="3"/>
      <c r="B33" s="55" t="str">
        <f t="shared" si="19"/>
        <v>Ausgrid</v>
      </c>
      <c r="C33" s="55" t="str">
        <f t="shared" si="19"/>
        <v>Small business</v>
      </c>
      <c r="D33" s="55" t="str">
        <f t="shared" si="19"/>
        <v>without CL</v>
      </c>
      <c r="E33" s="3" t="s">
        <v>19</v>
      </c>
      <c r="F33" s="131">
        <f>+F32</f>
        <v>10000</v>
      </c>
      <c r="G33" s="5" t="s">
        <v>55</v>
      </c>
      <c r="H33" s="130">
        <f>SUM(H29:H32)</f>
        <v>276.90999999999997</v>
      </c>
      <c r="I33" s="130">
        <f>SUM(I29:I32)</f>
        <v>0</v>
      </c>
      <c r="J33" s="130">
        <f>IF(AND(H33="",I33=""),"",H33+I33*$F33/1000)</f>
        <v>276.90999999999997</v>
      </c>
      <c r="K33" s="145"/>
      <c r="L33" s="130"/>
      <c r="M33" s="145">
        <f>IF(OR(J33=0,Q33=""),"",Q33/J33-1)</f>
        <v>0.31084630321927942</v>
      </c>
      <c r="N33" s="130"/>
      <c r="O33" s="130">
        <f>SUM(O29:O32)</f>
        <v>362.98644982445063</v>
      </c>
      <c r="P33" s="130">
        <f>SUM(P29:P32)</f>
        <v>0</v>
      </c>
      <c r="Q33" s="130">
        <f>IF(AND(O33="",P33=""),"",O33+P33*$F33/1000)</f>
        <v>362.98644982445063</v>
      </c>
      <c r="R33" s="144"/>
      <c r="S33" s="144"/>
      <c r="T33" s="144"/>
      <c r="U33" s="144"/>
      <c r="V33" s="144"/>
      <c r="W33" s="144"/>
      <c r="X33" s="144"/>
      <c r="Y33" s="144"/>
      <c r="Z33" s="144"/>
      <c r="AA33" s="144"/>
      <c r="AB33" s="144"/>
      <c r="AC33" s="144"/>
      <c r="AD33" s="144"/>
      <c r="AE33" s="144"/>
    </row>
    <row r="34" spans="1:31" s="19" customFormat="1" x14ac:dyDescent="0.25">
      <c r="A34" s="3"/>
      <c r="B34" s="55" t="str">
        <f t="shared" ref="B34:D34" si="20">B33</f>
        <v>Ausgrid</v>
      </c>
      <c r="C34" s="55" t="str">
        <f t="shared" si="20"/>
        <v>Small business</v>
      </c>
      <c r="D34" s="55" t="str">
        <f t="shared" si="20"/>
        <v>without CL</v>
      </c>
      <c r="E34" s="3" t="s">
        <v>19</v>
      </c>
      <c r="F34" s="131">
        <f>+F33</f>
        <v>10000</v>
      </c>
      <c r="G34" s="3" t="s">
        <v>170</v>
      </c>
      <c r="H34" s="128">
        <f>H33*CPIPY</f>
        <v>19.720422560000046</v>
      </c>
      <c r="I34" s="128"/>
      <c r="J34" s="128">
        <f>J33*CPIPY</f>
        <v>19.720422560000046</v>
      </c>
      <c r="K34" s="144"/>
      <c r="L34" s="128"/>
      <c r="M34" s="144">
        <f>IF(OR(J34=0,Q34=""),"",Q34/J34-1)</f>
        <v>4.4907365495844731E-2</v>
      </c>
      <c r="N34" s="128"/>
      <c r="O34" s="128"/>
      <c r="P34" s="128"/>
      <c r="Q34" s="128">
        <f>Q33*CPI</f>
        <v>20.606014783634468</v>
      </c>
      <c r="R34" s="144"/>
      <c r="S34" s="144"/>
      <c r="T34" s="144"/>
      <c r="U34" s="144"/>
      <c r="V34" s="144"/>
      <c r="W34" s="144"/>
      <c r="X34" s="144"/>
      <c r="Y34" s="144"/>
      <c r="Z34" s="144"/>
      <c r="AA34" s="144"/>
      <c r="AB34" s="144"/>
      <c r="AC34" s="144"/>
      <c r="AD34" s="144"/>
      <c r="AE34" s="144"/>
    </row>
    <row r="35" spans="1:31" s="19" customFormat="1" x14ac:dyDescent="0.25">
      <c r="A35" s="3"/>
      <c r="B35" s="55" t="str">
        <f t="shared" si="18"/>
        <v>Ausgrid</v>
      </c>
      <c r="C35" s="55" t="str">
        <f t="shared" si="18"/>
        <v>Small business</v>
      </c>
      <c r="D35" s="55" t="str">
        <f t="shared" ref="D35" si="21">D34</f>
        <v>without CL</v>
      </c>
      <c r="E35" s="3"/>
      <c r="F35" s="131"/>
      <c r="G35" s="3" t="s">
        <v>38</v>
      </c>
      <c r="H35" s="128"/>
      <c r="I35" s="128"/>
      <c r="J35" s="128">
        <f>SUM(J33,J34)*GST</f>
        <v>29.663042256000001</v>
      </c>
      <c r="K35" s="144"/>
      <c r="L35" s="128"/>
      <c r="M35" s="144">
        <f>IF(OR(J35=0,Q35=""),"",Q35/J35-1)</f>
        <v>0.29316629527605231</v>
      </c>
      <c r="N35" s="128"/>
      <c r="O35" s="128"/>
      <c r="P35" s="128"/>
      <c r="Q35" s="128">
        <f>SUM(Q33,Q34)*GST</f>
        <v>38.359246460808514</v>
      </c>
      <c r="R35" s="145"/>
      <c r="S35" s="145"/>
      <c r="T35" s="145"/>
      <c r="U35" s="145"/>
      <c r="V35" s="145"/>
      <c r="W35" s="145"/>
      <c r="X35" s="145"/>
      <c r="Y35" s="145"/>
      <c r="Z35" s="145"/>
      <c r="AA35" s="145"/>
      <c r="AB35" s="145"/>
      <c r="AC35" s="145"/>
      <c r="AD35" s="145"/>
      <c r="AE35" s="145"/>
    </row>
    <row r="36" spans="1:31" s="19" customFormat="1" x14ac:dyDescent="0.25">
      <c r="A36" s="3"/>
      <c r="B36" s="55" t="str">
        <f t="shared" si="18"/>
        <v>Ausgrid</v>
      </c>
      <c r="C36" s="55" t="str">
        <f t="shared" si="18"/>
        <v>Small business</v>
      </c>
      <c r="D36" s="55" t="str">
        <f t="shared" si="18"/>
        <v>without CL</v>
      </c>
      <c r="E36" s="3"/>
      <c r="F36" s="131"/>
      <c r="G36" s="5" t="s">
        <v>80</v>
      </c>
      <c r="H36" s="130"/>
      <c r="I36" s="130"/>
      <c r="J36" s="130">
        <f>SUM(J33:J35)</f>
        <v>326.29346481599998</v>
      </c>
      <c r="K36" s="145"/>
      <c r="L36" s="130"/>
      <c r="M36" s="145">
        <f>IF(OR(J36=0,Q36=""),"",Q36/J36-1)</f>
        <v>0.29316629527605231</v>
      </c>
      <c r="N36" s="130"/>
      <c r="O36" s="130"/>
      <c r="P36" s="130"/>
      <c r="Q36" s="130">
        <f>SUM(Q33:Q35)</f>
        <v>421.95171106889359</v>
      </c>
      <c r="R36" s="145"/>
      <c r="S36" s="145"/>
      <c r="T36" s="145"/>
      <c r="U36" s="145"/>
      <c r="V36" s="145"/>
      <c r="W36" s="145"/>
      <c r="X36" s="145"/>
      <c r="Y36" s="145"/>
      <c r="Z36" s="145"/>
      <c r="AA36" s="145"/>
      <c r="AB36" s="145"/>
      <c r="AC36" s="145"/>
      <c r="AD36" s="145"/>
      <c r="AE36" s="145"/>
    </row>
    <row r="37" spans="1:31" x14ac:dyDescent="0.25">
      <c r="B37" s="55" t="str">
        <f t="shared" si="18"/>
        <v>Ausgrid</v>
      </c>
      <c r="C37" s="55" t="str">
        <f t="shared" si="18"/>
        <v>Small business</v>
      </c>
      <c r="D37" s="55" t="str">
        <f t="shared" si="18"/>
        <v>without CL</v>
      </c>
      <c r="F37" s="131"/>
      <c r="H37" s="128"/>
      <c r="I37" s="128"/>
      <c r="J37" s="128"/>
      <c r="K37" s="143"/>
      <c r="L37" s="128"/>
      <c r="M37" s="143"/>
      <c r="N37" s="128"/>
      <c r="O37" s="128"/>
      <c r="P37" s="128"/>
      <c r="Q37" s="128"/>
      <c r="R37" s="143"/>
      <c r="S37" s="143"/>
      <c r="T37" s="143"/>
      <c r="U37" s="143"/>
      <c r="V37" s="143"/>
      <c r="W37" s="143"/>
      <c r="X37" s="143"/>
      <c r="Y37" s="143"/>
      <c r="Z37" s="143"/>
      <c r="AA37" s="143"/>
      <c r="AB37" s="143"/>
      <c r="AC37" s="143"/>
      <c r="AD37" s="143"/>
      <c r="AE37" s="143"/>
    </row>
    <row r="38" spans="1:31" x14ac:dyDescent="0.25">
      <c r="B38" s="59" t="s">
        <v>4</v>
      </c>
      <c r="C38" s="59" t="s">
        <v>6</v>
      </c>
      <c r="D38" s="59" t="s">
        <v>127</v>
      </c>
      <c r="F38" s="131"/>
      <c r="H38" s="128"/>
      <c r="I38" s="128"/>
      <c r="J38" s="128"/>
      <c r="K38" s="143"/>
      <c r="L38" s="129"/>
      <c r="M38" s="143"/>
      <c r="N38" s="129"/>
      <c r="O38" s="128"/>
      <c r="P38" s="128"/>
      <c r="Q38" s="128"/>
      <c r="R38" s="143"/>
      <c r="S38" s="143"/>
      <c r="T38" s="143"/>
      <c r="U38" s="143"/>
      <c r="V38" s="143"/>
      <c r="W38" s="143"/>
      <c r="X38" s="143"/>
      <c r="Y38" s="143"/>
      <c r="Z38" s="143"/>
      <c r="AA38" s="143"/>
      <c r="AB38" s="143"/>
      <c r="AC38" s="143"/>
      <c r="AD38" s="143"/>
      <c r="AE38" s="143"/>
    </row>
    <row r="39" spans="1:31" x14ac:dyDescent="0.25">
      <c r="B39" s="55" t="str">
        <f>B38</f>
        <v>Endeavour</v>
      </c>
      <c r="C39" s="55" t="str">
        <f t="shared" ref="C39:D39" si="22">C38</f>
        <v>Residential</v>
      </c>
      <c r="D39" s="55" t="str">
        <f t="shared" si="22"/>
        <v>without CL</v>
      </c>
      <c r="E39" s="3" t="s">
        <v>19</v>
      </c>
      <c r="F39" s="131">
        <f t="array" ref="F39">IFERROR(INDEX(Usage!$B$5:$P$18,MATCH($B39,Usage!$B$5:$B$18,0),MATCH($C39&amp;$D39&amp;$E39&amp;"Total",Usage!$B$5:$S$5&amp;Usage!$B$6:$S$6&amp;Usage!$B$7:$S$7&amp;Usage!$B$13:$S$13,0)),0)</f>
        <v>4900</v>
      </c>
      <c r="G39" s="3" t="s">
        <v>270</v>
      </c>
      <c r="H39" s="128" cm="1">
        <f t="array" ref="H39">IFERROR(INDEX('Detail inputs'!$B$3:$K$195,MATCH($B39&amp;$G39&amp;H$5&amp;$C39,'Detail inputs'!$B$3:$B$195&amp;'Detail inputs'!$G$3:$G$195&amp;'Detail inputs'!$H$3:$H$195&amp;'Detail inputs'!$D$3:$D$195,0),MATCH(H$4,'Detail inputs'!$B$3:$K$3,0)),0)</f>
        <v>142</v>
      </c>
      <c r="I39" s="128"/>
      <c r="J39" s="128">
        <f>IF(AND(H39="",I39=""),"",H39+I39*$F39/1000)</f>
        <v>142</v>
      </c>
      <c r="K39" s="143">
        <f>IFERROR(J39/J43,"")</f>
        <v>0.62215212057483349</v>
      </c>
      <c r="L39" s="129"/>
      <c r="M39" s="143">
        <f>IF(OR(J39=0,Q39=""),"",Q39/J39-1)</f>
        <v>0.31050277872331322</v>
      </c>
      <c r="N39" s="129"/>
      <c r="O39" s="128" cm="1">
        <f t="array" ref="O39">IFERROR(INDEX('Detail inputs'!$B$3:$K$195,MATCH($B39&amp;$G39&amp;O$5&amp;$C39,'Detail inputs'!$B$3:$B$195&amp;'Detail inputs'!$G$3:$G$195&amp;'Detail inputs'!$H$3:$H$195&amp;'Detail inputs'!$D$3:$D$195,0),MATCH(O$4,'Detail inputs'!$B$3:$K$3,0)),0)</f>
        <v>186.09139457871049</v>
      </c>
      <c r="P39" s="128"/>
      <c r="Q39" s="128">
        <f>IF(AND(O39="",P39=""),"",O39+P39*$F39/1000)</f>
        <v>186.09139457871049</v>
      </c>
      <c r="R39" s="143">
        <f>IFERROR(Q39/Q43,"")</f>
        <v>0.62828178075102892</v>
      </c>
      <c r="S39" s="143"/>
      <c r="T39" s="143"/>
      <c r="U39" s="143"/>
      <c r="V39" s="143"/>
      <c r="W39" s="143"/>
      <c r="X39" s="143"/>
      <c r="Y39" s="143"/>
      <c r="Z39" s="143"/>
      <c r="AA39" s="143"/>
      <c r="AB39" s="143"/>
      <c r="AC39" s="143"/>
      <c r="AD39" s="143"/>
      <c r="AE39" s="143"/>
    </row>
    <row r="40" spans="1:31" x14ac:dyDescent="0.25">
      <c r="B40" s="55" t="str">
        <f t="shared" ref="B40:D41" si="23">B39</f>
        <v>Endeavour</v>
      </c>
      <c r="C40" s="55" t="str">
        <f t="shared" si="23"/>
        <v>Residential</v>
      </c>
      <c r="D40" s="55" t="str">
        <f t="shared" si="23"/>
        <v>without CL</v>
      </c>
      <c r="E40" s="3" t="s">
        <v>19</v>
      </c>
      <c r="F40" s="131">
        <f t="array" ref="F40">IFERROR(INDEX(Usage!$B$5:$P$18,MATCH($B40,Usage!$B$5:$B$18,0),MATCH($C40&amp;$D40&amp;$E40&amp;"Total",Usage!$B$5:$S$5&amp;Usage!$B$6:$S$6&amp;Usage!$B$7:$S$7&amp;Usage!$B$13:$S$13,0)),0)</f>
        <v>4900</v>
      </c>
      <c r="G40" s="120" t="s">
        <v>277</v>
      </c>
      <c r="H40" s="128" cm="1">
        <f t="array" ref="H40">IFERROR(INDEX('Detail inputs'!$B$3:$K$195,MATCH($B40&amp;$G40&amp;H$5&amp;$C40,'Detail inputs'!$B$3:$B$195&amp;'Detail inputs'!$G$3:$G$195&amp;'Detail inputs'!$H$3:$H$195&amp;'Detail inputs'!$D$3:$D$195,0),MATCH(H$4,'Detail inputs'!$B$3:$K$3,0)),0)</f>
        <v>55.61</v>
      </c>
      <c r="I40" s="128"/>
      <c r="J40" s="128">
        <f>IF(AND(H40="",I40=""),"",H40+I40*$F40/1000)</f>
        <v>55.61</v>
      </c>
      <c r="K40" s="143">
        <f>IFERROR(J40/J43,"")</f>
        <v>0.24364703820539782</v>
      </c>
      <c r="L40" s="129"/>
      <c r="M40" s="143">
        <f>IF(OR(J40=0,Q40=""),"",Q40/J40-1)</f>
        <v>0.30118778691808701</v>
      </c>
      <c r="N40" s="129"/>
      <c r="O40" s="128" cm="1">
        <f t="array" ref="O40">IFERROR(INDEX('Detail inputs'!$B$3:$K$195,MATCH($B40&amp;$G40&amp;O$5,'Detail inputs'!$B$3:$B$195&amp;'Detail inputs'!$G$3:$G$195&amp;'Detail inputs'!$H$3:$H$195,0),MATCH(O$4,'Detail inputs'!$B$3:$K$3,0)),0)</f>
        <v>72.359052830514813</v>
      </c>
      <c r="P40" s="128"/>
      <c r="Q40" s="128">
        <f>IF(AND(O40="",P40=""),"",O40+P40*$F40/1000)</f>
        <v>72.359052830514813</v>
      </c>
      <c r="R40" s="143">
        <f>IFERROR(Q40/Q43,"")</f>
        <v>0.24429863975566457</v>
      </c>
      <c r="S40" s="143"/>
      <c r="T40" s="143"/>
      <c r="U40" s="143"/>
      <c r="V40" s="143"/>
      <c r="W40" s="143"/>
      <c r="X40" s="143"/>
      <c r="Y40" s="143"/>
      <c r="Z40" s="143"/>
      <c r="AA40" s="143"/>
      <c r="AB40" s="143"/>
      <c r="AC40" s="143"/>
      <c r="AD40" s="143"/>
      <c r="AE40" s="143"/>
    </row>
    <row r="41" spans="1:31" s="19" customFormat="1" x14ac:dyDescent="0.25">
      <c r="A41" s="3"/>
      <c r="B41" s="55" t="str">
        <f t="shared" si="23"/>
        <v>Endeavour</v>
      </c>
      <c r="C41" s="55" t="str">
        <f t="shared" si="23"/>
        <v>Residential</v>
      </c>
      <c r="D41" s="55" t="str">
        <f t="shared" si="23"/>
        <v>without CL</v>
      </c>
      <c r="E41" s="3" t="s">
        <v>19</v>
      </c>
      <c r="F41" s="131">
        <f t="array" ref="F41">IFERROR(INDEX(Usage!$B$5:$P$18,MATCH($B41,Usage!$B$5:$B$18,0),MATCH($C41&amp;$D41&amp;$E41&amp;"Total",Usage!$B$5:$S$5&amp;Usage!$B$6:$S$6&amp;Usage!$B$7:$S$7&amp;Usage!$B$13:$S$13,0)),0)</f>
        <v>4900</v>
      </c>
      <c r="G41" s="3" t="s">
        <v>167</v>
      </c>
      <c r="H41" s="128" cm="1">
        <f t="array" ref="H41">IFERROR(INDEX('Detail inputs'!$B$3:$K$195,MATCH($B41&amp;$G41&amp;H$5,'Detail inputs'!$B$3:$B$195&amp;'Detail inputs'!$G$3:$G$195&amp;'Detail inputs'!$H$3:$H$195,0),MATCH(H$4,'Detail inputs'!$B$3:$K$3,0)),0)</f>
        <v>30</v>
      </c>
      <c r="I41" s="128"/>
      <c r="J41" s="128">
        <f>IF(AND(H41="",I41=""),"",H41+I41*$F41/1000)</f>
        <v>30</v>
      </c>
      <c r="K41" s="143">
        <f>IFERROR(J41/J43,"")</f>
        <v>0.13144058885383805</v>
      </c>
      <c r="L41" s="129"/>
      <c r="M41" s="143">
        <f>IF(OR(J41=0,Q41=""),"",Q41/J41-1)</f>
        <v>0.18419177243490248</v>
      </c>
      <c r="N41" s="129"/>
      <c r="O41" s="128" cm="1">
        <f t="array" ref="O41">IFERROR(INDEX('Detail inputs'!$B$3:$K$195,MATCH($B41&amp;$G41&amp;O$5,'Detail inputs'!$B$3:$B$195&amp;'Detail inputs'!$G$3:$G$195&amp;'Detail inputs'!$H$3:$H$195,0),MATCH(O$4,'Detail inputs'!$B$3:$K$3,0)),0)</f>
        <v>35.525753173047072</v>
      </c>
      <c r="P41" s="128"/>
      <c r="Q41" s="128">
        <f>IF(AND(O41="",P41=""),"",O41+P41*$F41/1000)</f>
        <v>35.525753173047072</v>
      </c>
      <c r="R41" s="143">
        <f>IFERROR(Q41/Q43,"")</f>
        <v>0.1199420506069819</v>
      </c>
      <c r="S41" s="143"/>
      <c r="T41" s="143"/>
      <c r="U41" s="143"/>
      <c r="V41" s="143"/>
      <c r="W41" s="143"/>
      <c r="X41" s="143"/>
      <c r="Y41" s="143"/>
      <c r="Z41" s="143"/>
      <c r="AA41" s="143"/>
      <c r="AB41" s="143"/>
      <c r="AC41" s="143"/>
      <c r="AD41" s="143"/>
      <c r="AE41" s="143"/>
    </row>
    <row r="42" spans="1:31" s="19" customFormat="1" x14ac:dyDescent="0.25">
      <c r="B42" s="55" t="str">
        <f t="shared" ref="B42:D42" si="24">B41</f>
        <v>Endeavour</v>
      </c>
      <c r="C42" s="55" t="str">
        <f t="shared" si="24"/>
        <v>Residential</v>
      </c>
      <c r="D42" s="55" t="str">
        <f t="shared" si="24"/>
        <v>without CL</v>
      </c>
      <c r="E42" s="3" t="s">
        <v>19</v>
      </c>
      <c r="F42" s="131">
        <f t="array" ref="F42">IFERROR(INDEX(Usage!$B$5:$P$18,MATCH($B42,Usage!$B$5:$B$18,0),MATCH($C42&amp;$D42&amp;$E42&amp;"Total",Usage!$B$5:$S$5&amp;Usage!$B$6:$S$6&amp;Usage!$B$7:$S$7&amp;Usage!$B$13:$S$13,0)),0)</f>
        <v>4900</v>
      </c>
      <c r="G42" s="3" t="s">
        <v>207</v>
      </c>
      <c r="H42" s="128" cm="1">
        <f t="array" ref="H42">IFERROR(INDEX('Detail inputs'!$B$3:$K$195,MATCH($B42&amp;$G42&amp;H$5,'Detail inputs'!$B$3:$B$195&amp;'Detail inputs'!$G$3:$G$195&amp;'Detail inputs'!$H$3:$H$195,0),MATCH(H$4,'Detail inputs'!$B$3:$K$3,0)),0)</f>
        <v>0.63</v>
      </c>
      <c r="I42" s="128"/>
      <c r="J42" s="128">
        <f>IF(AND(H42="",I42=""),"",H42+I42*$F42/1000)</f>
        <v>0.63</v>
      </c>
      <c r="K42" s="143">
        <f>IFERROR(J42/J43,"")</f>
        <v>2.7602523659305991E-3</v>
      </c>
      <c r="L42" s="129"/>
      <c r="M42" s="143">
        <f>IF(OR(J42=0,Q42=""),0,Q42/J42-1)</f>
        <v>2.5155183931060821</v>
      </c>
      <c r="N42" s="129"/>
      <c r="O42" s="128" cm="1">
        <f t="array" ref="O42">IFERROR(INDEX('Detail inputs'!$B$3:$K$195,MATCH($B42&amp;$G42&amp;O$5,'Detail inputs'!$B$3:$B$195&amp;'Detail inputs'!$G$3:$G$195&amp;'Detail inputs'!$H$3:$H$195,0),MATCH(O$4,'Detail inputs'!$B$3:$K$3,0)),0)</f>
        <v>2.2147765876568317</v>
      </c>
      <c r="P42" s="128"/>
      <c r="Q42" s="128">
        <f>IF(AND(O42="",P42=""),"",O42+P42*$F42/1000)</f>
        <v>2.2147765876568317</v>
      </c>
      <c r="R42" s="143">
        <f>IFERROR(Q42/Q43,"")</f>
        <v>7.4775288863245179E-3</v>
      </c>
      <c r="S42" s="143"/>
      <c r="T42" s="143"/>
      <c r="U42" s="143"/>
      <c r="V42" s="143"/>
      <c r="W42" s="143"/>
      <c r="X42" s="143"/>
      <c r="Y42" s="143"/>
      <c r="Z42" s="143"/>
      <c r="AA42" s="143"/>
      <c r="AB42" s="143"/>
      <c r="AC42" s="143"/>
      <c r="AD42" s="143"/>
      <c r="AE42" s="143"/>
    </row>
    <row r="43" spans="1:31" s="19" customFormat="1" x14ac:dyDescent="0.25">
      <c r="A43" s="3"/>
      <c r="B43" s="55" t="str">
        <f t="shared" ref="B43:D43" si="25">B42</f>
        <v>Endeavour</v>
      </c>
      <c r="C43" s="55" t="str">
        <f t="shared" si="25"/>
        <v>Residential</v>
      </c>
      <c r="D43" s="55" t="str">
        <f t="shared" si="25"/>
        <v>without CL</v>
      </c>
      <c r="E43" s="3" t="s">
        <v>19</v>
      </c>
      <c r="F43" s="131">
        <f t="array" ref="F43">IFERROR(INDEX(Usage!$B$5:$P$18,MATCH($B43,Usage!$B$5:$B$18,0),MATCH($C43&amp;$D43&amp;$E43&amp;"Total",Usage!$B$5:$S$5&amp;Usage!$B$6:$S$6&amp;Usage!$B$7:$S$7&amp;Usage!$B$13:$S$13,0)),0)</f>
        <v>4900</v>
      </c>
      <c r="G43" s="5" t="s">
        <v>55</v>
      </c>
      <c r="H43" s="130">
        <f>SUM(H39:H42)</f>
        <v>228.24</v>
      </c>
      <c r="I43" s="130">
        <f>SUM(I39:I42)</f>
        <v>0</v>
      </c>
      <c r="J43" s="130">
        <f>IF(AND(H43="",I43=""),"",H43+I43*$F43/1000)</f>
        <v>228.24</v>
      </c>
      <c r="K43" s="145"/>
      <c r="L43" s="130"/>
      <c r="M43" s="145">
        <f>IF(OR(J43=0,Q43=""),"",Q43/J43-1)</f>
        <v>0.29771721508030669</v>
      </c>
      <c r="N43" s="130"/>
      <c r="O43" s="130">
        <f>SUM(O39:O42)</f>
        <v>296.19097716992923</v>
      </c>
      <c r="P43" s="130">
        <f>SUM(P39:P42)</f>
        <v>0</v>
      </c>
      <c r="Q43" s="130">
        <f>IF(AND(O43="",P43=""),"",O43+P43*$F43/1000)</f>
        <v>296.19097716992923</v>
      </c>
      <c r="R43" s="144"/>
      <c r="S43" s="144"/>
      <c r="T43" s="144"/>
      <c r="U43" s="144"/>
      <c r="V43" s="144"/>
      <c r="W43" s="144"/>
      <c r="X43" s="144"/>
      <c r="Y43" s="144"/>
      <c r="Z43" s="144"/>
      <c r="AA43" s="144"/>
      <c r="AB43" s="144"/>
      <c r="AC43" s="144"/>
      <c r="AD43" s="144"/>
      <c r="AE43" s="144"/>
    </row>
    <row r="44" spans="1:31" s="19" customFormat="1" x14ac:dyDescent="0.25">
      <c r="A44" s="3"/>
      <c r="B44" s="55" t="str">
        <f t="shared" ref="B44:D47" si="26">B43</f>
        <v>Endeavour</v>
      </c>
      <c r="C44" s="55" t="str">
        <f t="shared" si="26"/>
        <v>Residential</v>
      </c>
      <c r="D44" s="55" t="str">
        <f t="shared" si="26"/>
        <v>without CL</v>
      </c>
      <c r="E44" s="3" t="s">
        <v>19</v>
      </c>
      <c r="F44" s="131">
        <f t="array" ref="F44">IFERROR(INDEX(Usage!$B$5:$P$18,MATCH($B44,Usage!$B$5:$B$18,0),MATCH($C44&amp;$D44&amp;$E44&amp;"Total",Usage!$B$5:$S$5&amp;Usage!$B$6:$S$6&amp;Usage!$B$7:$S$7&amp;Usage!$B$13:$S$13,0)),0)</f>
        <v>4900</v>
      </c>
      <c r="G44" s="3" t="s">
        <v>170</v>
      </c>
      <c r="H44" s="128">
        <f>H43*CPIPY</f>
        <v>16.254339840000039</v>
      </c>
      <c r="I44" s="128"/>
      <c r="J44" s="128">
        <f>J43*CPIPY</f>
        <v>16.254339840000039</v>
      </c>
      <c r="K44" s="144"/>
      <c r="L44" s="128"/>
      <c r="M44" s="144">
        <f>IF(OR(J44=0,Q44=""),"",Q44/J44-1)</f>
        <v>3.4441851068283569E-2</v>
      </c>
      <c r="N44" s="128"/>
      <c r="O44" s="128"/>
      <c r="P44" s="128"/>
      <c r="Q44" s="128">
        <f>Q43*CPI</f>
        <v>16.814169391982588</v>
      </c>
      <c r="R44" s="144"/>
      <c r="S44" s="144"/>
      <c r="T44" s="144"/>
      <c r="U44" s="144"/>
      <c r="V44" s="144"/>
      <c r="W44" s="144"/>
      <c r="X44" s="144"/>
      <c r="Y44" s="144"/>
      <c r="Z44" s="144"/>
      <c r="AA44" s="144"/>
      <c r="AB44" s="144"/>
      <c r="AC44" s="144"/>
      <c r="AD44" s="144"/>
      <c r="AE44" s="144"/>
    </row>
    <row r="45" spans="1:31" s="19" customFormat="1" x14ac:dyDescent="0.25">
      <c r="A45" s="3"/>
      <c r="B45" s="55" t="str">
        <f t="shared" si="26"/>
        <v>Endeavour</v>
      </c>
      <c r="C45" s="55" t="str">
        <f t="shared" si="26"/>
        <v>Residential</v>
      </c>
      <c r="D45" s="55" t="str">
        <f t="shared" si="26"/>
        <v>without CL</v>
      </c>
      <c r="E45" s="3"/>
      <c r="F45" s="131"/>
      <c r="G45" s="3" t="s">
        <v>38</v>
      </c>
      <c r="H45" s="128"/>
      <c r="I45" s="128"/>
      <c r="J45" s="128">
        <f>SUM(J43,J44)*GST</f>
        <v>24.449433984000006</v>
      </c>
      <c r="K45" s="144"/>
      <c r="L45" s="128"/>
      <c r="M45" s="144">
        <f>IF(OR(J45=0,Q45=""),"",Q45/J45-1)</f>
        <v>0.28021428539714277</v>
      </c>
      <c r="N45" s="128"/>
      <c r="O45" s="128"/>
      <c r="P45" s="128"/>
      <c r="Q45" s="128">
        <f>SUM(Q43,Q44)*GST</f>
        <v>31.300514656191183</v>
      </c>
      <c r="R45" s="145"/>
      <c r="S45" s="145"/>
      <c r="T45" s="145"/>
      <c r="U45" s="145"/>
      <c r="V45" s="145"/>
      <c r="W45" s="145"/>
      <c r="X45" s="145"/>
      <c r="Y45" s="145"/>
      <c r="Z45" s="145"/>
      <c r="AA45" s="145"/>
      <c r="AB45" s="145"/>
      <c r="AC45" s="145"/>
      <c r="AD45" s="145"/>
      <c r="AE45" s="145"/>
    </row>
    <row r="46" spans="1:31" s="19" customFormat="1" x14ac:dyDescent="0.25">
      <c r="A46" s="3"/>
      <c r="B46" s="55" t="str">
        <f t="shared" si="26"/>
        <v>Endeavour</v>
      </c>
      <c r="C46" s="55" t="str">
        <f t="shared" si="26"/>
        <v>Residential</v>
      </c>
      <c r="D46" s="55" t="str">
        <f t="shared" si="26"/>
        <v>without CL</v>
      </c>
      <c r="E46" s="3"/>
      <c r="F46" s="131"/>
      <c r="G46" s="5" t="s">
        <v>80</v>
      </c>
      <c r="H46" s="130"/>
      <c r="I46" s="130"/>
      <c r="J46" s="130">
        <f>SUM(J43:J45)</f>
        <v>268.94377382400006</v>
      </c>
      <c r="K46" s="145"/>
      <c r="L46" s="130"/>
      <c r="M46" s="145">
        <f>IF(OR(J46=0,Q46=""),"",Q46/J46-1)</f>
        <v>0.28021428539714277</v>
      </c>
      <c r="N46" s="130"/>
      <c r="O46" s="130"/>
      <c r="P46" s="130"/>
      <c r="Q46" s="130">
        <f>SUM(Q43:Q45)</f>
        <v>344.30566121810301</v>
      </c>
      <c r="R46" s="145"/>
      <c r="S46" s="145"/>
      <c r="T46" s="145"/>
      <c r="U46" s="145"/>
      <c r="V46" s="145"/>
      <c r="W46" s="145"/>
      <c r="X46" s="145"/>
      <c r="Y46" s="145"/>
      <c r="Z46" s="145"/>
      <c r="AA46" s="145"/>
      <c r="AB46" s="145"/>
      <c r="AC46" s="145"/>
      <c r="AD46" s="145"/>
      <c r="AE46" s="145"/>
    </row>
    <row r="47" spans="1:31" x14ac:dyDescent="0.25">
      <c r="B47" s="55" t="str">
        <f t="shared" si="26"/>
        <v>Endeavour</v>
      </c>
      <c r="C47" s="55" t="str">
        <f t="shared" si="26"/>
        <v>Residential</v>
      </c>
      <c r="D47" s="55" t="str">
        <f t="shared" si="26"/>
        <v>without CL</v>
      </c>
      <c r="F47" s="131"/>
      <c r="H47" s="128"/>
      <c r="I47" s="128"/>
      <c r="J47" s="128"/>
      <c r="K47" s="143"/>
      <c r="L47" s="128"/>
      <c r="M47" s="143"/>
      <c r="N47" s="128"/>
      <c r="O47" s="128"/>
      <c r="P47" s="128"/>
      <c r="Q47" s="128"/>
      <c r="R47" s="143"/>
      <c r="S47" s="143"/>
      <c r="T47" s="143"/>
      <c r="U47" s="143"/>
      <c r="V47" s="143"/>
      <c r="W47" s="143"/>
      <c r="X47" s="143"/>
      <c r="Y47" s="143"/>
      <c r="Z47" s="143"/>
      <c r="AA47" s="143"/>
      <c r="AB47" s="143"/>
      <c r="AC47" s="143"/>
      <c r="AD47" s="143"/>
      <c r="AE47" s="143"/>
    </row>
    <row r="48" spans="1:31" x14ac:dyDescent="0.25">
      <c r="B48" s="59" t="s">
        <v>4</v>
      </c>
      <c r="C48" s="59" t="s">
        <v>6</v>
      </c>
      <c r="D48" s="59" t="s">
        <v>128</v>
      </c>
      <c r="F48" s="131"/>
      <c r="H48" s="128"/>
      <c r="I48" s="128"/>
      <c r="J48" s="128"/>
      <c r="K48" s="143"/>
      <c r="L48" s="128"/>
      <c r="M48" s="143"/>
      <c r="N48" s="128"/>
      <c r="O48" s="128"/>
      <c r="P48" s="128"/>
      <c r="Q48" s="128"/>
      <c r="R48" s="143"/>
      <c r="S48" s="143"/>
      <c r="T48" s="143"/>
      <c r="U48" s="143"/>
      <c r="V48" s="143"/>
      <c r="W48" s="143"/>
      <c r="X48" s="143"/>
      <c r="Y48" s="143"/>
      <c r="Z48" s="143"/>
      <c r="AA48" s="143"/>
      <c r="AB48" s="143"/>
      <c r="AC48" s="143"/>
      <c r="AD48" s="143"/>
      <c r="AE48" s="143"/>
    </row>
    <row r="49" spans="1:31" x14ac:dyDescent="0.25">
      <c r="B49" s="55" t="str">
        <f t="shared" ref="B49:D49" si="27">B48</f>
        <v>Endeavour</v>
      </c>
      <c r="C49" s="55" t="str">
        <f t="shared" si="27"/>
        <v>Residential</v>
      </c>
      <c r="D49" s="55" t="str">
        <f t="shared" si="27"/>
        <v>with CL</v>
      </c>
      <c r="E49" s="3" t="s">
        <v>19</v>
      </c>
      <c r="F49" s="131">
        <f t="array" ref="F49">IFERROR(INDEX(Usage!$B$5:$P$18,MATCH($B49,Usage!$B$5:$B$18,0),MATCH($C49&amp;$D49&amp;$E49&amp;"Total",Usage!$B$5:$S$5&amp;Usage!$B$6:$S$6&amp;Usage!$B$7:$S$7&amp;Usage!$B$13:$S$13,0)),0)</f>
        <v>5200</v>
      </c>
      <c r="G49" s="3" t="s">
        <v>270</v>
      </c>
      <c r="H49" s="128" cm="1">
        <f t="array" ref="H49">IFERROR(INDEX('Detail inputs'!$B$3:$K$195,MATCH($B49&amp;$G49&amp;H$5&amp;$C49,'Detail inputs'!$B$3:$B$195&amp;'Detail inputs'!$G$3:$G$195&amp;'Detail inputs'!$H$3:$H$195&amp;'Detail inputs'!$D$3:$D$195,0),MATCH(H$4,'Detail inputs'!$B$3:$K$3,0)),0)</f>
        <v>142</v>
      </c>
      <c r="I49" s="128"/>
      <c r="J49" s="128">
        <f>IF(AND(H49="",I49=""),"",H49+I49*$F49/1000)</f>
        <v>142</v>
      </c>
      <c r="K49" s="143">
        <f>IFERROR(J49/J53,"")</f>
        <v>0.62215212057483349</v>
      </c>
      <c r="L49" s="129"/>
      <c r="M49" s="143">
        <f>IF(OR(J49=0,Q49=""),"",Q49/J49-1)</f>
        <v>0.31050277872331322</v>
      </c>
      <c r="N49" s="129"/>
      <c r="O49" s="128" cm="1">
        <f t="array" ref="O49">IFERROR(INDEX('Detail inputs'!$B$3:$K$195,MATCH($B49&amp;$G49&amp;O$5&amp;$C49,'Detail inputs'!$B$3:$B$195&amp;'Detail inputs'!$G$3:$G$195&amp;'Detail inputs'!$H$3:$H$195&amp;'Detail inputs'!$D$3:$D$195,0),MATCH(O$4,'Detail inputs'!$B$3:$K$3,0)),0)</f>
        <v>186.09139457871049</v>
      </c>
      <c r="P49" s="128"/>
      <c r="Q49" s="128">
        <f>IF(AND(O49="",P49=""),"",O49+P49*$F49/1000)</f>
        <v>186.09139457871049</v>
      </c>
      <c r="R49" s="143">
        <f>IFERROR(Q49/Q53,"")</f>
        <v>0.62828178075102892</v>
      </c>
      <c r="S49" s="143"/>
      <c r="T49" s="143"/>
      <c r="U49" s="143"/>
      <c r="V49" s="143"/>
      <c r="W49" s="143"/>
      <c r="X49" s="143"/>
      <c r="Y49" s="143"/>
      <c r="Z49" s="143"/>
      <c r="AA49" s="143"/>
      <c r="AB49" s="143"/>
      <c r="AC49" s="143"/>
      <c r="AD49" s="143"/>
      <c r="AE49" s="143"/>
    </row>
    <row r="50" spans="1:31" s="19" customFormat="1" x14ac:dyDescent="0.25">
      <c r="A50" s="3"/>
      <c r="B50" s="55" t="str">
        <f t="shared" ref="B50:D50" si="28">B49</f>
        <v>Endeavour</v>
      </c>
      <c r="C50" s="55" t="str">
        <f t="shared" si="28"/>
        <v>Residential</v>
      </c>
      <c r="D50" s="55" t="str">
        <f t="shared" si="28"/>
        <v>with CL</v>
      </c>
      <c r="E50" s="3" t="s">
        <v>19</v>
      </c>
      <c r="F50" s="131">
        <f t="array" ref="F50">IFERROR(INDEX(Usage!$B$5:$P$18,MATCH($B50,Usage!$B$5:$B$18,0),MATCH($C50&amp;$D50&amp;$E50&amp;"Total",Usage!$B$5:$S$5&amp;Usage!$B$6:$S$6&amp;Usage!$B$7:$S$7&amp;Usage!$B$13:$S$13,0)),0)</f>
        <v>5200</v>
      </c>
      <c r="G50" s="120" t="s">
        <v>277</v>
      </c>
      <c r="H50" s="128" cm="1">
        <f t="array" ref="H50">IFERROR(INDEX('Detail inputs'!$B$3:$K$195,MATCH($B50&amp;$G50&amp;H$5&amp;$C50,'Detail inputs'!$B$3:$B$195&amp;'Detail inputs'!$G$3:$G$195&amp;'Detail inputs'!$H$3:$H$195&amp;'Detail inputs'!$D$3:$D$195,0),MATCH(H$4,'Detail inputs'!$B$3:$K$3,0)),0)</f>
        <v>55.61</v>
      </c>
      <c r="I50" s="128"/>
      <c r="J50" s="128">
        <f>IF(AND(H50="",I50=""),"",H50+I50*$F50/1000)</f>
        <v>55.61</v>
      </c>
      <c r="K50" s="143">
        <f>IFERROR(J50/J53,"")</f>
        <v>0.24364703820539782</v>
      </c>
      <c r="L50" s="129"/>
      <c r="M50" s="143">
        <f>IF(OR(J50=0,Q50=""),"",Q50/J50-1)</f>
        <v>0.30118778691808701</v>
      </c>
      <c r="N50" s="129"/>
      <c r="O50" s="128" cm="1">
        <f t="array" ref="O50">IFERROR(INDEX('Detail inputs'!$B$3:$K$195,MATCH($B50&amp;$G50&amp;O$5,'Detail inputs'!$B$3:$B$195&amp;'Detail inputs'!$G$3:$G$195&amp;'Detail inputs'!$H$3:$H$195,0),MATCH(O$4,'Detail inputs'!$B$3:$K$3,0)),0)</f>
        <v>72.359052830514813</v>
      </c>
      <c r="P50" s="128"/>
      <c r="Q50" s="128">
        <f>IF(AND(O50="",P50=""),"",O50+P50*$F50/1000)</f>
        <v>72.359052830514813</v>
      </c>
      <c r="R50" s="143">
        <f>IFERROR(Q50/Q53,"")</f>
        <v>0.24429863975566457</v>
      </c>
      <c r="S50" s="143"/>
      <c r="T50" s="143"/>
      <c r="U50" s="143"/>
      <c r="V50" s="143"/>
      <c r="W50" s="143"/>
      <c r="X50" s="143"/>
      <c r="Y50" s="143"/>
      <c r="Z50" s="143"/>
      <c r="AA50" s="143"/>
      <c r="AB50" s="143"/>
      <c r="AC50" s="143"/>
      <c r="AD50" s="143"/>
      <c r="AE50" s="143"/>
    </row>
    <row r="51" spans="1:31" s="19" customFormat="1" x14ac:dyDescent="0.25">
      <c r="A51" s="3"/>
      <c r="B51" s="55" t="str">
        <f t="shared" ref="B51:D51" si="29">B50</f>
        <v>Endeavour</v>
      </c>
      <c r="C51" s="55" t="str">
        <f t="shared" si="29"/>
        <v>Residential</v>
      </c>
      <c r="D51" s="55" t="str">
        <f t="shared" si="29"/>
        <v>with CL</v>
      </c>
      <c r="E51" s="3" t="s">
        <v>19</v>
      </c>
      <c r="F51" s="131">
        <f t="array" ref="F51">IFERROR(INDEX(Usage!$B$5:$P$18,MATCH($B51,Usage!$B$5:$B$18,0),MATCH($C51&amp;$D51&amp;$E51&amp;"Total",Usage!$B$5:$S$5&amp;Usage!$B$6:$S$6&amp;Usage!$B$7:$S$7&amp;Usage!$B$13:$S$13,0)),0)</f>
        <v>5200</v>
      </c>
      <c r="G51" s="3" t="s">
        <v>167</v>
      </c>
      <c r="H51" s="128" cm="1">
        <f t="array" ref="H51">IFERROR(INDEX('Detail inputs'!$B$3:$K$195,MATCH($B51&amp;$G51&amp;H$5,'Detail inputs'!$B$3:$B$195&amp;'Detail inputs'!$G$3:$G$195&amp;'Detail inputs'!$H$3:$H$195,0),MATCH(H$4,'Detail inputs'!$B$3:$K$3,0)),0)</f>
        <v>30</v>
      </c>
      <c r="I51" s="128"/>
      <c r="J51" s="128">
        <f>IF(AND(H51="",I51=""),"",H51+I51*$F51/1000)</f>
        <v>30</v>
      </c>
      <c r="K51" s="143">
        <f>IFERROR(J51/J53,"")</f>
        <v>0.13144058885383805</v>
      </c>
      <c r="L51" s="129"/>
      <c r="M51" s="143">
        <f>IF(OR(J51=0,Q51=""),"",Q51/J51-1)</f>
        <v>0.18419177243490248</v>
      </c>
      <c r="N51" s="129"/>
      <c r="O51" s="128" cm="1">
        <f t="array" ref="O51">IFERROR(INDEX('Detail inputs'!$B$3:$K$195,MATCH($B51&amp;$G51&amp;O$5,'Detail inputs'!$B$3:$B$195&amp;'Detail inputs'!$G$3:$G$195&amp;'Detail inputs'!$H$3:$H$195,0),MATCH(O$4,'Detail inputs'!$B$3:$K$3,0)),0)</f>
        <v>35.525753173047072</v>
      </c>
      <c r="P51" s="128"/>
      <c r="Q51" s="128">
        <f>IF(AND(O51="",P51=""),"",O51+P51*$F51/1000)</f>
        <v>35.525753173047072</v>
      </c>
      <c r="R51" s="143">
        <f>IFERROR(Q51/Q53,"")</f>
        <v>0.1199420506069819</v>
      </c>
      <c r="S51" s="143"/>
      <c r="T51" s="143"/>
      <c r="U51" s="143"/>
      <c r="V51" s="143"/>
      <c r="W51" s="143"/>
      <c r="X51" s="143"/>
      <c r="Y51" s="143"/>
      <c r="Z51" s="143"/>
      <c r="AA51" s="143"/>
      <c r="AB51" s="143"/>
      <c r="AC51" s="143"/>
      <c r="AD51" s="143"/>
      <c r="AE51" s="143"/>
    </row>
    <row r="52" spans="1:31" s="19" customFormat="1" x14ac:dyDescent="0.25">
      <c r="B52" s="55" t="str">
        <f t="shared" ref="B52:D52" si="30">B51</f>
        <v>Endeavour</v>
      </c>
      <c r="C52" s="55" t="str">
        <f t="shared" si="30"/>
        <v>Residential</v>
      </c>
      <c r="D52" s="55" t="str">
        <f t="shared" si="30"/>
        <v>with CL</v>
      </c>
      <c r="E52" s="3" t="s">
        <v>19</v>
      </c>
      <c r="F52" s="131">
        <f t="array" ref="F52">IFERROR(INDEX(Usage!$B$5:$P$18,MATCH($B52,Usage!$B$5:$B$18,0),MATCH($C52&amp;$D52&amp;$E52&amp;"Total",Usage!$B$5:$S$5&amp;Usage!$B$6:$S$6&amp;Usage!$B$7:$S$7&amp;Usage!$B$13:$S$13,0)),0)</f>
        <v>5200</v>
      </c>
      <c r="G52" s="3" t="s">
        <v>207</v>
      </c>
      <c r="H52" s="128" cm="1">
        <f t="array" ref="H52">IFERROR(INDEX('Detail inputs'!$B$3:$K$195,MATCH($B52&amp;$G52&amp;H$5,'Detail inputs'!$B$3:$B$195&amp;'Detail inputs'!$G$3:$G$195&amp;'Detail inputs'!$H$3:$H$195,0),MATCH(H$4,'Detail inputs'!$B$3:$K$3,0)),0)</f>
        <v>0.63</v>
      </c>
      <c r="I52" s="128"/>
      <c r="J52" s="128">
        <f>IF(AND(H52="",I52=""),"",H52+I52*$F52/1000)</f>
        <v>0.63</v>
      </c>
      <c r="K52" s="143">
        <f>IFERROR(J52/J53,"")</f>
        <v>2.7602523659305991E-3</v>
      </c>
      <c r="L52" s="129"/>
      <c r="M52" s="143">
        <f>IF(OR(J52=0,Q52=""),0,Q52/J52-1)</f>
        <v>2.5155183931060821</v>
      </c>
      <c r="N52" s="129"/>
      <c r="O52" s="128" cm="1">
        <f t="array" ref="O52">IFERROR(INDEX('Detail inputs'!$B$3:$K$195,MATCH($B52&amp;$G52&amp;O$5&amp;$C52,'Detail inputs'!$B$3:$B$195&amp;'Detail inputs'!$G$3:$G$195&amp;'Detail inputs'!$H$3:$H$195&amp;'Detail inputs'!$D$3:$D$195,0),MATCH(O$4,'Detail inputs'!$B$3:$K$3,0)),0)</f>
        <v>2.2147765876568317</v>
      </c>
      <c r="P52" s="128"/>
      <c r="Q52" s="128">
        <f>IF(AND(O52="",P52=""),"",O52+P52*$F52/1000)</f>
        <v>2.2147765876568317</v>
      </c>
      <c r="R52" s="143">
        <f>IFERROR(Q52/Q53,"")</f>
        <v>7.4775288863245179E-3</v>
      </c>
      <c r="S52" s="143"/>
      <c r="T52" s="143"/>
      <c r="U52" s="143"/>
      <c r="V52" s="143"/>
      <c r="W52" s="143"/>
      <c r="X52" s="143"/>
      <c r="Y52" s="143"/>
      <c r="Z52" s="143"/>
      <c r="AA52" s="143"/>
      <c r="AB52" s="143"/>
      <c r="AC52" s="143"/>
      <c r="AD52" s="143"/>
      <c r="AE52" s="143"/>
    </row>
    <row r="53" spans="1:31" s="19" customFormat="1" x14ac:dyDescent="0.25">
      <c r="A53" s="3"/>
      <c r="B53" s="55" t="str">
        <f t="shared" ref="B53:D53" si="31">B52</f>
        <v>Endeavour</v>
      </c>
      <c r="C53" s="55" t="str">
        <f t="shared" si="31"/>
        <v>Residential</v>
      </c>
      <c r="D53" s="55" t="str">
        <f t="shared" si="31"/>
        <v>with CL</v>
      </c>
      <c r="E53" s="3" t="s">
        <v>19</v>
      </c>
      <c r="F53" s="131">
        <f t="array" ref="F53">IFERROR(INDEX(Usage!$B$5:$P$18,MATCH($B53,Usage!$B$5:$B$18,0),MATCH($C53&amp;$D53&amp;$E53&amp;"Total",Usage!$B$5:$S$5&amp;Usage!$B$6:$S$6&amp;Usage!$B$7:$S$7&amp;Usage!$B$13:$S$13,0)),0)</f>
        <v>5200</v>
      </c>
      <c r="G53" s="5" t="s">
        <v>55</v>
      </c>
      <c r="H53" s="130">
        <f>SUM(H49:H52)</f>
        <v>228.24</v>
      </c>
      <c r="I53" s="130">
        <f>SUM(I49:I52)</f>
        <v>0</v>
      </c>
      <c r="J53" s="130">
        <f>IF(AND(H53="",I53=""),"",H53+I53*$F53/1000)</f>
        <v>228.24</v>
      </c>
      <c r="K53" s="145"/>
      <c r="L53" s="130"/>
      <c r="M53" s="145">
        <f>IF(OR(J53=0,Q53=""),"",Q53/J53-1)</f>
        <v>0.29771721508030669</v>
      </c>
      <c r="N53" s="130"/>
      <c r="O53" s="130">
        <f>SUM(O49:O52)</f>
        <v>296.19097716992923</v>
      </c>
      <c r="P53" s="130">
        <f>SUM(P49:P52)</f>
        <v>0</v>
      </c>
      <c r="Q53" s="130">
        <f>IF(AND(O53="",P53=""),"",O53+P53*$F53/1000)</f>
        <v>296.19097716992923</v>
      </c>
      <c r="R53" s="144"/>
      <c r="S53" s="144"/>
      <c r="T53" s="144"/>
      <c r="U53" s="144"/>
      <c r="V53" s="144"/>
      <c r="W53" s="144"/>
      <c r="X53" s="144"/>
      <c r="Y53" s="144"/>
      <c r="Z53" s="144"/>
      <c r="AA53" s="144"/>
      <c r="AB53" s="144"/>
      <c r="AC53" s="144"/>
      <c r="AD53" s="144"/>
      <c r="AE53" s="144"/>
    </row>
    <row r="54" spans="1:31" s="19" customFormat="1" x14ac:dyDescent="0.25">
      <c r="A54" s="3"/>
      <c r="B54" s="55" t="str">
        <f t="shared" ref="B54:D54" si="32">B53</f>
        <v>Endeavour</v>
      </c>
      <c r="C54" s="55" t="str">
        <f t="shared" si="32"/>
        <v>Residential</v>
      </c>
      <c r="D54" s="55" t="str">
        <f t="shared" si="32"/>
        <v>with CL</v>
      </c>
      <c r="E54" s="3" t="s">
        <v>19</v>
      </c>
      <c r="F54" s="131">
        <f t="array" ref="F54">IFERROR(INDEX(Usage!$B$5:$P$18,MATCH($B54,Usage!$B$5:$B$18,0),MATCH($C54&amp;$D54&amp;$E54&amp;"Total",Usage!$B$5:$S$5&amp;Usage!$B$6:$S$6&amp;Usage!$B$7:$S$7&amp;Usage!$B$13:$S$13,0)),0)</f>
        <v>5200</v>
      </c>
      <c r="G54" s="3" t="s">
        <v>170</v>
      </c>
      <c r="H54" s="128">
        <f>H53*CPIPY</f>
        <v>16.254339840000039</v>
      </c>
      <c r="I54" s="128"/>
      <c r="J54" s="128">
        <f>J53*CPIPY</f>
        <v>16.254339840000039</v>
      </c>
      <c r="K54" s="144"/>
      <c r="L54" s="128"/>
      <c r="M54" s="144">
        <f>IF(OR(J54=0,Q54=""),"",Q54/J54-1)</f>
        <v>3.4441851068283569E-2</v>
      </c>
      <c r="N54" s="128"/>
      <c r="O54" s="128"/>
      <c r="P54" s="128"/>
      <c r="Q54" s="128">
        <f>Q53*CPI</f>
        <v>16.814169391982588</v>
      </c>
      <c r="R54" s="144"/>
      <c r="S54" s="144"/>
      <c r="T54" s="144"/>
      <c r="U54" s="144"/>
      <c r="V54" s="144"/>
      <c r="W54" s="144"/>
      <c r="X54" s="144"/>
      <c r="Y54" s="144"/>
      <c r="Z54" s="144"/>
      <c r="AA54" s="144"/>
      <c r="AB54" s="144"/>
      <c r="AC54" s="144"/>
      <c r="AD54" s="144"/>
      <c r="AE54" s="144"/>
    </row>
    <row r="55" spans="1:31" s="19" customFormat="1" x14ac:dyDescent="0.25">
      <c r="A55" s="3"/>
      <c r="B55" s="55" t="str">
        <f t="shared" ref="B55:D55" si="33">B54</f>
        <v>Endeavour</v>
      </c>
      <c r="C55" s="55" t="str">
        <f t="shared" si="33"/>
        <v>Residential</v>
      </c>
      <c r="D55" s="55" t="str">
        <f t="shared" si="33"/>
        <v>with CL</v>
      </c>
      <c r="E55" s="3"/>
      <c r="F55" s="131"/>
      <c r="G55" s="3" t="s">
        <v>38</v>
      </c>
      <c r="H55" s="128"/>
      <c r="I55" s="128"/>
      <c r="J55" s="128">
        <f>SUM(J53,J54)*GST</f>
        <v>24.449433984000006</v>
      </c>
      <c r="K55" s="144"/>
      <c r="L55" s="128"/>
      <c r="M55" s="143">
        <f>IF(OR(J55=0,Q55=""),0,Q55/J55-1)</f>
        <v>0.28021428539714277</v>
      </c>
      <c r="N55" s="128"/>
      <c r="O55" s="128"/>
      <c r="P55" s="128"/>
      <c r="Q55" s="128">
        <f>SUM(Q53,Q54)*GST</f>
        <v>31.300514656191183</v>
      </c>
      <c r="R55" s="145"/>
      <c r="S55" s="145"/>
      <c r="T55" s="145"/>
      <c r="U55" s="145"/>
      <c r="V55" s="145"/>
      <c r="W55" s="145"/>
      <c r="X55" s="145"/>
      <c r="Y55" s="145"/>
      <c r="Z55" s="145"/>
      <c r="AA55" s="145"/>
      <c r="AB55" s="145"/>
      <c r="AC55" s="145"/>
      <c r="AD55" s="145"/>
      <c r="AE55" s="145"/>
    </row>
    <row r="56" spans="1:31" x14ac:dyDescent="0.25">
      <c r="B56" s="55" t="str">
        <f t="shared" ref="B56:D56" si="34">B55</f>
        <v>Endeavour</v>
      </c>
      <c r="C56" s="55" t="str">
        <f t="shared" si="34"/>
        <v>Residential</v>
      </c>
      <c r="D56" s="55" t="str">
        <f t="shared" si="34"/>
        <v>with CL</v>
      </c>
      <c r="F56" s="131"/>
      <c r="G56" s="5" t="s">
        <v>80</v>
      </c>
      <c r="H56" s="130"/>
      <c r="I56" s="130"/>
      <c r="J56" s="130">
        <f>SUM(J53:J55)</f>
        <v>268.94377382400006</v>
      </c>
      <c r="K56" s="145"/>
      <c r="L56" s="130"/>
      <c r="M56" s="145">
        <f>IF(OR(J56=0,Q56=""),"",Q56/J56-1)</f>
        <v>0.28021428539714277</v>
      </c>
      <c r="N56" s="130"/>
      <c r="O56" s="130"/>
      <c r="P56" s="130"/>
      <c r="Q56" s="130">
        <f>SUM(Q53:Q55)</f>
        <v>344.30566121810301</v>
      </c>
      <c r="R56" s="145"/>
      <c r="S56" s="145"/>
      <c r="T56" s="145"/>
      <c r="U56" s="145"/>
      <c r="V56" s="145"/>
      <c r="W56" s="145"/>
      <c r="X56" s="145"/>
      <c r="Y56" s="145"/>
      <c r="Z56" s="145"/>
      <c r="AA56" s="145"/>
      <c r="AB56" s="145"/>
      <c r="AC56" s="145"/>
      <c r="AD56" s="145"/>
      <c r="AE56" s="145"/>
    </row>
    <row r="57" spans="1:31" x14ac:dyDescent="0.25">
      <c r="B57" s="3" t="str">
        <f t="shared" ref="B57:D57" si="35">B56</f>
        <v>Endeavour</v>
      </c>
      <c r="C57" s="3" t="str">
        <f t="shared" si="35"/>
        <v>Residential</v>
      </c>
      <c r="D57" s="3" t="str">
        <f t="shared" si="35"/>
        <v>with CL</v>
      </c>
      <c r="F57" s="131"/>
      <c r="H57" s="128"/>
      <c r="I57" s="128"/>
      <c r="J57" s="128"/>
      <c r="K57" s="143"/>
      <c r="L57" s="128"/>
      <c r="M57" s="143"/>
      <c r="N57" s="128"/>
      <c r="O57" s="128"/>
      <c r="P57" s="128"/>
      <c r="Q57" s="128"/>
      <c r="R57" s="143"/>
      <c r="S57" s="143"/>
      <c r="T57" s="143"/>
      <c r="U57" s="143"/>
      <c r="V57" s="143"/>
      <c r="W57" s="143"/>
      <c r="X57" s="143"/>
      <c r="Y57" s="143"/>
      <c r="Z57" s="143"/>
      <c r="AA57" s="143"/>
      <c r="AB57" s="143"/>
      <c r="AC57" s="143"/>
      <c r="AD57" s="143"/>
      <c r="AE57" s="143"/>
    </row>
    <row r="58" spans="1:31" x14ac:dyDescent="0.25">
      <c r="B58" s="5" t="s">
        <v>4</v>
      </c>
      <c r="C58" s="5" t="s">
        <v>13</v>
      </c>
      <c r="D58" s="5" t="s">
        <v>127</v>
      </c>
      <c r="F58" s="131"/>
      <c r="H58" s="128"/>
      <c r="I58" s="128"/>
      <c r="J58" s="128"/>
      <c r="K58" s="143"/>
      <c r="L58" s="128"/>
      <c r="M58" s="143"/>
      <c r="N58" s="128"/>
      <c r="O58" s="128"/>
      <c r="P58" s="128"/>
      <c r="Q58" s="128"/>
      <c r="R58" s="143"/>
      <c r="S58" s="143"/>
      <c r="T58" s="143"/>
      <c r="U58" s="143"/>
      <c r="V58" s="143"/>
      <c r="W58" s="143"/>
      <c r="X58" s="143"/>
      <c r="Y58" s="143"/>
      <c r="Z58" s="143"/>
      <c r="AA58" s="143"/>
      <c r="AB58" s="143"/>
      <c r="AC58" s="143"/>
      <c r="AD58" s="143"/>
      <c r="AE58" s="143"/>
    </row>
    <row r="59" spans="1:31" s="19" customFormat="1" x14ac:dyDescent="0.25">
      <c r="A59" s="3"/>
      <c r="B59" s="3" t="str">
        <f t="shared" ref="B59:D59" si="36">B58</f>
        <v>Endeavour</v>
      </c>
      <c r="C59" s="3" t="str">
        <f t="shared" si="36"/>
        <v>Small business</v>
      </c>
      <c r="D59" s="3" t="str">
        <f t="shared" si="36"/>
        <v>without CL</v>
      </c>
      <c r="E59" s="3" t="s">
        <v>19</v>
      </c>
      <c r="F59" s="131">
        <f t="array" ref="F59">IFERROR(INDEX(Usage!$B$5:$P$18,MATCH($B59,Usage!$B$5:$B$18,0),MATCH($C59&amp;$D59&amp;$E59&amp;"Total",Usage!$B$5:$S$5&amp;Usage!$B$6:$S$6&amp;Usage!$B$7:$S$7&amp;Usage!$B$13:$S$13,0)),0)</f>
        <v>10000</v>
      </c>
      <c r="G59" s="3" t="s">
        <v>270</v>
      </c>
      <c r="H59" s="128" cm="1">
        <f t="array" ref="H59">IFERROR(INDEX('Detail inputs'!$B$3:$K$195,MATCH($B59&amp;$G59&amp;H$5&amp;$C59,'Detail inputs'!$B$3:$B$195&amp;'Detail inputs'!$G$3:$G$195&amp;'Detail inputs'!$H$3:$H$195&amp;'Detail inputs'!$D$3:$D$195,0),MATCH(H$4,'Detail inputs'!$B$3:$K$3,0)),0)</f>
        <v>183</v>
      </c>
      <c r="I59" s="128"/>
      <c r="J59" s="128">
        <f>IF(AND(H59="",I59=""),"",H59+I59*$F59/1000)</f>
        <v>183</v>
      </c>
      <c r="K59" s="143">
        <f>IFERROR(J59/J63,"")</f>
        <v>0.63486556808326111</v>
      </c>
      <c r="L59" s="129"/>
      <c r="M59" s="143">
        <f>IF(OR(J59=0,Q59=""),"",Q59/J59-1)</f>
        <v>0.37954202038147322</v>
      </c>
      <c r="N59" s="129"/>
      <c r="O59" s="128" cm="1">
        <f t="array" ref="O59">IFERROR(INDEX('Detail inputs'!$B$3:$K$195,MATCH($B59&amp;$G59&amp;O$5&amp;$C59,'Detail inputs'!$B$3:$B$195&amp;'Detail inputs'!$G$3:$G$195&amp;'Detail inputs'!$H$3:$H$195&amp;'Detail inputs'!$D$3:$D$195,0),MATCH(O$4,'Detail inputs'!$B$3:$K$3,0)),0)</f>
        <v>252.45618972980961</v>
      </c>
      <c r="P59" s="128"/>
      <c r="Q59" s="128">
        <f>IF(AND(O59="",P59=""),"",O59+P59*$F59/1000)</f>
        <v>252.45618972980961</v>
      </c>
      <c r="R59" s="143">
        <f>IFERROR(Q59/Q63,"")</f>
        <v>0.64898970739660644</v>
      </c>
      <c r="S59" s="143"/>
      <c r="T59" s="143"/>
      <c r="U59" s="143"/>
      <c r="V59" s="143"/>
      <c r="W59" s="143"/>
      <c r="X59" s="143"/>
      <c r="Y59" s="143"/>
      <c r="Z59" s="143"/>
      <c r="AA59" s="143"/>
      <c r="AB59" s="143"/>
      <c r="AC59" s="143"/>
      <c r="AD59" s="143"/>
      <c r="AE59" s="143"/>
    </row>
    <row r="60" spans="1:31" s="19" customFormat="1" x14ac:dyDescent="0.25">
      <c r="A60" s="3"/>
      <c r="B60" s="3" t="str">
        <f t="shared" ref="B60:D60" si="37">B59</f>
        <v>Endeavour</v>
      </c>
      <c r="C60" s="3" t="str">
        <f t="shared" si="37"/>
        <v>Small business</v>
      </c>
      <c r="D60" s="3" t="str">
        <f t="shared" si="37"/>
        <v>without CL</v>
      </c>
      <c r="E60" s="3" t="s">
        <v>19</v>
      </c>
      <c r="F60" s="131">
        <f t="array" ref="F60">IFERROR(INDEX(Usage!$B$5:$P$18,MATCH($B60,Usage!$B$5:$B$18,0),MATCH($C60&amp;$D60&amp;$E60&amp;"Total",Usage!$B$5:$S$5&amp;Usage!$B$6:$S$6&amp;Usage!$B$7:$S$7&amp;Usage!$B$13:$S$13,0)),0)</f>
        <v>10000</v>
      </c>
      <c r="G60" s="120" t="s">
        <v>277</v>
      </c>
      <c r="H60" s="128" cm="1">
        <f t="array" ref="H60">IFERROR(INDEX('Detail inputs'!$B$3:$K$195,MATCH($B60&amp;$G60&amp;H$5&amp;$C60,'Detail inputs'!$B$3:$B$195&amp;'Detail inputs'!$G$3:$G$195&amp;'Detail inputs'!$H$3:$H$195&amp;'Detail inputs'!$D$3:$D$195,0),MATCH(H$4,'Detail inputs'!$B$3:$K$3,0)),0)</f>
        <v>39.76</v>
      </c>
      <c r="I60" s="128"/>
      <c r="J60" s="128">
        <f>IF(AND(H60="",I60=""),"",H60+I60*$F60/1000)</f>
        <v>39.76</v>
      </c>
      <c r="K60" s="143">
        <f>IFERROR(J60/J63,"")</f>
        <v>0.13793581960104076</v>
      </c>
      <c r="L60" s="129"/>
      <c r="M60" s="143">
        <f>IF(OR(J60=0,Q60=""),"",Q60/J60-1)</f>
        <v>0.31534587100739264</v>
      </c>
      <c r="N60" s="129"/>
      <c r="O60" s="128" cm="1">
        <f t="array" ref="O60">IFERROR(INDEX('Detail inputs'!$B$3:$K$195,MATCH($B60&amp;$G60&amp;O$5&amp;$C60,'Detail inputs'!$B$3:$B$195&amp;'Detail inputs'!$G$3:$G$195&amp;'Detail inputs'!$H$3:$H$195&amp;'Detail inputs'!$D$3:$D$195,0),MATCH(O$4,'Detail inputs'!$B$3:$K$3,0)),0)</f>
        <v>52.298151831253932</v>
      </c>
      <c r="P60" s="128"/>
      <c r="Q60" s="128">
        <f>IF(AND(O60="",P60=""),"",O60+P60*$F60/1000)</f>
        <v>52.298151831253932</v>
      </c>
      <c r="R60" s="143">
        <f>IFERROR(Q60/Q63,"")</f>
        <v>0.13444297915877598</v>
      </c>
      <c r="S60" s="143"/>
      <c r="T60" s="143"/>
      <c r="U60" s="143"/>
      <c r="V60" s="143"/>
      <c r="W60" s="143"/>
      <c r="X60" s="143"/>
      <c r="Y60" s="143"/>
      <c r="Z60" s="143"/>
      <c r="AA60" s="143"/>
      <c r="AB60" s="143"/>
      <c r="AC60" s="143"/>
      <c r="AD60" s="143"/>
      <c r="AE60" s="143"/>
    </row>
    <row r="61" spans="1:31" s="19" customFormat="1" x14ac:dyDescent="0.25">
      <c r="A61" s="3"/>
      <c r="B61" s="3" t="str">
        <f t="shared" ref="B61:D62" si="38">B60</f>
        <v>Endeavour</v>
      </c>
      <c r="C61" s="3" t="str">
        <f t="shared" si="38"/>
        <v>Small business</v>
      </c>
      <c r="D61" s="3" t="str">
        <f t="shared" si="38"/>
        <v>without CL</v>
      </c>
      <c r="E61" s="3" t="s">
        <v>19</v>
      </c>
      <c r="F61" s="131">
        <f t="array" ref="F61">IFERROR(INDEX(Usage!$B$5:$P$18,MATCH($B61,Usage!$B$5:$B$18,0),MATCH($C61&amp;$D61&amp;$E61&amp;"Total",Usage!$B$5:$S$5&amp;Usage!$B$6:$S$6&amp;Usage!$B$7:$S$7&amp;Usage!$B$13:$S$13,0)),0)</f>
        <v>10000</v>
      </c>
      <c r="G61" s="3" t="s">
        <v>167</v>
      </c>
      <c r="H61" s="128" cm="1">
        <f t="array" ref="H61">IFERROR(INDEX('Detail inputs'!$B$3:$K$195,MATCH($B61&amp;$G61&amp;H$5&amp;$C61,'Detail inputs'!$B$3:$B$195&amp;'Detail inputs'!$G$3:$G$195&amp;'Detail inputs'!$H$3:$H$195&amp;'Detail inputs'!$D$3:$D$195,0),MATCH(H$4,'Detail inputs'!$B$3:$K$3,0)),0)</f>
        <v>65</v>
      </c>
      <c r="I61" s="128"/>
      <c r="J61" s="128">
        <f>IF(AND(H61="",I61=""),"",H61+I61*$F61/1000)</f>
        <v>65</v>
      </c>
      <c r="K61" s="143">
        <f>IFERROR(J61/J63,"")</f>
        <v>0.22549869904596703</v>
      </c>
      <c r="L61" s="129"/>
      <c r="M61" s="143">
        <f>IF(OR(J61=0,Q61=""),"",Q61/J61-1)</f>
        <v>0.23823267168747408</v>
      </c>
      <c r="N61" s="129"/>
      <c r="O61" s="128" cm="1">
        <f t="array" ref="O61">IFERROR(INDEX('Detail inputs'!$B$3:$K$195,MATCH($B61&amp;$G61&amp;O$5&amp;$C61,'Detail inputs'!$B$3:$B$195&amp;'Detail inputs'!$G$3:$G$195&amp;'Detail inputs'!$H$3:$H$195&amp;'Detail inputs'!$D$3:$D$195,0),MATCH(O$4,'Detail inputs'!$B$3:$K$3,0)),0)</f>
        <v>80.485123659685812</v>
      </c>
      <c r="P61" s="128"/>
      <c r="Q61" s="128">
        <f>IF(AND(O61="",P61=""),"",O61+P61*$F61/1000)</f>
        <v>80.485123659685812</v>
      </c>
      <c r="R61" s="143">
        <f>IFERROR(Q61/Q63,"")</f>
        <v>0.20690329244682992</v>
      </c>
      <c r="S61" s="143"/>
      <c r="T61" s="143"/>
      <c r="U61" s="143"/>
      <c r="V61" s="143"/>
      <c r="W61" s="143"/>
      <c r="X61" s="143"/>
      <c r="Y61" s="143"/>
      <c r="Z61" s="143"/>
      <c r="AA61" s="143"/>
      <c r="AB61" s="143"/>
      <c r="AC61" s="143"/>
      <c r="AD61" s="143"/>
      <c r="AE61" s="143"/>
    </row>
    <row r="62" spans="1:31" s="19" customFormat="1" x14ac:dyDescent="0.25">
      <c r="B62" s="3" t="str">
        <f t="shared" si="38"/>
        <v>Endeavour</v>
      </c>
      <c r="C62" s="3" t="str">
        <f t="shared" si="38"/>
        <v>Small business</v>
      </c>
      <c r="D62" s="3" t="str">
        <f t="shared" si="38"/>
        <v>without CL</v>
      </c>
      <c r="E62" s="3" t="s">
        <v>19</v>
      </c>
      <c r="F62" s="131">
        <f t="array" ref="F62">IFERROR(INDEX(Usage!$B$5:$P$18,MATCH($B62,Usage!$B$5:$B$18,0),MATCH($C62&amp;$D62&amp;$E62&amp;"Total",Usage!$B$5:$S$5&amp;Usage!$B$6:$S$6&amp;Usage!$B$7:$S$7&amp;Usage!$B$13:$S$13,0)),0)</f>
        <v>10000</v>
      </c>
      <c r="G62" s="3" t="s">
        <v>207</v>
      </c>
      <c r="H62" s="128" cm="1">
        <f t="array" ref="H62">IFERROR(INDEX('Detail inputs'!$B$3:$K$195,MATCH($B62&amp;$G62&amp;H$5&amp;$C62,'Detail inputs'!$B$3:$B$195&amp;'Detail inputs'!$G$3:$G$195&amp;'Detail inputs'!$H$3:$H$195&amp;'Detail inputs'!$D$3:$D$195,0),MATCH(H$4,'Detail inputs'!$B$3:$K$3,0)),0)</f>
        <v>0.49</v>
      </c>
      <c r="I62" s="128"/>
      <c r="J62" s="128">
        <f>IF(AND(H62="",I62=""),"",H62+I62*$F62/1000)</f>
        <v>0.49</v>
      </c>
      <c r="K62" s="143">
        <f>IFERROR(J62/J63,"")</f>
        <v>1.6999132697311362E-3</v>
      </c>
      <c r="L62" s="129"/>
      <c r="M62" s="143">
        <f>IF(OR(J62=0,Q62=""),0,Q62/J62-1)</f>
        <v>6.672024815174332</v>
      </c>
      <c r="N62" s="129"/>
      <c r="O62" s="128" cm="1">
        <f t="array" ref="O62">IFERROR(INDEX('Detail inputs'!$B$3:$K$195,MATCH($B62&amp;$G62&amp;O$5&amp;$C62,'Detail inputs'!$B$3:$B$195&amp;'Detail inputs'!$G$3:$G$195&amp;'Detail inputs'!$H$3:$H$195&amp;'Detail inputs'!$D$3:$D$195,0),MATCH(O$4,'Detail inputs'!$B$3:$K$3,0)),0)</f>
        <v>3.7592921594354225</v>
      </c>
      <c r="P62" s="128"/>
      <c r="Q62" s="128">
        <f>IF(AND(O62="",P62=""),"",O62+P62*$F62/1000)</f>
        <v>3.7592921594354225</v>
      </c>
      <c r="R62" s="128"/>
      <c r="S62" s="128"/>
      <c r="T62" s="128"/>
      <c r="U62" s="128"/>
      <c r="V62" s="128"/>
      <c r="W62" s="128"/>
      <c r="X62" s="128"/>
      <c r="Y62" s="128"/>
      <c r="Z62" s="128"/>
      <c r="AA62" s="128"/>
      <c r="AB62" s="128"/>
      <c r="AC62" s="128"/>
      <c r="AD62" s="128"/>
      <c r="AE62" s="128"/>
    </row>
    <row r="63" spans="1:31" s="19" customFormat="1" x14ac:dyDescent="0.25">
      <c r="A63" s="3"/>
      <c r="B63" s="3" t="str">
        <f t="shared" ref="B63:D63" si="39">B62</f>
        <v>Endeavour</v>
      </c>
      <c r="C63" s="3" t="str">
        <f t="shared" si="39"/>
        <v>Small business</v>
      </c>
      <c r="D63" s="3" t="str">
        <f t="shared" si="39"/>
        <v>without CL</v>
      </c>
      <c r="E63" s="3" t="s">
        <v>19</v>
      </c>
      <c r="F63" s="131">
        <f t="array" ref="F63">IFERROR(INDEX(Usage!$B$5:$P$18,MATCH($B63,Usage!$B$5:$B$18,0),MATCH($C63&amp;$D63&amp;$E63&amp;"Total",Usage!$B$5:$S$5&amp;Usage!$B$6:$S$6&amp;Usage!$B$7:$S$7&amp;Usage!$B$13:$S$13,0)),0)</f>
        <v>10000</v>
      </c>
      <c r="G63" s="5" t="s">
        <v>55</v>
      </c>
      <c r="H63" s="130">
        <f>SUM(H59:H62)</f>
        <v>288.25</v>
      </c>
      <c r="I63" s="130">
        <f>SUM(I59:I62)</f>
        <v>0</v>
      </c>
      <c r="J63" s="130">
        <f>IF(AND(H63="",I63=""),"",H63+I63*$F63/1000)</f>
        <v>288.25</v>
      </c>
      <c r="K63" s="145"/>
      <c r="L63" s="130"/>
      <c r="M63" s="145">
        <f>IF(OR(J63=0,Q63=""),"",Q63/J63-1)</f>
        <v>0.34951867261122205</v>
      </c>
      <c r="N63" s="130"/>
      <c r="O63" s="130">
        <f>SUM(O59:O62)</f>
        <v>388.99875738018477</v>
      </c>
      <c r="P63" s="130">
        <f>SUM(P59:P62)</f>
        <v>0</v>
      </c>
      <c r="Q63" s="130">
        <f>IF(AND(O63="",P63=""),"",O63+P63*$F63/1000)</f>
        <v>388.99875738018477</v>
      </c>
      <c r="R63" s="144"/>
      <c r="S63" s="144"/>
      <c r="T63" s="144"/>
      <c r="U63" s="144"/>
      <c r="V63" s="144"/>
      <c r="W63" s="144"/>
      <c r="X63" s="144"/>
      <c r="Y63" s="144"/>
      <c r="Z63" s="144"/>
      <c r="AA63" s="144"/>
      <c r="AB63" s="144"/>
      <c r="AC63" s="144"/>
      <c r="AD63" s="144"/>
      <c r="AE63" s="144"/>
    </row>
    <row r="64" spans="1:31" x14ac:dyDescent="0.25">
      <c r="B64" s="3" t="str">
        <f t="shared" ref="B64:D64" si="40">B63</f>
        <v>Endeavour</v>
      </c>
      <c r="C64" s="3" t="str">
        <f t="shared" si="40"/>
        <v>Small business</v>
      </c>
      <c r="D64" s="3" t="str">
        <f t="shared" si="40"/>
        <v>without CL</v>
      </c>
      <c r="E64" s="3" t="s">
        <v>19</v>
      </c>
      <c r="F64" s="131">
        <f t="array" ref="F64">IFERROR(INDEX(Usage!$B$5:$P$18,MATCH($B64,Usage!$B$5:$B$18,0),MATCH($C64&amp;$D64&amp;$E64&amp;"Total",Usage!$B$5:$S$5&amp;Usage!$B$6:$S$6&amp;Usage!$B$7:$S$7&amp;Usage!$B$13:$S$13,0)),0)</f>
        <v>10000</v>
      </c>
      <c r="G64" s="3" t="s">
        <v>170</v>
      </c>
      <c r="H64" s="128">
        <f>H63*CPIPY</f>
        <v>20.52801200000005</v>
      </c>
      <c r="I64" s="128"/>
      <c r="J64" s="128">
        <f>J63*CPIPY</f>
        <v>20.52801200000005</v>
      </c>
      <c r="K64" s="144"/>
      <c r="L64" s="128"/>
      <c r="M64" s="144">
        <f>IF(OR(J64=0,Q64=""),"",Q64/J64-1)</f>
        <v>7.5734048623818717E-2</v>
      </c>
      <c r="N64" s="128"/>
      <c r="O64" s="128">
        <f>O63*CPI</f>
        <v>22.082681458958387</v>
      </c>
      <c r="P64" s="128"/>
      <c r="Q64" s="128">
        <f>Q63*CPI</f>
        <v>22.082681458958387</v>
      </c>
      <c r="R64" s="144"/>
      <c r="S64" s="144"/>
      <c r="T64" s="144"/>
      <c r="U64" s="144"/>
      <c r="V64" s="144"/>
      <c r="W64" s="144"/>
      <c r="X64" s="144"/>
      <c r="Y64" s="144"/>
      <c r="Z64" s="144"/>
      <c r="AA64" s="144"/>
      <c r="AB64" s="144"/>
      <c r="AC64" s="144"/>
      <c r="AD64" s="144"/>
      <c r="AE64" s="144"/>
    </row>
    <row r="65" spans="1:31" x14ac:dyDescent="0.25">
      <c r="B65" s="3" t="str">
        <f t="shared" ref="B65:D65" si="41">B64</f>
        <v>Endeavour</v>
      </c>
      <c r="C65" s="3" t="str">
        <f t="shared" si="41"/>
        <v>Small business</v>
      </c>
      <c r="D65" s="3" t="str">
        <f t="shared" si="41"/>
        <v>without CL</v>
      </c>
      <c r="F65" s="131"/>
      <c r="G65" s="3" t="s">
        <v>38</v>
      </c>
      <c r="H65" s="128"/>
      <c r="I65" s="128"/>
      <c r="J65" s="128">
        <f>SUM(J63,J64)*GST</f>
        <v>30.877801200000007</v>
      </c>
      <c r="K65" s="144"/>
      <c r="L65" s="128"/>
      <c r="M65" s="143">
        <f>IF(OR(J65=0,Q65=""),0,Q65/J65-1)</f>
        <v>0.33131707201723648</v>
      </c>
      <c r="N65" s="128"/>
      <c r="O65" s="128"/>
      <c r="P65" s="128"/>
      <c r="Q65" s="128">
        <f>SUM(Q63,Q64)*GST</f>
        <v>41.108143883914323</v>
      </c>
      <c r="R65" s="145"/>
      <c r="S65" s="145"/>
      <c r="T65" s="145"/>
      <c r="U65" s="145"/>
      <c r="V65" s="145"/>
      <c r="W65" s="145"/>
      <c r="X65" s="145"/>
      <c r="Y65" s="145"/>
      <c r="Z65" s="145"/>
      <c r="AA65" s="145"/>
      <c r="AB65" s="145"/>
      <c r="AC65" s="145"/>
      <c r="AD65" s="145"/>
      <c r="AE65" s="145"/>
    </row>
    <row r="66" spans="1:31" x14ac:dyDescent="0.25">
      <c r="B66" s="3" t="str">
        <f t="shared" ref="B66:D66" si="42">B65</f>
        <v>Endeavour</v>
      </c>
      <c r="C66" s="3" t="str">
        <f t="shared" si="42"/>
        <v>Small business</v>
      </c>
      <c r="D66" s="3" t="str">
        <f t="shared" si="42"/>
        <v>without CL</v>
      </c>
      <c r="F66" s="131"/>
      <c r="G66" s="5" t="s">
        <v>80</v>
      </c>
      <c r="H66" s="130"/>
      <c r="I66" s="130"/>
      <c r="J66" s="130">
        <f>SUM(J63:J65)</f>
        <v>339.65581320000007</v>
      </c>
      <c r="K66" s="145"/>
      <c r="L66" s="130"/>
      <c r="M66" s="145">
        <f>IF(OR(J66=0,Q66=""),"",Q66/J66-1)</f>
        <v>0.33131707201723626</v>
      </c>
      <c r="N66" s="130"/>
      <c r="O66" s="130"/>
      <c r="P66" s="130"/>
      <c r="Q66" s="130">
        <f>SUM(Q63:Q65)</f>
        <v>452.18958272305747</v>
      </c>
      <c r="R66" s="145"/>
      <c r="S66" s="145"/>
      <c r="T66" s="145"/>
      <c r="U66" s="145"/>
      <c r="V66" s="145"/>
      <c r="W66" s="145"/>
      <c r="X66" s="145"/>
      <c r="Y66" s="145"/>
      <c r="Z66" s="145"/>
      <c r="AA66" s="145"/>
      <c r="AB66" s="145"/>
      <c r="AC66" s="145"/>
      <c r="AD66" s="145"/>
      <c r="AE66" s="145"/>
    </row>
    <row r="67" spans="1:31" x14ac:dyDescent="0.25">
      <c r="B67" s="3" t="str">
        <f t="shared" ref="B67:D67" si="43">B66</f>
        <v>Endeavour</v>
      </c>
      <c r="C67" s="3" t="str">
        <f t="shared" si="43"/>
        <v>Small business</v>
      </c>
      <c r="D67" s="3" t="str">
        <f t="shared" si="43"/>
        <v>without CL</v>
      </c>
      <c r="F67" s="131"/>
      <c r="H67" s="128"/>
      <c r="I67" s="128"/>
      <c r="J67" s="128"/>
      <c r="K67" s="143"/>
      <c r="L67" s="128"/>
      <c r="M67" s="143"/>
      <c r="N67" s="128"/>
      <c r="O67" s="128"/>
      <c r="P67" s="128"/>
      <c r="Q67" s="128"/>
      <c r="R67" s="143"/>
      <c r="S67" s="143"/>
      <c r="T67" s="143"/>
      <c r="U67" s="143"/>
      <c r="V67" s="143"/>
      <c r="W67" s="143"/>
      <c r="X67" s="143"/>
      <c r="Y67" s="143"/>
      <c r="Z67" s="143"/>
      <c r="AA67" s="143"/>
      <c r="AB67" s="143"/>
      <c r="AC67" s="143"/>
      <c r="AD67" s="143"/>
      <c r="AE67" s="143"/>
    </row>
    <row r="68" spans="1:31" s="19" customFormat="1" x14ac:dyDescent="0.25">
      <c r="A68" s="3"/>
      <c r="B68" s="5" t="s">
        <v>3</v>
      </c>
      <c r="C68" s="5" t="s">
        <v>6</v>
      </c>
      <c r="D68" s="5" t="s">
        <v>127</v>
      </c>
      <c r="E68" s="3"/>
      <c r="F68" s="131"/>
      <c r="G68" s="3"/>
      <c r="H68" s="128"/>
      <c r="I68" s="128"/>
      <c r="J68" s="128"/>
      <c r="K68" s="143"/>
      <c r="L68" s="129"/>
      <c r="M68" s="143"/>
      <c r="N68" s="129"/>
      <c r="O68" s="128"/>
      <c r="P68" s="128"/>
      <c r="Q68" s="128"/>
      <c r="R68" s="143"/>
      <c r="S68" s="143"/>
      <c r="T68" s="143"/>
      <c r="U68" s="143"/>
      <c r="V68" s="143"/>
      <c r="W68" s="143"/>
      <c r="X68" s="143"/>
      <c r="Y68" s="143"/>
      <c r="Z68" s="143"/>
      <c r="AA68" s="143"/>
      <c r="AB68" s="143"/>
      <c r="AC68" s="143"/>
      <c r="AD68" s="143"/>
      <c r="AE68" s="143"/>
    </row>
    <row r="69" spans="1:31" s="19" customFormat="1" x14ac:dyDescent="0.25">
      <c r="A69" s="3"/>
      <c r="B69" s="3" t="str">
        <f t="shared" ref="B69:D69" si="44">B68</f>
        <v>Essential</v>
      </c>
      <c r="C69" s="3" t="str">
        <f t="shared" si="44"/>
        <v>Residential</v>
      </c>
      <c r="D69" s="3" t="str">
        <f t="shared" si="44"/>
        <v>without CL</v>
      </c>
      <c r="E69" s="3" t="s">
        <v>19</v>
      </c>
      <c r="F69" s="131">
        <f t="array" ref="F69">IFERROR(INDEX(Usage!$B$5:$P$18,MATCH($B69,Usage!$B$5:$B$18,0),MATCH($C69&amp;$D69&amp;$E69&amp;"Total",Usage!$B$5:$S$5&amp;Usage!$B$6:$S$6&amp;Usage!$B$7:$S$7&amp;Usage!$B$13:$S$13,0)),0)</f>
        <v>4600</v>
      </c>
      <c r="G69" s="3" t="s">
        <v>270</v>
      </c>
      <c r="H69" s="128" cm="1">
        <f t="array" ref="H69">IFERROR(INDEX('Detail inputs'!$B$3:$K$195,MATCH($B69&amp;$G69&amp;H$5&amp;$C69,'Detail inputs'!$B$3:$B$195&amp;'Detail inputs'!$G$3:$G$195&amp;'Detail inputs'!$H$3:$H$195&amp;'Detail inputs'!$D$3:$D$195,0),MATCH(H$4,'Detail inputs'!$B$3:$K$3,0)),0)</f>
        <v>142</v>
      </c>
      <c r="I69" s="128"/>
      <c r="J69" s="128">
        <f>IF(AND(H69="",I69=""),"",H69+I69*$F69/1000)</f>
        <v>142</v>
      </c>
      <c r="K69" s="143">
        <f>IFERROR(J69/J73,"")</f>
        <v>0.61965438994588939</v>
      </c>
      <c r="L69" s="129"/>
      <c r="M69" s="143">
        <f>IF(OR(J69=0,Q69=""),"",Q69/J69-1)</f>
        <v>0.31050277872331322</v>
      </c>
      <c r="N69" s="129"/>
      <c r="O69" s="128" cm="1">
        <f t="array" ref="O69">IFERROR(INDEX('Detail inputs'!$B$3:$K$195,MATCH($B69&amp;$G69&amp;O$5&amp;$C69,'Detail inputs'!$B$3:$B$195&amp;'Detail inputs'!$G$3:$G$195&amp;'Detail inputs'!$H$3:$H$195&amp;'Detail inputs'!$D$3:$D$195,0),MATCH(O$4,'Detail inputs'!$B$3:$K$3,0)),0)</f>
        <v>186.09139457871049</v>
      </c>
      <c r="P69" s="128"/>
      <c r="Q69" s="128">
        <f>IF(AND(O69="",P69=""),"",O69+P69*$F69/1000)</f>
        <v>186.09139457871049</v>
      </c>
      <c r="R69" s="143">
        <f>IFERROR(Q69/Q73,"")</f>
        <v>0.62927632221919694</v>
      </c>
      <c r="S69" s="143"/>
      <c r="T69" s="143"/>
      <c r="U69" s="143"/>
      <c r="V69" s="143"/>
      <c r="W69" s="143"/>
      <c r="X69" s="143"/>
      <c r="Y69" s="143"/>
      <c r="Z69" s="143"/>
      <c r="AA69" s="143"/>
      <c r="AB69" s="143"/>
      <c r="AC69" s="143"/>
      <c r="AD69" s="143"/>
      <c r="AE69" s="143"/>
    </row>
    <row r="70" spans="1:31" s="19" customFormat="1" x14ac:dyDescent="0.25">
      <c r="A70" s="3"/>
      <c r="B70" s="3" t="str">
        <f t="shared" ref="B70:D70" si="45">B69</f>
        <v>Essential</v>
      </c>
      <c r="C70" s="3" t="str">
        <f t="shared" si="45"/>
        <v>Residential</v>
      </c>
      <c r="D70" s="3" t="str">
        <f t="shared" si="45"/>
        <v>without CL</v>
      </c>
      <c r="E70" s="3" t="s">
        <v>19</v>
      </c>
      <c r="F70" s="131">
        <f t="array" ref="F70">IFERROR(INDEX(Usage!$B$5:$P$18,MATCH($B70,Usage!$B$5:$B$18,0),MATCH($C70&amp;$D70&amp;$E70&amp;"Total",Usage!$B$5:$S$5&amp;Usage!$B$6:$S$6&amp;Usage!$B$7:$S$7&amp;Usage!$B$13:$S$13,0)),0)</f>
        <v>4600</v>
      </c>
      <c r="G70" s="120" t="s">
        <v>277</v>
      </c>
      <c r="H70" s="128" cm="1">
        <f t="array" ref="H70">IFERROR(INDEX('Detail inputs'!$B$3:$K$195,MATCH($B70&amp;$G70&amp;H$5,'Detail inputs'!$B$3:$B$195&amp;'Detail inputs'!$G$3:$G$195&amp;'Detail inputs'!$H$3:$H$195,0),MATCH(H$4,'Detail inputs'!$B$3:$K$3,0)),0)</f>
        <v>56.19</v>
      </c>
      <c r="I70" s="128"/>
      <c r="J70" s="128">
        <f>IF(AND(H70="",I70=""),"",H70+I70*$F70/1000)</f>
        <v>56.19</v>
      </c>
      <c r="K70" s="143">
        <f>IFERROR(J70/J73,"")</f>
        <v>0.24519986035957408</v>
      </c>
      <c r="L70" s="129"/>
      <c r="M70" s="143">
        <f>IF(OR(J70=0,Q70=""),"",Q70/J70-1)</f>
        <v>0.26967494462370367</v>
      </c>
      <c r="N70" s="129"/>
      <c r="O70" s="128" cm="1">
        <f t="array" ref="O70">IFERROR(INDEX('Detail inputs'!$B$3:$K$195,MATCH($B70&amp;$G70&amp;O$5,'Detail inputs'!$B$3:$B$195&amp;'Detail inputs'!$G$3:$G$195&amp;'Detail inputs'!$H$3:$H$195,0),MATCH(O$4,'Detail inputs'!$B$3:$K$3,0)),0)</f>
        <v>71.343035138405909</v>
      </c>
      <c r="P70" s="128"/>
      <c r="Q70" s="128">
        <f>IF(AND(O70="",P70=""),"",O70+P70*$F70/1000)</f>
        <v>71.343035138405909</v>
      </c>
      <c r="R70" s="143">
        <f>IFERROR(Q70/Q73,"")</f>
        <v>0.24124964439912416</v>
      </c>
      <c r="S70" s="143"/>
      <c r="T70" s="143"/>
      <c r="U70" s="143"/>
      <c r="V70" s="143"/>
      <c r="W70" s="143"/>
      <c r="X70" s="143"/>
      <c r="Y70" s="143"/>
      <c r="Z70" s="143"/>
      <c r="AA70" s="143"/>
      <c r="AB70" s="143"/>
      <c r="AC70" s="143"/>
      <c r="AD70" s="143"/>
      <c r="AE70" s="143"/>
    </row>
    <row r="71" spans="1:31" s="19" customFormat="1" x14ac:dyDescent="0.25">
      <c r="A71" s="3"/>
      <c r="B71" s="3" t="str">
        <f t="shared" ref="B71:D72" si="46">B70</f>
        <v>Essential</v>
      </c>
      <c r="C71" s="3" t="str">
        <f t="shared" si="46"/>
        <v>Residential</v>
      </c>
      <c r="D71" s="3" t="str">
        <f t="shared" si="46"/>
        <v>without CL</v>
      </c>
      <c r="E71" s="3" t="s">
        <v>19</v>
      </c>
      <c r="F71" s="131">
        <f t="array" ref="F71">IFERROR(INDEX(Usage!$B$5:$P$18,MATCH($B71,Usage!$B$5:$B$18,0),MATCH($C71&amp;$D71&amp;$E71&amp;"Total",Usage!$B$5:$S$5&amp;Usage!$B$6:$S$6&amp;Usage!$B$7:$S$7&amp;Usage!$B$13:$S$13,0)),0)</f>
        <v>4600</v>
      </c>
      <c r="G71" s="3" t="s">
        <v>167</v>
      </c>
      <c r="H71" s="128" cm="1">
        <f t="array" ref="H71">IFERROR(INDEX('Detail inputs'!$B$3:$K$195,MATCH($B71&amp;$G71&amp;H$5,'Detail inputs'!$B$3:$B$195&amp;'Detail inputs'!$G$3:$G$195&amp;'Detail inputs'!$H$3:$H$195,0),MATCH(H$4,'Detail inputs'!$B$3:$K$3,0)),0)</f>
        <v>30</v>
      </c>
      <c r="I71" s="128"/>
      <c r="J71" s="128">
        <f>IF(AND(H71="",I71=""),"",H71+I71*$F71/1000)</f>
        <v>30</v>
      </c>
      <c r="K71" s="143">
        <f>IFERROR(J71/J73,"")</f>
        <v>0.13091289928434283</v>
      </c>
      <c r="L71" s="129"/>
      <c r="M71" s="143">
        <f>IF(OR(J71=0,Q71=""),"",Q71/J71-1)</f>
        <v>0.18419177243490248</v>
      </c>
      <c r="N71" s="129"/>
      <c r="O71" s="128" cm="1">
        <f t="array" ref="O71">IFERROR(INDEX('Detail inputs'!$B$3:$K$195,MATCH($B71&amp;$G71&amp;O$5,'Detail inputs'!$B$3:$B$195&amp;'Detail inputs'!$G$3:$G$195&amp;'Detail inputs'!$H$3:$H$195,0),MATCH(O$4,'Detail inputs'!$B$3:$K$3,0)),0)</f>
        <v>35.525753173047072</v>
      </c>
      <c r="P71" s="128"/>
      <c r="Q71" s="128">
        <f>IF(AND(O71="",P71=""),"",O71+P71*$F71/1000)</f>
        <v>35.525753173047072</v>
      </c>
      <c r="R71" s="143">
        <f>IFERROR(Q71/Q73,"")</f>
        <v>0.12013191341497731</v>
      </c>
      <c r="S71" s="143"/>
      <c r="T71" s="143"/>
      <c r="U71" s="143"/>
      <c r="V71" s="143"/>
      <c r="W71" s="143"/>
      <c r="X71" s="143"/>
      <c r="Y71" s="143"/>
      <c r="Z71" s="143"/>
      <c r="AA71" s="143"/>
      <c r="AB71" s="143"/>
      <c r="AC71" s="143"/>
      <c r="AD71" s="143"/>
      <c r="AE71" s="143"/>
    </row>
    <row r="72" spans="1:31" s="19" customFormat="1" x14ac:dyDescent="0.25">
      <c r="A72" s="3"/>
      <c r="B72" s="3" t="str">
        <f t="shared" si="46"/>
        <v>Essential</v>
      </c>
      <c r="C72" s="3" t="str">
        <f t="shared" si="46"/>
        <v>Residential</v>
      </c>
      <c r="D72" s="3" t="str">
        <f t="shared" si="46"/>
        <v>without CL</v>
      </c>
      <c r="E72" s="3" t="s">
        <v>19</v>
      </c>
      <c r="F72" s="131">
        <f t="array" ref="F72">IFERROR(INDEX(Usage!$B$5:$P$18,MATCH($B72,Usage!$B$5:$B$18,0),MATCH($C72&amp;$D72&amp;$E72&amp;"Total",Usage!$B$5:$S$5&amp;Usage!$B$6:$S$6&amp;Usage!$B$7:$S$7&amp;Usage!$B$13:$S$13,0)),0)</f>
        <v>4600</v>
      </c>
      <c r="G72" s="3" t="s">
        <v>207</v>
      </c>
      <c r="H72" s="128" cm="1">
        <f t="array" ref="H72">IFERROR(INDEX('Detail inputs'!$B$3:$K$195,MATCH($B72&amp;$G72&amp;H$5,'Detail inputs'!$B$3:$B$195&amp;'Detail inputs'!$G$3:$G$195&amp;'Detail inputs'!$H$3:$H$195,0),MATCH(H$4,'Detail inputs'!$B$3:$K$3,0)),0)</f>
        <v>0.97</v>
      </c>
      <c r="I72" s="128"/>
      <c r="J72" s="128">
        <f>IF(AND(H72="",I72=""),"",H72+I72*$F72/1000)</f>
        <v>0.97</v>
      </c>
      <c r="K72" s="143">
        <f>IFERROR(J72/J73,"")</f>
        <v>4.2328504101937512E-3</v>
      </c>
      <c r="L72" s="129"/>
      <c r="M72" s="143">
        <f>IF(OR(J72=0,Q72=""),0,Q72/J72-1)</f>
        <v>1.8481221108379491</v>
      </c>
      <c r="N72" s="129"/>
      <c r="O72" s="128" cm="1">
        <f t="array" ref="O72">IFERROR(INDEX('Detail inputs'!$B$3:$K$195,MATCH($B72&amp;$G72&amp;O$5&amp;$C72,'Detail inputs'!$B$3:$B$195&amp;'Detail inputs'!$G$3:$G$195&amp;'Detail inputs'!$H$3:$H$195&amp;'Detail inputs'!$D$3:$D$195,0),MATCH(O$4,'Detail inputs'!$B$3:$K$3,0)),0)</f>
        <v>2.7626784475128106</v>
      </c>
      <c r="P72" s="128"/>
      <c r="Q72" s="128">
        <f>IF(AND(O72="",P72=""),"",O72+P72*$F72/1000)</f>
        <v>2.7626784475128106</v>
      </c>
      <c r="R72" s="143">
        <f>IFERROR(Q72/Q73,"")</f>
        <v>9.3421199667015186E-3</v>
      </c>
      <c r="S72" s="143"/>
      <c r="T72" s="143"/>
      <c r="U72" s="143"/>
      <c r="V72" s="143"/>
      <c r="W72" s="143"/>
      <c r="X72" s="143"/>
      <c r="Y72" s="143"/>
      <c r="Z72" s="143"/>
      <c r="AA72" s="143"/>
      <c r="AB72" s="143"/>
      <c r="AC72" s="143"/>
      <c r="AD72" s="143"/>
      <c r="AE72" s="143"/>
    </row>
    <row r="73" spans="1:31" s="19" customFormat="1" x14ac:dyDescent="0.25">
      <c r="A73" s="3"/>
      <c r="B73" s="3" t="str">
        <f t="shared" ref="B73:D73" si="47">B72</f>
        <v>Essential</v>
      </c>
      <c r="C73" s="3" t="str">
        <f t="shared" si="47"/>
        <v>Residential</v>
      </c>
      <c r="D73" s="3" t="str">
        <f t="shared" si="47"/>
        <v>without CL</v>
      </c>
      <c r="E73" s="3" t="s">
        <v>19</v>
      </c>
      <c r="F73" s="131">
        <f t="array" ref="F73">IFERROR(INDEX(Usage!$B$5:$P$18,MATCH($B73,Usage!$B$5:$B$18,0),MATCH($C73&amp;$D73&amp;$E73&amp;"Total",Usage!$B$5:$S$5&amp;Usage!$B$6:$S$6&amp;Usage!$B$7:$S$7&amp;Usage!$B$13:$S$13,0)),0)</f>
        <v>4600</v>
      </c>
      <c r="G73" s="5" t="s">
        <v>55</v>
      </c>
      <c r="H73" s="130">
        <f>SUM(H69:H72)</f>
        <v>229.16</v>
      </c>
      <c r="I73" s="130">
        <f>SUM(I69:I72)</f>
        <v>0</v>
      </c>
      <c r="J73" s="130">
        <f>IF(AND(H73="",I73=""),"",H73+I73*$F73/1000)</f>
        <v>229.16</v>
      </c>
      <c r="K73" s="145"/>
      <c r="L73" s="130"/>
      <c r="M73" s="145">
        <f>IF(OR(J73=0,Q73=""),"",Q73/J73-1)</f>
        <v>0.29046457207922982</v>
      </c>
      <c r="N73" s="130"/>
      <c r="O73" s="130">
        <f>SUM(O69:O72)</f>
        <v>295.72286133767631</v>
      </c>
      <c r="P73" s="130">
        <f>SUM(P69:P72)</f>
        <v>0</v>
      </c>
      <c r="Q73" s="130">
        <f>IF(AND(O73="",P73=""),"",O73+P73*$F73/1000)</f>
        <v>295.72286133767631</v>
      </c>
      <c r="R73" s="145"/>
      <c r="S73" s="145"/>
      <c r="T73" s="145"/>
      <c r="U73" s="145"/>
      <c r="V73" s="145"/>
      <c r="W73" s="145"/>
      <c r="X73" s="145"/>
      <c r="Y73" s="145"/>
      <c r="Z73" s="145"/>
      <c r="AA73" s="145"/>
      <c r="AB73" s="145"/>
      <c r="AC73" s="145"/>
      <c r="AD73" s="145"/>
      <c r="AE73" s="145"/>
    </row>
    <row r="74" spans="1:31" x14ac:dyDescent="0.25">
      <c r="B74" s="3" t="str">
        <f t="shared" ref="B74:D74" si="48">B73</f>
        <v>Essential</v>
      </c>
      <c r="C74" s="3" t="str">
        <f t="shared" si="48"/>
        <v>Residential</v>
      </c>
      <c r="D74" s="3" t="str">
        <f t="shared" si="48"/>
        <v>without CL</v>
      </c>
      <c r="E74" s="3" t="s">
        <v>19</v>
      </c>
      <c r="F74" s="131">
        <f t="array" ref="F74">IFERROR(INDEX(Usage!$B$5:$P$18,MATCH($B74,Usage!$B$5:$B$18,0),MATCH($C74&amp;$D74&amp;$E74&amp;"Total",Usage!$B$5:$S$5&amp;Usage!$B$6:$S$6&amp;Usage!$B$7:$S$7&amp;Usage!$B$13:$S$13,0)),0)</f>
        <v>4600</v>
      </c>
      <c r="G74" s="3" t="s">
        <v>170</v>
      </c>
      <c r="H74" s="128">
        <f>H73*CPIPY</f>
        <v>16.319858560000039</v>
      </c>
      <c r="I74" s="128"/>
      <c r="J74" s="128">
        <f>J73*CPIPY</f>
        <v>16.319858560000039</v>
      </c>
      <c r="K74" s="144"/>
      <c r="L74" s="128"/>
      <c r="M74" s="144">
        <f>IF(OR(J74=0,Q74=""),"",Q74/J74-1)</f>
        <v>2.8660593515414057E-2</v>
      </c>
      <c r="N74" s="128"/>
      <c r="O74" s="128">
        <f>O73*CPI</f>
        <v>16.787595392417252</v>
      </c>
      <c r="P74" s="128"/>
      <c r="Q74" s="128">
        <f>Q73*CPI</f>
        <v>16.787595392417252</v>
      </c>
      <c r="R74" s="144"/>
      <c r="S74" s="144"/>
      <c r="T74" s="144"/>
      <c r="U74" s="144"/>
      <c r="V74" s="144"/>
      <c r="W74" s="144"/>
      <c r="X74" s="144"/>
      <c r="Y74" s="144"/>
      <c r="Z74" s="144"/>
      <c r="AA74" s="144"/>
      <c r="AB74" s="144"/>
      <c r="AC74" s="144"/>
      <c r="AD74" s="144"/>
      <c r="AE74" s="144"/>
    </row>
    <row r="75" spans="1:31" x14ac:dyDescent="0.25">
      <c r="B75" s="3" t="str">
        <f t="shared" ref="B75:D75" si="49">B74</f>
        <v>Essential</v>
      </c>
      <c r="C75" s="3" t="str">
        <f t="shared" si="49"/>
        <v>Residential</v>
      </c>
      <c r="D75" s="3" t="str">
        <f t="shared" si="49"/>
        <v>without CL</v>
      </c>
      <c r="F75" s="131"/>
      <c r="G75" s="3" t="s">
        <v>38</v>
      </c>
      <c r="H75" s="128"/>
      <c r="I75" s="128"/>
      <c r="J75" s="128">
        <f>SUM(J73,J74)*GST</f>
        <v>24.547985856000004</v>
      </c>
      <c r="K75" s="144"/>
      <c r="L75" s="128"/>
      <c r="M75" s="143">
        <f>IF(OR(J75=0,Q75=""),0,Q75/J75-1)</f>
        <v>0.27305946224386446</v>
      </c>
      <c r="N75" s="128"/>
      <c r="O75" s="128"/>
      <c r="P75" s="128"/>
      <c r="Q75" s="128">
        <f>SUM(Q73,Q74)*GST</f>
        <v>31.251045673009358</v>
      </c>
      <c r="R75" s="145"/>
      <c r="S75" s="145"/>
      <c r="T75" s="145"/>
      <c r="U75" s="145"/>
      <c r="V75" s="145"/>
      <c r="W75" s="145"/>
      <c r="X75" s="145"/>
      <c r="Y75" s="145"/>
      <c r="Z75" s="145"/>
      <c r="AA75" s="145"/>
      <c r="AB75" s="145"/>
      <c r="AC75" s="145"/>
      <c r="AD75" s="145"/>
      <c r="AE75" s="145"/>
    </row>
    <row r="76" spans="1:31" x14ac:dyDescent="0.25">
      <c r="B76" s="3" t="str">
        <f t="shared" ref="B76:D76" si="50">B75</f>
        <v>Essential</v>
      </c>
      <c r="C76" s="3" t="str">
        <f t="shared" si="50"/>
        <v>Residential</v>
      </c>
      <c r="D76" s="3" t="str">
        <f t="shared" si="50"/>
        <v>without CL</v>
      </c>
      <c r="F76" s="131"/>
      <c r="G76" s="5" t="s">
        <v>80</v>
      </c>
      <c r="H76" s="130"/>
      <c r="I76" s="130"/>
      <c r="J76" s="130">
        <f>SUM(J73:J75)</f>
        <v>270.02784441600005</v>
      </c>
      <c r="K76" s="145"/>
      <c r="L76" s="130"/>
      <c r="M76" s="145">
        <f>IF(OR(J76=0,Q76=""),"",Q76/J76-1)</f>
        <v>0.27305946224386446</v>
      </c>
      <c r="N76" s="130"/>
      <c r="O76" s="130"/>
      <c r="P76" s="130"/>
      <c r="Q76" s="130">
        <f>SUM(Q73:Q75)</f>
        <v>343.7615024031029</v>
      </c>
      <c r="R76" s="145"/>
      <c r="S76" s="145"/>
      <c r="T76" s="145"/>
      <c r="U76" s="145"/>
      <c r="V76" s="145"/>
      <c r="W76" s="145"/>
      <c r="X76" s="145"/>
      <c r="Y76" s="145"/>
      <c r="Z76" s="145"/>
      <c r="AA76" s="145"/>
      <c r="AB76" s="145"/>
      <c r="AC76" s="145"/>
      <c r="AD76" s="145"/>
      <c r="AE76" s="145"/>
    </row>
    <row r="77" spans="1:31" s="19" customFormat="1" x14ac:dyDescent="0.25">
      <c r="A77" s="3"/>
      <c r="B77" s="3" t="str">
        <f t="shared" ref="B77:D77" si="51">B76</f>
        <v>Essential</v>
      </c>
      <c r="C77" s="3" t="str">
        <f t="shared" si="51"/>
        <v>Residential</v>
      </c>
      <c r="D77" s="3" t="str">
        <f t="shared" si="51"/>
        <v>without CL</v>
      </c>
      <c r="E77" s="3"/>
      <c r="F77" s="131"/>
      <c r="G77" s="3"/>
      <c r="H77" s="128"/>
      <c r="I77" s="128"/>
      <c r="J77" s="128"/>
      <c r="K77" s="143"/>
      <c r="L77" s="128"/>
      <c r="M77" s="143"/>
      <c r="N77" s="128"/>
      <c r="O77" s="128"/>
      <c r="P77" s="128"/>
      <c r="Q77" s="128"/>
      <c r="R77" s="143"/>
      <c r="S77" s="143"/>
      <c r="T77" s="143"/>
      <c r="U77" s="143"/>
      <c r="V77" s="143"/>
      <c r="W77" s="143"/>
      <c r="X77" s="143"/>
      <c r="Y77" s="143"/>
      <c r="Z77" s="143"/>
      <c r="AA77" s="143"/>
      <c r="AB77" s="143"/>
      <c r="AC77" s="143"/>
      <c r="AD77" s="143"/>
      <c r="AE77" s="143"/>
    </row>
    <row r="78" spans="1:31" s="19" customFormat="1" x14ac:dyDescent="0.25">
      <c r="A78" s="3"/>
      <c r="B78" s="5" t="s">
        <v>3</v>
      </c>
      <c r="C78" s="5" t="s">
        <v>6</v>
      </c>
      <c r="D78" s="5" t="s">
        <v>128</v>
      </c>
      <c r="E78" s="3"/>
      <c r="F78" s="131"/>
      <c r="G78" s="3"/>
      <c r="H78" s="128"/>
      <c r="I78" s="128"/>
      <c r="J78" s="128"/>
      <c r="K78" s="143"/>
      <c r="L78" s="128"/>
      <c r="M78" s="143"/>
      <c r="N78" s="128"/>
      <c r="O78" s="128"/>
      <c r="P78" s="128"/>
      <c r="Q78" s="128"/>
      <c r="R78" s="143"/>
      <c r="S78" s="143"/>
      <c r="T78" s="143"/>
      <c r="U78" s="143"/>
      <c r="V78" s="143"/>
      <c r="W78" s="143"/>
      <c r="X78" s="143"/>
      <c r="Y78" s="143"/>
      <c r="Z78" s="143"/>
      <c r="AA78" s="143"/>
      <c r="AB78" s="143"/>
      <c r="AC78" s="143"/>
      <c r="AD78" s="143"/>
      <c r="AE78" s="143"/>
    </row>
    <row r="79" spans="1:31" s="19" customFormat="1" x14ac:dyDescent="0.25">
      <c r="A79" s="3"/>
      <c r="B79" s="3" t="str">
        <f t="shared" ref="B79:D79" si="52">B78</f>
        <v>Essential</v>
      </c>
      <c r="C79" s="3" t="str">
        <f t="shared" si="52"/>
        <v>Residential</v>
      </c>
      <c r="D79" s="3" t="str">
        <f t="shared" si="52"/>
        <v>with CL</v>
      </c>
      <c r="E79" s="3" t="s">
        <v>19</v>
      </c>
      <c r="F79" s="131">
        <f t="array" ref="F79">IFERROR(INDEX(Usage!$B$5:$P$18,MATCH($B79,Usage!$B$5:$B$18,0),MATCH($C79&amp;$D79&amp;$E79&amp;"Total",Usage!$B$5:$S$5&amp;Usage!$B$6:$S$6&amp;Usage!$B$7:$S$7&amp;Usage!$B$13:$S$13,0)),0)</f>
        <v>4600</v>
      </c>
      <c r="G79" s="3" t="s">
        <v>270</v>
      </c>
      <c r="H79" s="128" cm="1">
        <f t="array" ref="H79">IFERROR(INDEX('Detail inputs'!$B$3:$K$195,MATCH($B79&amp;$G79&amp;H$5&amp;$C79,'Detail inputs'!$B$3:$B$195&amp;'Detail inputs'!$G$3:$G$195&amp;'Detail inputs'!$H$3:$H$195&amp;'Detail inputs'!$D$3:$D$195,0),MATCH(H$4,'Detail inputs'!$B$3:$K$3,0)),0)</f>
        <v>142</v>
      </c>
      <c r="I79" s="128"/>
      <c r="J79" s="128">
        <f>IF(AND(H79="",I79=""),"",H79+I79*$F79/1000)</f>
        <v>142</v>
      </c>
      <c r="K79" s="143">
        <f>IFERROR(J79/J83,"")</f>
        <v>0.61965438994588939</v>
      </c>
      <c r="L79" s="129"/>
      <c r="M79" s="143">
        <f>IF(OR(J79=0,Q79=""),"",Q79/J79-1)</f>
        <v>0.31050277872331322</v>
      </c>
      <c r="N79" s="129"/>
      <c r="O79" s="128" cm="1">
        <f t="array" ref="O79">IFERROR(INDEX('Detail inputs'!$B$3:$K$195,MATCH($B79&amp;$G79&amp;O$5&amp;$C79,'Detail inputs'!$B$3:$B$195&amp;'Detail inputs'!$G$3:$G$195&amp;'Detail inputs'!$H$3:$H$195&amp;'Detail inputs'!$D$3:$D$195,0),MATCH(O$4,'Detail inputs'!$B$3:$K$3,0)),0)</f>
        <v>186.09139457871049</v>
      </c>
      <c r="P79" s="128"/>
      <c r="Q79" s="128">
        <f>IF(AND(O79="",P79=""),"",O79+P79*$F79/1000)</f>
        <v>186.09139457871049</v>
      </c>
      <c r="R79" s="143">
        <f>IFERROR(Q79/Q83,"")</f>
        <v>0.62927632221919694</v>
      </c>
      <c r="S79" s="143"/>
      <c r="T79" s="143"/>
      <c r="U79" s="143"/>
      <c r="V79" s="143"/>
      <c r="W79" s="143"/>
      <c r="X79" s="143"/>
      <c r="Y79" s="143"/>
      <c r="Z79" s="143"/>
      <c r="AA79" s="143"/>
      <c r="AB79" s="143"/>
      <c r="AC79" s="143"/>
      <c r="AD79" s="143"/>
      <c r="AE79" s="143"/>
    </row>
    <row r="80" spans="1:31" s="19" customFormat="1" x14ac:dyDescent="0.25">
      <c r="A80" s="3"/>
      <c r="B80" s="3" t="str">
        <f t="shared" ref="B80:D80" si="53">B79</f>
        <v>Essential</v>
      </c>
      <c r="C80" s="3" t="str">
        <f t="shared" si="53"/>
        <v>Residential</v>
      </c>
      <c r="D80" s="3" t="str">
        <f t="shared" si="53"/>
        <v>with CL</v>
      </c>
      <c r="E80" s="3" t="s">
        <v>19</v>
      </c>
      <c r="F80" s="131">
        <f t="array" ref="F80">IFERROR(INDEX(Usage!$B$5:$P$18,MATCH($B80,Usage!$B$5:$B$18,0),MATCH($C80&amp;$D80&amp;$E80&amp;"Total",Usage!$B$5:$S$5&amp;Usage!$B$6:$S$6&amp;Usage!$B$7:$S$7&amp;Usage!$B$13:$S$13,0)),0)</f>
        <v>4600</v>
      </c>
      <c r="G80" s="120" t="s">
        <v>277</v>
      </c>
      <c r="H80" s="128" cm="1">
        <f t="array" ref="H80">IFERROR(INDEX('Detail inputs'!$B$3:$K$195,MATCH($B80&amp;$G80&amp;H$5,'Detail inputs'!$B$3:$B$195&amp;'Detail inputs'!$G$3:$G$195&amp;'Detail inputs'!$H$3:$H$195,0),MATCH(H$4,'Detail inputs'!$B$3:$K$3,0)),0)</f>
        <v>56.19</v>
      </c>
      <c r="I80" s="128"/>
      <c r="J80" s="128">
        <f>IF(AND(H80="",I80=""),"",H80+I80*$F80/1000)</f>
        <v>56.19</v>
      </c>
      <c r="K80" s="143">
        <f>IFERROR(J80/J83,"")</f>
        <v>0.24519986035957408</v>
      </c>
      <c r="L80" s="129"/>
      <c r="M80" s="143">
        <f>IF(OR(J80=0,Q80=""),"",Q80/J80-1)</f>
        <v>0.26967494462370367</v>
      </c>
      <c r="N80" s="129"/>
      <c r="O80" s="128" cm="1">
        <f t="array" ref="O80">IFERROR(INDEX('Detail inputs'!$B$3:$K$195,MATCH($B80&amp;$G80&amp;O$5,'Detail inputs'!$B$3:$B$195&amp;'Detail inputs'!$G$3:$G$195&amp;'Detail inputs'!$H$3:$H$195,0),MATCH(O$4,'Detail inputs'!$B$3:$K$3,0)),0)</f>
        <v>71.343035138405909</v>
      </c>
      <c r="P80" s="128"/>
      <c r="Q80" s="128">
        <f>IF(AND(O80="",P80=""),"",O80+P80*$F80/1000)</f>
        <v>71.343035138405909</v>
      </c>
      <c r="R80" s="143">
        <f>IFERROR(Q80/Q83,"")</f>
        <v>0.24124964439912416</v>
      </c>
      <c r="S80" s="143"/>
      <c r="T80" s="143"/>
      <c r="U80" s="143"/>
      <c r="V80" s="143"/>
      <c r="W80" s="143"/>
      <c r="X80" s="143"/>
      <c r="Y80" s="143"/>
      <c r="Z80" s="143"/>
      <c r="AA80" s="143"/>
      <c r="AB80" s="143"/>
      <c r="AC80" s="143"/>
      <c r="AD80" s="143"/>
      <c r="AE80" s="143"/>
    </row>
    <row r="81" spans="1:31" s="19" customFormat="1" x14ac:dyDescent="0.25">
      <c r="A81" s="3"/>
      <c r="B81" s="3" t="str">
        <f t="shared" ref="B81:D82" si="54">B80</f>
        <v>Essential</v>
      </c>
      <c r="C81" s="3" t="str">
        <f t="shared" si="54"/>
        <v>Residential</v>
      </c>
      <c r="D81" s="3" t="str">
        <f t="shared" si="54"/>
        <v>with CL</v>
      </c>
      <c r="E81" s="3" t="s">
        <v>19</v>
      </c>
      <c r="F81" s="131">
        <f t="array" ref="F81">IFERROR(INDEX(Usage!$B$5:$P$18,MATCH($B81,Usage!$B$5:$B$18,0),MATCH($C81&amp;$D81&amp;$E81&amp;"Total",Usage!$B$5:$S$5&amp;Usage!$B$6:$S$6&amp;Usage!$B$7:$S$7&amp;Usage!$B$13:$S$13,0)),0)</f>
        <v>4600</v>
      </c>
      <c r="G81" s="3" t="s">
        <v>167</v>
      </c>
      <c r="H81" s="128" cm="1">
        <f t="array" ref="H81">IFERROR(INDEX('Detail inputs'!$B$3:$K$195,MATCH($B81&amp;$G81&amp;H$5,'Detail inputs'!$B$3:$B$195&amp;'Detail inputs'!$G$3:$G$195&amp;'Detail inputs'!$H$3:$H$195,0),MATCH(H$4,'Detail inputs'!$B$3:$K$3,0)),0)</f>
        <v>30</v>
      </c>
      <c r="I81" s="128"/>
      <c r="J81" s="128">
        <f>IF(AND(H81="",I81=""),"",H81+I81*$F81/1000)</f>
        <v>30</v>
      </c>
      <c r="K81" s="143">
        <f>IFERROR(J81/J83,"")</f>
        <v>0.13091289928434283</v>
      </c>
      <c r="L81" s="129"/>
      <c r="M81" s="143">
        <f>IF(OR(J81=0,Q81=""),"",Q81/J81-1)</f>
        <v>0.18419177243490248</v>
      </c>
      <c r="N81" s="129"/>
      <c r="O81" s="128" cm="1">
        <f t="array" ref="O81">IFERROR(INDEX('Detail inputs'!$B$3:$K$195,MATCH($B81&amp;$G81&amp;O$5,'Detail inputs'!$B$3:$B$195&amp;'Detail inputs'!$G$3:$G$195&amp;'Detail inputs'!$H$3:$H$195,0),MATCH(O$4,'Detail inputs'!$B$3:$K$3,0)),0)</f>
        <v>35.525753173047072</v>
      </c>
      <c r="P81" s="128"/>
      <c r="Q81" s="128">
        <f>IF(AND(O81="",P81=""),"",O81+P81*$F81/1000)</f>
        <v>35.525753173047072</v>
      </c>
      <c r="R81" s="143">
        <f>IFERROR(Q81/Q83,"")</f>
        <v>0.12013191341497731</v>
      </c>
      <c r="S81" s="143"/>
      <c r="T81" s="143"/>
      <c r="U81" s="143"/>
      <c r="V81" s="143"/>
      <c r="W81" s="143"/>
      <c r="X81" s="143"/>
      <c r="Y81" s="143"/>
      <c r="Z81" s="143"/>
      <c r="AA81" s="143"/>
      <c r="AB81" s="143"/>
      <c r="AC81" s="143"/>
      <c r="AD81" s="143"/>
      <c r="AE81" s="143"/>
    </row>
    <row r="82" spans="1:31" s="19" customFormat="1" x14ac:dyDescent="0.25">
      <c r="A82" s="3"/>
      <c r="B82" s="3" t="str">
        <f t="shared" si="54"/>
        <v>Essential</v>
      </c>
      <c r="C82" s="3" t="str">
        <f t="shared" si="54"/>
        <v>Residential</v>
      </c>
      <c r="D82" s="3" t="str">
        <f t="shared" si="54"/>
        <v>with CL</v>
      </c>
      <c r="E82" s="3" t="s">
        <v>19</v>
      </c>
      <c r="F82" s="131">
        <f t="array" ref="F82">IFERROR(INDEX(Usage!$B$5:$P$18,MATCH($B82,Usage!$B$5:$B$18,0),MATCH($C82&amp;$D82&amp;$E82&amp;"Total",Usage!$B$5:$S$5&amp;Usage!$B$6:$S$6&amp;Usage!$B$7:$S$7&amp;Usage!$B$13:$S$13,0)),0)</f>
        <v>4600</v>
      </c>
      <c r="G82" s="3" t="s">
        <v>207</v>
      </c>
      <c r="H82" s="128" cm="1">
        <f t="array" ref="H82">IFERROR(INDEX('Detail inputs'!$B$3:$K$195,MATCH($B82&amp;$G82&amp;H$5,'Detail inputs'!$B$3:$B$195&amp;'Detail inputs'!$G$3:$G$195&amp;'Detail inputs'!$H$3:$H$195,0),MATCH(H$4,'Detail inputs'!$B$3:$K$3,0)),0)</f>
        <v>0.97</v>
      </c>
      <c r="I82" s="128"/>
      <c r="J82" s="128">
        <f>IF(AND(H82="",I82=""),"",H82+I82*$F82/1000)</f>
        <v>0.97</v>
      </c>
      <c r="K82" s="143">
        <f>IFERROR(J82/J83,"")</f>
        <v>4.2328504101937512E-3</v>
      </c>
      <c r="L82" s="129"/>
      <c r="M82" s="143">
        <f>IF(OR(J82=0,Q82=""),0,Q82/J82-1)</f>
        <v>1.8481221108379491</v>
      </c>
      <c r="N82" s="129"/>
      <c r="O82" s="128" cm="1">
        <f t="array" ref="O82">IFERROR(INDEX('Detail inputs'!$B$3:$K$195,MATCH($B82&amp;$G82&amp;O$5&amp;$C82,'Detail inputs'!$B$3:$B$195&amp;'Detail inputs'!$G$3:$G$195&amp;'Detail inputs'!$H$3:$H$195&amp;'Detail inputs'!$D$3:$D$195,0),MATCH(O$4,'Detail inputs'!$B$3:$K$3,0)),0)</f>
        <v>2.7626784475128106</v>
      </c>
      <c r="P82" s="128"/>
      <c r="Q82" s="128">
        <f>IF(AND(O82="",P82=""),"",O82+P82*$F82/1000)</f>
        <v>2.7626784475128106</v>
      </c>
      <c r="R82" s="143">
        <f>IFERROR(Q82/Q83,"")</f>
        <v>9.3421199667015186E-3</v>
      </c>
      <c r="S82" s="143"/>
      <c r="T82" s="143"/>
      <c r="U82" s="143"/>
      <c r="V82" s="143"/>
      <c r="W82" s="143"/>
      <c r="X82" s="143"/>
      <c r="Y82" s="143"/>
      <c r="Z82" s="143"/>
      <c r="AA82" s="143"/>
      <c r="AB82" s="143"/>
      <c r="AC82" s="143"/>
      <c r="AD82" s="143"/>
      <c r="AE82" s="143"/>
    </row>
    <row r="83" spans="1:31" x14ac:dyDescent="0.25">
      <c r="B83" s="3" t="str">
        <f t="shared" ref="B83:D83" si="55">B82</f>
        <v>Essential</v>
      </c>
      <c r="C83" s="3" t="str">
        <f t="shared" si="55"/>
        <v>Residential</v>
      </c>
      <c r="D83" s="3" t="str">
        <f t="shared" si="55"/>
        <v>with CL</v>
      </c>
      <c r="E83" s="3" t="s">
        <v>19</v>
      </c>
      <c r="F83" s="131">
        <f t="array" ref="F83">IFERROR(INDEX(Usage!$B$5:$P$18,MATCH($B83,Usage!$B$5:$B$18,0),MATCH($C83&amp;$D83&amp;$E83&amp;"Total",Usage!$B$5:$S$5&amp;Usage!$B$6:$S$6&amp;Usage!$B$7:$S$7&amp;Usage!$B$13:$S$13,0)),0)</f>
        <v>4600</v>
      </c>
      <c r="G83" s="5" t="s">
        <v>55</v>
      </c>
      <c r="H83" s="130">
        <f>SUM(H79:H82)</f>
        <v>229.16</v>
      </c>
      <c r="I83" s="130">
        <f>SUM(I79:I82)</f>
        <v>0</v>
      </c>
      <c r="J83" s="130">
        <f>IF(AND(H83="",I83=""),"",H83+I83*$F83/1000)</f>
        <v>229.16</v>
      </c>
      <c r="K83" s="145"/>
      <c r="L83" s="130"/>
      <c r="M83" s="145">
        <f>IF(OR(J83=0,Q83=""),"",Q83/J83-1)</f>
        <v>0.29046457207922982</v>
      </c>
      <c r="N83" s="130"/>
      <c r="O83" s="130">
        <f>SUM(O79:O82)</f>
        <v>295.72286133767631</v>
      </c>
      <c r="P83" s="130">
        <f>SUM(P79:P82)</f>
        <v>0</v>
      </c>
      <c r="Q83" s="130">
        <f>IF(AND(O83="",P83=""),"",O83+P83*$F83/1000)</f>
        <v>295.72286133767631</v>
      </c>
      <c r="R83" s="145"/>
      <c r="S83" s="145"/>
      <c r="T83" s="145"/>
      <c r="U83" s="145"/>
      <c r="V83" s="145"/>
      <c r="W83" s="145"/>
      <c r="X83" s="145"/>
      <c r="Y83" s="145"/>
      <c r="Z83" s="145"/>
      <c r="AA83" s="145"/>
      <c r="AB83" s="145"/>
      <c r="AC83" s="145"/>
      <c r="AD83" s="145"/>
      <c r="AE83" s="145"/>
    </row>
    <row r="84" spans="1:31" x14ac:dyDescent="0.25">
      <c r="B84" s="3" t="str">
        <f t="shared" ref="B84:D84" si="56">B83</f>
        <v>Essential</v>
      </c>
      <c r="C84" s="3" t="str">
        <f t="shared" si="56"/>
        <v>Residential</v>
      </c>
      <c r="D84" s="3" t="str">
        <f t="shared" si="56"/>
        <v>with CL</v>
      </c>
      <c r="E84" s="3" t="s">
        <v>19</v>
      </c>
      <c r="F84" s="131">
        <f t="array" ref="F84">IFERROR(INDEX(Usage!$B$5:$P$18,MATCH($B84,Usage!$B$5:$B$18,0),MATCH($C84&amp;$D84&amp;$E84&amp;"Total",Usage!$B$5:$S$5&amp;Usage!$B$6:$S$6&amp;Usage!$B$7:$S$7&amp;Usage!$B$13:$S$13,0)),0)</f>
        <v>4600</v>
      </c>
      <c r="G84" s="3" t="s">
        <v>170</v>
      </c>
      <c r="H84" s="128">
        <f>H83*CPIPY</f>
        <v>16.319858560000039</v>
      </c>
      <c r="I84" s="128"/>
      <c r="J84" s="128">
        <f>J83*CPIPY</f>
        <v>16.319858560000039</v>
      </c>
      <c r="K84" s="144"/>
      <c r="L84" s="128"/>
      <c r="M84" s="144">
        <f>IF(OR(J84=0,Q84=""),"",Q84/J84-1)</f>
        <v>2.8660593515414057E-2</v>
      </c>
      <c r="N84" s="128"/>
      <c r="O84" s="128"/>
      <c r="P84" s="128"/>
      <c r="Q84" s="128">
        <f>Q83*CPI</f>
        <v>16.787595392417252</v>
      </c>
      <c r="R84" s="144"/>
      <c r="S84" s="144"/>
      <c r="T84" s="144"/>
      <c r="U84" s="144"/>
      <c r="V84" s="144"/>
      <c r="W84" s="144"/>
      <c r="X84" s="144"/>
      <c r="Y84" s="144"/>
      <c r="Z84" s="144"/>
      <c r="AA84" s="144"/>
      <c r="AB84" s="144"/>
      <c r="AC84" s="144"/>
      <c r="AD84" s="144"/>
      <c r="AE84" s="144"/>
    </row>
    <row r="85" spans="1:31" x14ac:dyDescent="0.25">
      <c r="B85" s="3" t="str">
        <f t="shared" ref="B85:D85" si="57">B84</f>
        <v>Essential</v>
      </c>
      <c r="C85" s="3" t="str">
        <f t="shared" si="57"/>
        <v>Residential</v>
      </c>
      <c r="D85" s="3" t="str">
        <f t="shared" si="57"/>
        <v>with CL</v>
      </c>
      <c r="F85" s="131"/>
      <c r="G85" s="3" t="s">
        <v>38</v>
      </c>
      <c r="H85" s="128"/>
      <c r="I85" s="128"/>
      <c r="J85" s="128">
        <f>SUM(J83,J84)*GST</f>
        <v>24.547985856000004</v>
      </c>
      <c r="K85" s="144"/>
      <c r="L85" s="128"/>
      <c r="M85" s="143">
        <f>IF(OR(J85=0,Q85=""),0,Q85/J85-1)</f>
        <v>0.27305946224386446</v>
      </c>
      <c r="N85" s="128"/>
      <c r="O85" s="128"/>
      <c r="P85" s="128"/>
      <c r="Q85" s="128">
        <f>SUM(Q83,Q84)*GST</f>
        <v>31.251045673009358</v>
      </c>
      <c r="R85" s="145"/>
      <c r="S85" s="145"/>
      <c r="T85" s="145"/>
      <c r="U85" s="145"/>
      <c r="V85" s="145"/>
      <c r="W85" s="145"/>
      <c r="X85" s="145"/>
      <c r="Y85" s="145"/>
      <c r="Z85" s="145"/>
      <c r="AA85" s="145"/>
      <c r="AB85" s="145"/>
      <c r="AC85" s="145"/>
      <c r="AD85" s="145"/>
      <c r="AE85" s="145"/>
    </row>
    <row r="86" spans="1:31" s="19" customFormat="1" x14ac:dyDescent="0.25">
      <c r="A86" s="3"/>
      <c r="B86" s="3" t="str">
        <f t="shared" ref="B86:D86" si="58">B85</f>
        <v>Essential</v>
      </c>
      <c r="C86" s="3" t="str">
        <f t="shared" si="58"/>
        <v>Residential</v>
      </c>
      <c r="D86" s="3" t="str">
        <f t="shared" si="58"/>
        <v>with CL</v>
      </c>
      <c r="E86" s="3"/>
      <c r="F86" s="131"/>
      <c r="G86" s="5" t="s">
        <v>80</v>
      </c>
      <c r="H86" s="130"/>
      <c r="I86" s="130"/>
      <c r="J86" s="130">
        <f>SUM(J83:J85)</f>
        <v>270.02784441600005</v>
      </c>
      <c r="K86" s="145"/>
      <c r="L86" s="130"/>
      <c r="M86" s="145">
        <f>IF(OR(J86=0,Q86=""),"",Q86/J86-1)</f>
        <v>0.27305946224386446</v>
      </c>
      <c r="N86" s="130"/>
      <c r="O86" s="130"/>
      <c r="P86" s="130"/>
      <c r="Q86" s="130">
        <f>SUM(Q83:Q85)</f>
        <v>343.7615024031029</v>
      </c>
      <c r="R86" s="145"/>
      <c r="S86" s="145"/>
      <c r="T86" s="145"/>
      <c r="U86" s="145"/>
      <c r="V86" s="145"/>
      <c r="W86" s="145"/>
      <c r="X86" s="145"/>
      <c r="Y86" s="145"/>
      <c r="Z86" s="145"/>
      <c r="AA86" s="145"/>
      <c r="AB86" s="145"/>
      <c r="AC86" s="145"/>
      <c r="AD86" s="145"/>
      <c r="AE86" s="145"/>
    </row>
    <row r="87" spans="1:31" s="19" customFormat="1" x14ac:dyDescent="0.25">
      <c r="A87" s="3"/>
      <c r="B87" s="3" t="str">
        <f t="shared" ref="B87:D87" si="59">B86</f>
        <v>Essential</v>
      </c>
      <c r="C87" s="3" t="str">
        <f t="shared" si="59"/>
        <v>Residential</v>
      </c>
      <c r="D87" s="3" t="str">
        <f t="shared" si="59"/>
        <v>with CL</v>
      </c>
      <c r="E87" s="3"/>
      <c r="F87" s="131"/>
      <c r="G87" s="3"/>
      <c r="H87" s="128"/>
      <c r="I87" s="128"/>
      <c r="J87" s="128"/>
      <c r="K87" s="143"/>
      <c r="L87" s="128"/>
      <c r="M87" s="143"/>
      <c r="N87" s="128"/>
      <c r="O87" s="128"/>
      <c r="P87" s="128"/>
      <c r="Q87" s="128"/>
      <c r="R87" s="143"/>
      <c r="S87" s="143"/>
      <c r="T87" s="143"/>
      <c r="U87" s="143"/>
      <c r="V87" s="143"/>
      <c r="W87" s="143"/>
      <c r="X87" s="143"/>
      <c r="Y87" s="143"/>
      <c r="Z87" s="143"/>
      <c r="AA87" s="143"/>
      <c r="AB87" s="143"/>
      <c r="AC87" s="143"/>
      <c r="AD87" s="143"/>
      <c r="AE87" s="143"/>
    </row>
    <row r="88" spans="1:31" s="19" customFormat="1" x14ac:dyDescent="0.25">
      <c r="A88" s="3"/>
      <c r="B88" s="5" t="s">
        <v>3</v>
      </c>
      <c r="C88" s="5" t="s">
        <v>13</v>
      </c>
      <c r="D88" s="5" t="s">
        <v>127</v>
      </c>
      <c r="E88" s="3"/>
      <c r="F88" s="131"/>
      <c r="G88" s="3"/>
      <c r="H88" s="128"/>
      <c r="I88" s="128"/>
      <c r="J88" s="128"/>
      <c r="K88" s="143"/>
      <c r="L88" s="128"/>
      <c r="M88" s="143"/>
      <c r="N88" s="128"/>
      <c r="O88" s="128"/>
      <c r="P88" s="128"/>
      <c r="Q88" s="128"/>
      <c r="R88" s="143"/>
      <c r="S88" s="143"/>
      <c r="T88" s="143"/>
      <c r="U88" s="143"/>
      <c r="V88" s="143"/>
      <c r="W88" s="143"/>
      <c r="X88" s="143"/>
      <c r="Y88" s="143"/>
      <c r="Z88" s="143"/>
      <c r="AA88" s="143"/>
      <c r="AB88" s="143"/>
      <c r="AC88" s="143"/>
      <c r="AD88" s="143"/>
      <c r="AE88" s="143"/>
    </row>
    <row r="89" spans="1:31" s="19" customFormat="1" x14ac:dyDescent="0.25">
      <c r="A89" s="3"/>
      <c r="B89" s="3" t="str">
        <f t="shared" ref="B89:D89" si="60">B88</f>
        <v>Essential</v>
      </c>
      <c r="C89" s="3" t="str">
        <f t="shared" si="60"/>
        <v>Small business</v>
      </c>
      <c r="D89" s="3" t="str">
        <f t="shared" si="60"/>
        <v>without CL</v>
      </c>
      <c r="E89" s="3" t="s">
        <v>19</v>
      </c>
      <c r="F89" s="131">
        <f t="array" ref="F89">IFERROR(INDEX(Usage!$B$5:$P$18,MATCH($B89,Usage!$B$5:$B$18,0),MATCH($C89&amp;$D89&amp;$E89&amp;"Total",Usage!$B$5:$S$5&amp;Usage!$B$6:$S$6&amp;Usage!$B$7:$S$7&amp;Usage!$B$13:$S$13,0)),0)</f>
        <v>10000</v>
      </c>
      <c r="G89" s="3" t="s">
        <v>270</v>
      </c>
      <c r="H89" s="128" cm="1">
        <f t="array" ref="H89">IFERROR(INDEX('Detail inputs'!$B$3:$K$195,MATCH($B89&amp;$G89&amp;H$5&amp;$C89,'Detail inputs'!$B$3:$B$195&amp;'Detail inputs'!$G$3:$G$195&amp;'Detail inputs'!$H$3:$H$195&amp;'Detail inputs'!$D$3:$D$195,0),MATCH(H$4,'Detail inputs'!$B$3:$K$3,0)),0)</f>
        <v>183</v>
      </c>
      <c r="I89" s="128"/>
      <c r="J89" s="128">
        <f>IF(AND(H89="",I89=""),"",H89+I89*$F89/1000)</f>
        <v>183</v>
      </c>
      <c r="K89" s="143">
        <f>IFERROR(J89/J93,"")</f>
        <v>0.63645532640072344</v>
      </c>
      <c r="L89" s="129"/>
      <c r="M89" s="143">
        <f>IF(OR(J89=0,Q89=""),"",Q89/J89-1)</f>
        <v>0.37954202038147322</v>
      </c>
      <c r="N89" s="129"/>
      <c r="O89" s="128" cm="1">
        <f t="array" ref="O89">IFERROR(INDEX('Detail inputs'!$B$3:$K$195,MATCH($B89&amp;$G89&amp;O$5&amp;$C89,'Detail inputs'!$B$3:$B$195&amp;'Detail inputs'!$G$3:$G$195&amp;'Detail inputs'!$H$3:$H$195&amp;'Detail inputs'!$D$3:$D$195,0),MATCH(O$4,'Detail inputs'!$B$3:$K$3,0)),0)</f>
        <v>252.45618972980961</v>
      </c>
      <c r="P89" s="128"/>
      <c r="Q89" s="128">
        <f>IF(AND(O89="",P89=""),"",O89+P89*$F89/1000)</f>
        <v>252.45618972980961</v>
      </c>
      <c r="R89" s="143">
        <f>IFERROR(Q89/Q93,"")</f>
        <v>0.64069210218656958</v>
      </c>
      <c r="S89" s="143"/>
      <c r="T89" s="143"/>
      <c r="U89" s="143"/>
      <c r="V89" s="143"/>
      <c r="W89" s="143"/>
      <c r="X89" s="143"/>
      <c r="Y89" s="143"/>
      <c r="Z89" s="143"/>
      <c r="AA89" s="143"/>
      <c r="AB89" s="143"/>
      <c r="AC89" s="143"/>
      <c r="AD89" s="143"/>
      <c r="AE89" s="143"/>
    </row>
    <row r="90" spans="1:31" s="19" customFormat="1" x14ac:dyDescent="0.25">
      <c r="A90" s="3"/>
      <c r="B90" s="3" t="str">
        <f t="shared" ref="B90:D90" si="61">B89</f>
        <v>Essential</v>
      </c>
      <c r="C90" s="3" t="str">
        <f t="shared" si="61"/>
        <v>Small business</v>
      </c>
      <c r="D90" s="3" t="str">
        <f t="shared" si="61"/>
        <v>without CL</v>
      </c>
      <c r="E90" s="3" t="s">
        <v>19</v>
      </c>
      <c r="F90" s="131">
        <f t="array" ref="F90">IFERROR(INDEX(Usage!$B$5:$P$18,MATCH($B90,Usage!$B$5:$B$18,0),MATCH($C90&amp;$D90&amp;$E90&amp;"Total",Usage!$B$5:$S$5&amp;Usage!$B$6:$S$6&amp;Usage!$B$7:$S$7&amp;Usage!$B$13:$S$13,0)),0)</f>
        <v>10000</v>
      </c>
      <c r="G90" s="120" t="s">
        <v>277</v>
      </c>
      <c r="H90" s="128" cm="1">
        <f t="array" ref="H90">IFERROR(INDEX('Detail inputs'!$B$3:$K$195,MATCH($B90&amp;$G90&amp;H$5&amp;$C90,'Detail inputs'!$B$3:$B$195&amp;'Detail inputs'!$G$3:$G$195&amp;'Detail inputs'!$H$3:$H$195&amp;'Detail inputs'!$D$3:$D$195,0),MATCH(H$4,'Detail inputs'!$B$3:$K$3,0)),0)</f>
        <v>38.880000000000003</v>
      </c>
      <c r="I90" s="128"/>
      <c r="J90" s="128">
        <f>IF(AND(H90="",I90=""),"",H90+I90*$F90/1000)</f>
        <v>38.880000000000003</v>
      </c>
      <c r="K90" s="143">
        <f>IFERROR(J90/J93,"")</f>
        <v>0.13522067262546519</v>
      </c>
      <c r="L90" s="129"/>
      <c r="M90" s="143">
        <f>IF(OR(J90=0,Q90=""),"",Q90/J90-1)</f>
        <v>0.45958920818988691</v>
      </c>
      <c r="N90" s="129"/>
      <c r="O90" s="128" cm="1">
        <f t="array" ref="O90">IFERROR(INDEX('Detail inputs'!$B$3:$K$195,MATCH($B90&amp;$G90&amp;O$5&amp;$C90,'Detail inputs'!$B$3:$B$195&amp;'Detail inputs'!$G$3:$G$195&amp;'Detail inputs'!$H$3:$H$195&amp;'Detail inputs'!$D$3:$D$195,0),MATCH(O$4,'Detail inputs'!$B$3:$K$3,0)),0)</f>
        <v>56.74882841442281</v>
      </c>
      <c r="P90" s="128"/>
      <c r="Q90" s="128">
        <f>IF(AND(O90="",P90=""),"",O90+P90*$F90/1000)</f>
        <v>56.74882841442281</v>
      </c>
      <c r="R90" s="143">
        <f>IFERROR(Q90/Q93,"")</f>
        <v>0.14401915125303155</v>
      </c>
      <c r="S90" s="143"/>
      <c r="T90" s="143"/>
      <c r="U90" s="143"/>
      <c r="V90" s="143"/>
      <c r="W90" s="143"/>
      <c r="X90" s="143"/>
      <c r="Y90" s="143"/>
      <c r="Z90" s="143"/>
      <c r="AA90" s="143"/>
      <c r="AB90" s="143"/>
      <c r="AC90" s="143"/>
      <c r="AD90" s="143"/>
      <c r="AE90" s="143"/>
    </row>
    <row r="91" spans="1:31" x14ac:dyDescent="0.25">
      <c r="B91" s="3" t="str">
        <f t="shared" ref="B91:D92" si="62">B90</f>
        <v>Essential</v>
      </c>
      <c r="C91" s="3" t="str">
        <f t="shared" si="62"/>
        <v>Small business</v>
      </c>
      <c r="D91" s="3" t="str">
        <f t="shared" si="62"/>
        <v>without CL</v>
      </c>
      <c r="E91" s="3" t="s">
        <v>19</v>
      </c>
      <c r="F91" s="131">
        <f t="array" ref="F91">IFERROR(INDEX(Usage!$B$5:$P$18,MATCH($B91,Usage!$B$5:$B$18,0),MATCH($C91&amp;$D91&amp;$E91&amp;"Total",Usage!$B$5:$S$5&amp;Usage!$B$6:$S$6&amp;Usage!$B$7:$S$7&amp;Usage!$B$13:$S$13,0)),0)</f>
        <v>10000</v>
      </c>
      <c r="G91" s="3" t="s">
        <v>167</v>
      </c>
      <c r="H91" s="128" cm="1">
        <f t="array" ref="H91">IFERROR(INDEX('Detail inputs'!$B$3:$K$195,MATCH($B91&amp;$G91&amp;H$5&amp;$C91,'Detail inputs'!$B$3:$B$195&amp;'Detail inputs'!$G$3:$G$195&amp;'Detail inputs'!$H$3:$H$195&amp;'Detail inputs'!$D$3:$D$195,0),MATCH(H$4,'Detail inputs'!$B$3:$K$3,0)),0)</f>
        <v>65</v>
      </c>
      <c r="I91" s="128"/>
      <c r="J91" s="128">
        <f>IF(AND(H91="",I91=""),"",H91+I91*$F91/1000)</f>
        <v>65</v>
      </c>
      <c r="K91" s="143">
        <f>IFERROR(J91/J93,"")</f>
        <v>0.22606336730080343</v>
      </c>
      <c r="L91" s="129"/>
      <c r="M91" s="143">
        <f>IF(OR(J91=0,Q91=""),0,Q91/J91-1)</f>
        <v>0.23823267168747408</v>
      </c>
      <c r="N91" s="129"/>
      <c r="O91" s="128" cm="1">
        <f t="array" ref="O91">IFERROR(INDEX('Detail inputs'!$B$3:$K$195,MATCH($B91&amp;$G91&amp;O$5&amp;$C91,'Detail inputs'!$B$3:$B$195&amp;'Detail inputs'!$G$3:$G$195&amp;'Detail inputs'!$H$3:$H$195&amp;'Detail inputs'!$D$3:$D$195,0),MATCH(O$4,'Detail inputs'!$B$3:$K$3,0)),0)</f>
        <v>80.485123659685812</v>
      </c>
      <c r="P91" s="128"/>
      <c r="Q91" s="128">
        <f>IF(AND(O91="",P91=""),"",O91+P91*$F91/1000)</f>
        <v>80.485123659685812</v>
      </c>
      <c r="R91" s="143">
        <f>IFERROR(Q91/Q93,"")</f>
        <v>0.204257947200497</v>
      </c>
      <c r="S91" s="143"/>
      <c r="T91" s="143"/>
      <c r="U91" s="143"/>
      <c r="V91" s="143"/>
      <c r="W91" s="143"/>
      <c r="X91" s="143"/>
      <c r="Y91" s="143"/>
      <c r="Z91" s="143"/>
      <c r="AA91" s="143"/>
      <c r="AB91" s="143"/>
      <c r="AC91" s="143"/>
      <c r="AD91" s="143"/>
      <c r="AE91" s="143"/>
    </row>
    <row r="92" spans="1:31" x14ac:dyDescent="0.25">
      <c r="B92" s="3" t="str">
        <f t="shared" si="62"/>
        <v>Essential</v>
      </c>
      <c r="C92" s="3" t="str">
        <f t="shared" si="62"/>
        <v>Small business</v>
      </c>
      <c r="D92" s="3" t="str">
        <f t="shared" si="62"/>
        <v>without CL</v>
      </c>
      <c r="E92" s="3" t="s">
        <v>19</v>
      </c>
      <c r="F92" s="131">
        <f t="array" ref="F92">IFERROR(INDEX(Usage!$B$5:$P$18,MATCH($B92,Usage!$B$5:$B$18,0),MATCH($C92&amp;$D92&amp;$E92&amp;"Total",Usage!$B$5:$S$5&amp;Usage!$B$6:$S$6&amp;Usage!$B$7:$S$7&amp;Usage!$B$13:$S$13,0)),0)</f>
        <v>10000</v>
      </c>
      <c r="G92" s="3" t="s">
        <v>207</v>
      </c>
      <c r="H92" s="128" cm="1">
        <f t="array" ref="H92">IFERROR(INDEX('Detail inputs'!$B$3:$K$195,MATCH($B92&amp;$G92&amp;H$5&amp;$C92,'Detail inputs'!$B$3:$B$195&amp;'Detail inputs'!$G$3:$G$195&amp;'Detail inputs'!$H$3:$H$195&amp;'Detail inputs'!$D$3:$D$195,0),MATCH(H$4,'Detail inputs'!$B$3:$K$3,0)),0)</f>
        <v>0.65</v>
      </c>
      <c r="I92" s="128"/>
      <c r="J92" s="128">
        <f>IF(AND(H92="",I92=""),"",H92+I92*$F92/1000)</f>
        <v>0.65</v>
      </c>
      <c r="K92" s="143">
        <f>IFERROR(J92/J93,"")</f>
        <v>2.260633673008034E-3</v>
      </c>
      <c r="L92" s="129"/>
      <c r="M92" s="143">
        <f>IF(OR(J92=0,Q92=""),0,Q92/J92-1)</f>
        <v>5.686983958010952</v>
      </c>
      <c r="N92" s="129"/>
      <c r="O92" s="128" cm="1">
        <f t="array" ref="O92">IFERROR(INDEX('Detail inputs'!$B$3:$K$195,MATCH($B92&amp;$G92&amp;O$5&amp;$C92,'Detail inputs'!$B$3:$B$195&amp;'Detail inputs'!$G$3:$G$195&amp;'Detail inputs'!$H$3:$H$195&amp;'Detail inputs'!$D$3:$D$195,0),MATCH(O$4,'Detail inputs'!$B$3:$K$3,0)),0)</f>
        <v>4.346539572707119</v>
      </c>
      <c r="P92" s="128"/>
      <c r="Q92" s="128">
        <f>IF(AND(O92="",P92=""),"",O92+P92*$F92/1000)</f>
        <v>4.346539572707119</v>
      </c>
      <c r="R92" s="143">
        <f>IFERROR(Q92/Q93,"")</f>
        <v>1.1030799359901826E-2</v>
      </c>
      <c r="S92" s="143"/>
      <c r="T92" s="143"/>
      <c r="U92" s="143"/>
      <c r="V92" s="143"/>
      <c r="W92" s="143"/>
      <c r="X92" s="143"/>
      <c r="Y92" s="143"/>
      <c r="Z92" s="143"/>
      <c r="AA92" s="143"/>
      <c r="AB92" s="143"/>
      <c r="AC92" s="143"/>
      <c r="AD92" s="143"/>
      <c r="AE92" s="143"/>
    </row>
    <row r="93" spans="1:31" x14ac:dyDescent="0.25">
      <c r="B93" s="3" t="str">
        <f t="shared" ref="B93:D93" si="63">B92</f>
        <v>Essential</v>
      </c>
      <c r="C93" s="3" t="str">
        <f t="shared" si="63"/>
        <v>Small business</v>
      </c>
      <c r="D93" s="3" t="str">
        <f t="shared" si="63"/>
        <v>without CL</v>
      </c>
      <c r="E93" s="3" t="s">
        <v>19</v>
      </c>
      <c r="F93" s="131">
        <f t="array" ref="F93">IFERROR(INDEX(Usage!$B$5:$P$18,MATCH($B93,Usage!$B$5:$B$18,0),MATCH($C93&amp;$D93&amp;$E93&amp;"Total",Usage!$B$5:$S$5&amp;Usage!$B$6:$S$6&amp;Usage!$B$7:$S$7&amp;Usage!$B$13:$S$13,0)),0)</f>
        <v>10000</v>
      </c>
      <c r="G93" s="5" t="s">
        <v>55</v>
      </c>
      <c r="H93" s="130">
        <f>SUM(H89:H92)</f>
        <v>287.52999999999997</v>
      </c>
      <c r="I93" s="130">
        <f>SUM(I89:I92)</f>
        <v>0</v>
      </c>
      <c r="J93" s="130">
        <f>IF(AND(H93="",I93=""),"",H93+I93*$F93/1000)</f>
        <v>287.52999999999997</v>
      </c>
      <c r="K93" s="145"/>
      <c r="L93" s="130"/>
      <c r="M93" s="145">
        <f>IF(OR(J93=0,Q93=""),"",Q93/J93-1)</f>
        <v>0.37041936972359557</v>
      </c>
      <c r="N93" s="130"/>
      <c r="O93" s="130">
        <f>SUM(O89:O92)</f>
        <v>394.03668137662538</v>
      </c>
      <c r="P93" s="130">
        <f>SUM(P89:P92)</f>
        <v>0</v>
      </c>
      <c r="Q93" s="130">
        <f>IF(AND(O93="",P93=""),"",O93+P93*$F93/1000)</f>
        <v>394.03668137662538</v>
      </c>
      <c r="R93" s="145"/>
      <c r="S93" s="145"/>
      <c r="T93" s="145"/>
      <c r="U93" s="145"/>
      <c r="V93" s="145"/>
      <c r="W93" s="145"/>
      <c r="X93" s="145"/>
      <c r="Y93" s="145"/>
      <c r="Z93" s="145"/>
      <c r="AA93" s="145"/>
      <c r="AB93" s="145"/>
      <c r="AC93" s="145"/>
      <c r="AD93" s="145"/>
      <c r="AE93" s="145"/>
    </row>
    <row r="94" spans="1:31" x14ac:dyDescent="0.25">
      <c r="B94" s="3" t="str">
        <f t="shared" ref="B94:D94" si="64">B93</f>
        <v>Essential</v>
      </c>
      <c r="C94" s="3" t="str">
        <f t="shared" si="64"/>
        <v>Small business</v>
      </c>
      <c r="D94" s="3" t="str">
        <f t="shared" si="64"/>
        <v>without CL</v>
      </c>
      <c r="E94" s="3" t="s">
        <v>19</v>
      </c>
      <c r="F94" s="131">
        <f t="array" ref="F94">IFERROR(INDEX(Usage!$B$5:$P$18,MATCH($B94,Usage!$B$5:$B$18,0),MATCH($C94&amp;$D94&amp;$E94&amp;"Total",Usage!$B$5:$S$5&amp;Usage!$B$6:$S$6&amp;Usage!$B$7:$S$7&amp;Usage!$B$13:$S$13,0)),0)</f>
        <v>10000</v>
      </c>
      <c r="G94" s="3" t="s">
        <v>170</v>
      </c>
      <c r="H94" s="128">
        <f>H93*CPIPY</f>
        <v>20.476736480000046</v>
      </c>
      <c r="I94" s="128"/>
      <c r="J94" s="128">
        <f>J93*CPIPY</f>
        <v>20.476736480000046</v>
      </c>
      <c r="K94" s="144"/>
      <c r="L94" s="128"/>
      <c r="M94" s="144">
        <f>IF(OR(J94=0,Q94=""),"",Q94/J94-1)</f>
        <v>9.2394500961428649E-2</v>
      </c>
      <c r="N94" s="128"/>
      <c r="O94" s="128"/>
      <c r="P94" s="128"/>
      <c r="Q94" s="128">
        <f>Q93*CPI</f>
        <v>22.36867432838833</v>
      </c>
      <c r="R94" s="144"/>
      <c r="S94" s="144"/>
      <c r="T94" s="144"/>
      <c r="U94" s="144"/>
      <c r="V94" s="144"/>
      <c r="W94" s="144"/>
      <c r="X94" s="144"/>
      <c r="Y94" s="144"/>
      <c r="Z94" s="144"/>
      <c r="AA94" s="144"/>
      <c r="AB94" s="144"/>
      <c r="AC94" s="144"/>
      <c r="AD94" s="144"/>
      <c r="AE94" s="144"/>
    </row>
    <row r="95" spans="1:31" s="19" customFormat="1" x14ac:dyDescent="0.25">
      <c r="A95" s="3"/>
      <c r="B95" s="3" t="str">
        <f t="shared" ref="B95:D95" si="65">B94</f>
        <v>Essential</v>
      </c>
      <c r="C95" s="3" t="str">
        <f t="shared" si="65"/>
        <v>Small business</v>
      </c>
      <c r="D95" s="3" t="str">
        <f t="shared" si="65"/>
        <v>without CL</v>
      </c>
      <c r="E95" s="3"/>
      <c r="F95" s="131"/>
      <c r="G95" s="3" t="s">
        <v>38</v>
      </c>
      <c r="H95" s="128"/>
      <c r="I95" s="128"/>
      <c r="J95" s="128">
        <f>SUM(J93,J94)*GST</f>
        <v>30.800673648000004</v>
      </c>
      <c r="K95" s="144"/>
      <c r="L95" s="128"/>
      <c r="M95" s="143">
        <f>IF(OR(J95=0,Q95=""),0,Q95/J95-1)</f>
        <v>0.35193587148069549</v>
      </c>
      <c r="N95" s="128"/>
      <c r="O95" s="128"/>
      <c r="P95" s="128"/>
      <c r="Q95" s="128">
        <f>SUM(Q93,Q94)*GST</f>
        <v>41.640535570501378</v>
      </c>
      <c r="R95" s="145"/>
      <c r="S95" s="145"/>
      <c r="T95" s="145"/>
      <c r="U95" s="145"/>
      <c r="V95" s="145"/>
      <c r="W95" s="145"/>
      <c r="X95" s="145"/>
      <c r="Y95" s="145"/>
      <c r="Z95" s="145"/>
      <c r="AA95" s="145"/>
      <c r="AB95" s="145"/>
      <c r="AC95" s="145"/>
      <c r="AD95" s="145"/>
      <c r="AE95" s="145"/>
    </row>
    <row r="96" spans="1:31" s="19" customFormat="1" x14ac:dyDescent="0.25">
      <c r="A96" s="3"/>
      <c r="B96" s="3" t="str">
        <f t="shared" ref="B96:D96" si="66">B95</f>
        <v>Essential</v>
      </c>
      <c r="C96" s="3" t="str">
        <f t="shared" si="66"/>
        <v>Small business</v>
      </c>
      <c r="D96" s="3" t="str">
        <f t="shared" si="66"/>
        <v>without CL</v>
      </c>
      <c r="E96" s="3"/>
      <c r="F96" s="131"/>
      <c r="G96" s="5" t="s">
        <v>80</v>
      </c>
      <c r="H96" s="130"/>
      <c r="I96" s="130"/>
      <c r="J96" s="130">
        <f>SUM(J93:J95)</f>
        <v>338.80741012800001</v>
      </c>
      <c r="K96" s="145"/>
      <c r="L96" s="130"/>
      <c r="M96" s="145">
        <f>IF(OR(J96=0,Q96=""),"",Q96/J96-1)</f>
        <v>0.35193587148069549</v>
      </c>
      <c r="N96" s="130"/>
      <c r="O96" s="130"/>
      <c r="P96" s="130"/>
      <c r="Q96" s="130">
        <f>SUM(Q93:Q95)</f>
        <v>458.04589127551509</v>
      </c>
      <c r="R96" s="145"/>
      <c r="S96" s="145"/>
      <c r="T96" s="145"/>
      <c r="U96" s="145"/>
      <c r="V96" s="145"/>
      <c r="W96" s="145"/>
      <c r="X96" s="145"/>
      <c r="Y96" s="145"/>
      <c r="Z96" s="145"/>
      <c r="AA96" s="145"/>
      <c r="AB96" s="145"/>
      <c r="AC96" s="145"/>
      <c r="AD96" s="145"/>
      <c r="AE96" s="145"/>
    </row>
    <row r="97" spans="1:31" s="19" customFormat="1" x14ac:dyDescent="0.25">
      <c r="A97" s="3"/>
      <c r="B97" s="3" t="str">
        <f t="shared" ref="B97:D97" si="67">B96</f>
        <v>Essential</v>
      </c>
      <c r="C97" s="3" t="str">
        <f t="shared" si="67"/>
        <v>Small business</v>
      </c>
      <c r="D97" s="3" t="str">
        <f t="shared" si="67"/>
        <v>without CL</v>
      </c>
      <c r="E97" s="3"/>
      <c r="F97" s="131"/>
      <c r="G97" s="3"/>
      <c r="H97" s="128"/>
      <c r="I97" s="128"/>
      <c r="J97" s="128"/>
      <c r="K97" s="143"/>
      <c r="L97" s="128"/>
      <c r="M97" s="143"/>
      <c r="N97" s="128"/>
      <c r="O97" s="128"/>
      <c r="P97" s="128"/>
      <c r="Q97" s="128"/>
      <c r="R97" s="143"/>
      <c r="S97" s="143"/>
      <c r="T97" s="143"/>
      <c r="U97" s="143"/>
      <c r="V97" s="143"/>
      <c r="W97" s="143"/>
      <c r="X97" s="143"/>
      <c r="Y97" s="143"/>
      <c r="Z97" s="143"/>
      <c r="AA97" s="143"/>
      <c r="AB97" s="143"/>
      <c r="AC97" s="143"/>
      <c r="AD97" s="143"/>
      <c r="AE97" s="143"/>
    </row>
    <row r="98" spans="1:31" s="19" customFormat="1" x14ac:dyDescent="0.25">
      <c r="A98" s="3"/>
      <c r="B98" s="5" t="s">
        <v>0</v>
      </c>
      <c r="C98" s="5" t="s">
        <v>6</v>
      </c>
      <c r="D98" s="5" t="s">
        <v>127</v>
      </c>
      <c r="E98" s="3"/>
      <c r="F98" s="131"/>
      <c r="G98" s="3"/>
      <c r="H98" s="128"/>
      <c r="I98" s="128"/>
      <c r="J98" s="128"/>
      <c r="K98" s="143"/>
      <c r="L98" s="129"/>
      <c r="M98" s="143"/>
      <c r="N98" s="129"/>
      <c r="O98" s="128"/>
      <c r="P98" s="128"/>
      <c r="Q98" s="128"/>
      <c r="R98" s="143"/>
      <c r="S98" s="143"/>
      <c r="T98" s="143"/>
      <c r="U98" s="143"/>
      <c r="V98" s="143"/>
      <c r="W98" s="143"/>
      <c r="X98" s="143"/>
      <c r="Y98" s="143"/>
      <c r="Z98" s="143"/>
      <c r="AA98" s="143"/>
      <c r="AB98" s="143"/>
      <c r="AC98" s="143"/>
      <c r="AD98" s="143"/>
      <c r="AE98" s="143"/>
    </row>
    <row r="99" spans="1:31" s="19" customFormat="1" x14ac:dyDescent="0.25">
      <c r="A99" s="3"/>
      <c r="B99" s="3" t="str">
        <f t="shared" ref="B99:D99" si="68">B98</f>
        <v>Energex</v>
      </c>
      <c r="C99" s="3" t="str">
        <f t="shared" si="68"/>
        <v>Residential</v>
      </c>
      <c r="D99" s="3" t="str">
        <f t="shared" si="68"/>
        <v>without CL</v>
      </c>
      <c r="E99" s="3" t="s">
        <v>19</v>
      </c>
      <c r="F99" s="131">
        <f t="array" ref="F99">IFERROR(INDEX(Usage!$B$5:$P$18,MATCH($B99,Usage!$B$5:$B$18,0),MATCH($C99&amp;$D99&amp;$E99&amp;"Total",Usage!$B$5:$S$5&amp;Usage!$B$6:$S$6&amp;Usage!$B$7:$S$7&amp;Usage!$B$13:$S$13,0)),0)</f>
        <v>4600</v>
      </c>
      <c r="G99" s="3" t="s">
        <v>270</v>
      </c>
      <c r="H99" s="128" cm="1">
        <f t="array" ref="H99">IFERROR(INDEX('Detail inputs'!$B$3:$K$195,MATCH($B99&amp;$G99&amp;H$5&amp;$C99,'Detail inputs'!$B$3:$B$195&amp;'Detail inputs'!$G$3:$G$195&amp;'Detail inputs'!$H$3:$H$195&amp;'Detail inputs'!$D$3:$D$195,0),MATCH(H$4,'Detail inputs'!$B$3:$K$3,0)),0)</f>
        <v>142</v>
      </c>
      <c r="I99" s="128"/>
      <c r="J99" s="128">
        <f>IF(AND(H99="",I99=""),"",H99+I99*$F99/1000)</f>
        <v>142</v>
      </c>
      <c r="K99" s="143">
        <f>IFERROR(J99/J103,"")</f>
        <v>0.69012441679626757</v>
      </c>
      <c r="L99" s="129"/>
      <c r="M99" s="143">
        <f>IF(OR(J99=0,Q99=""),"",Q99/J99-1)</f>
        <v>0.28159416842754403</v>
      </c>
      <c r="N99" s="129"/>
      <c r="O99" s="128" cm="1">
        <f t="array" ref="O99">IFERROR(INDEX('Detail inputs'!$B$3:$K$195,MATCH($B99&amp;$G99&amp;O$5&amp;$C99,'Detail inputs'!$B$3:$B$195&amp;'Detail inputs'!$G$3:$G$195&amp;'Detail inputs'!$H$3:$H$195&amp;'Detail inputs'!$D$3:$D$195,0),MATCH(O$4,'Detail inputs'!$B$3:$K$3,0)),0)</f>
        <v>181.98637191671125</v>
      </c>
      <c r="P99" s="128"/>
      <c r="Q99" s="128">
        <f>IF(AND(O99="",P99=""),"",O99+P99*$F99/1000)</f>
        <v>181.98637191671125</v>
      </c>
      <c r="R99" s="143">
        <f>IFERROR(Q99/Q103,"")</f>
        <v>0.64456707247066181</v>
      </c>
      <c r="S99" s="143"/>
      <c r="T99" s="143"/>
      <c r="U99" s="143"/>
      <c r="V99" s="143"/>
      <c r="W99" s="143"/>
      <c r="X99" s="143"/>
      <c r="Y99" s="143"/>
      <c r="Z99" s="143"/>
      <c r="AA99" s="143"/>
      <c r="AB99" s="143"/>
      <c r="AC99" s="143"/>
      <c r="AD99" s="143"/>
      <c r="AE99" s="143"/>
    </row>
    <row r="100" spans="1:31" s="19" customFormat="1" x14ac:dyDescent="0.25">
      <c r="A100" s="3"/>
      <c r="B100" s="3" t="str">
        <f t="shared" ref="B100:D100" si="69">B99</f>
        <v>Energex</v>
      </c>
      <c r="C100" s="3" t="str">
        <f t="shared" si="69"/>
        <v>Residential</v>
      </c>
      <c r="D100" s="3" t="str">
        <f t="shared" si="69"/>
        <v>without CL</v>
      </c>
      <c r="E100" s="3" t="s">
        <v>19</v>
      </c>
      <c r="F100" s="131">
        <f t="array" ref="F100">IFERROR(INDEX(Usage!$B$5:$P$18,MATCH($B100,Usage!$B$5:$B$18,0),MATCH($C100&amp;$D100&amp;$E100&amp;"Total",Usage!$B$5:$S$5&amp;Usage!$B$6:$S$6&amp;Usage!$B$7:$S$7&amp;Usage!$B$13:$S$13,0)),0)</f>
        <v>4600</v>
      </c>
      <c r="G100" s="120" t="s">
        <v>277</v>
      </c>
      <c r="H100" s="128" cm="1">
        <f t="array" ref="H100">IFERROR(INDEX('Detail inputs'!$B$3:$K$195,MATCH($B100&amp;$G100&amp;H$5,'Detail inputs'!$B$3:$B$195&amp;'Detail inputs'!$G$3:$G$195&amp;'Detail inputs'!$H$3:$H$195,0),MATCH(H$4,'Detail inputs'!$B$3:$K$3,0)),0)</f>
        <v>39.130000000000003</v>
      </c>
      <c r="I100" s="128"/>
      <c r="J100" s="128">
        <f>IF(AND(H100="",I100=""),"",H100+I100*$F100/1000)</f>
        <v>39.130000000000003</v>
      </c>
      <c r="K100" s="143">
        <f>IFERROR(J100/J103,"")</f>
        <v>0.19017301710730949</v>
      </c>
      <c r="L100" s="129"/>
      <c r="M100" s="143">
        <f>IF(OR(J100=0,Q100=""),"",Q100/J100-1)</f>
        <v>0.59124114892904411</v>
      </c>
      <c r="N100" s="129"/>
      <c r="O100" s="128" cm="1">
        <f t="array" ref="O100">IFERROR(INDEX('Detail inputs'!$B$3:$K$195,MATCH($B100&amp;$G100&amp;O$5,'Detail inputs'!$B$3:$B$195&amp;'Detail inputs'!$G$3:$G$195&amp;'Detail inputs'!$H$3:$H$195,0),MATCH(O$4,'Detail inputs'!$B$3:$K$3,0)),0)</f>
        <v>62.265266157593501</v>
      </c>
      <c r="P100" s="128"/>
      <c r="Q100" s="128">
        <f>IF(AND(O100="",P100=""),"",O100+P100*$F100/1000)</f>
        <v>62.265266157593501</v>
      </c>
      <c r="R100" s="143">
        <f>IFERROR(Q100/Q103,"")</f>
        <v>0.22053376800200514</v>
      </c>
      <c r="S100" s="143"/>
      <c r="T100" s="143"/>
      <c r="U100" s="143"/>
      <c r="V100" s="143"/>
      <c r="W100" s="143"/>
      <c r="X100" s="143"/>
      <c r="Y100" s="143"/>
      <c r="Z100" s="143"/>
      <c r="AA100" s="143"/>
      <c r="AB100" s="143"/>
      <c r="AC100" s="143"/>
      <c r="AD100" s="143"/>
      <c r="AE100" s="143"/>
    </row>
    <row r="101" spans="1:31" x14ac:dyDescent="0.25">
      <c r="B101" s="3" t="str">
        <f t="shared" ref="B101:D102" si="70">B100</f>
        <v>Energex</v>
      </c>
      <c r="C101" s="3" t="str">
        <f t="shared" si="70"/>
        <v>Residential</v>
      </c>
      <c r="D101" s="3" t="str">
        <f t="shared" si="70"/>
        <v>without CL</v>
      </c>
      <c r="E101" s="3" t="s">
        <v>19</v>
      </c>
      <c r="F101" s="131">
        <f t="array" ref="F101">IFERROR(INDEX(Usage!$B$5:$P$18,MATCH($B101,Usage!$B$5:$B$18,0),MATCH($C101&amp;$D101&amp;$E101&amp;"Total",Usage!$B$5:$S$5&amp;Usage!$B$6:$S$6&amp;Usage!$B$7:$S$7&amp;Usage!$B$13:$S$13,0)),0)</f>
        <v>4600</v>
      </c>
      <c r="G101" s="3" t="s">
        <v>167</v>
      </c>
      <c r="H101" s="128" cm="1">
        <f t="array" ref="H101">IFERROR(INDEX('Detail inputs'!$B$3:$K$195,MATCH($B101&amp;$G101&amp;H$5,'Detail inputs'!$B$3:$B$195&amp;'Detail inputs'!$G$3:$G$195&amp;'Detail inputs'!$H$3:$H$195,0),MATCH(H$4,'Detail inputs'!$B$3:$K$3,0)),0)</f>
        <v>24</v>
      </c>
      <c r="I101" s="128"/>
      <c r="J101" s="128">
        <f>IF(AND(H101="",I101=""),"",H101+I101*$F101/1000)</f>
        <v>24</v>
      </c>
      <c r="K101" s="143">
        <f>IFERROR(J101/J103,"")</f>
        <v>0.1166407465007776</v>
      </c>
      <c r="L101" s="129"/>
      <c r="M101" s="143">
        <f>IF(OR(J101=0,Q101=""),0,Q101/J101-1)</f>
        <v>0.47689609526530252</v>
      </c>
      <c r="N101" s="129"/>
      <c r="O101" s="128" cm="1">
        <f t="array" ref="O101">IFERROR(INDEX('Detail inputs'!$B$3:$K$195,MATCH($B101&amp;$G101&amp;O$5,'Detail inputs'!$B$3:$B$195&amp;'Detail inputs'!$G$3:$G$195&amp;'Detail inputs'!$H$3:$H$195,0),MATCH(O$4,'Detail inputs'!$B$3:$K$3,0)),0)</f>
        <v>35.445506286367262</v>
      </c>
      <c r="P101" s="128"/>
      <c r="Q101" s="128">
        <f>IF(AND(O101="",P101=""),"",O101+P101*$F101/1000)</f>
        <v>35.445506286367262</v>
      </c>
      <c r="R101" s="143">
        <f>IFERROR(Q101/Q103,"")</f>
        <v>0.12554240176676779</v>
      </c>
      <c r="S101" s="143"/>
      <c r="T101" s="143"/>
      <c r="U101" s="143"/>
      <c r="V101" s="143"/>
      <c r="W101" s="143"/>
      <c r="X101" s="143"/>
      <c r="Y101" s="143"/>
      <c r="Z101" s="143"/>
      <c r="AA101" s="143"/>
      <c r="AB101" s="143"/>
      <c r="AC101" s="143"/>
      <c r="AD101" s="143"/>
      <c r="AE101" s="143"/>
    </row>
    <row r="102" spans="1:31" x14ac:dyDescent="0.25">
      <c r="B102" s="3" t="str">
        <f t="shared" si="70"/>
        <v>Energex</v>
      </c>
      <c r="C102" s="3" t="str">
        <f t="shared" si="70"/>
        <v>Residential</v>
      </c>
      <c r="D102" s="3" t="str">
        <f t="shared" si="70"/>
        <v>without CL</v>
      </c>
      <c r="E102" s="3" t="s">
        <v>19</v>
      </c>
      <c r="F102" s="131">
        <f t="array" ref="F102">IFERROR(INDEX(Usage!$B$5:$P$18,MATCH($B102,Usage!$B$5:$B$18,0),MATCH($C102&amp;$D102&amp;$E102&amp;"Total",Usage!$B$5:$S$5&amp;Usage!$B$6:$S$6&amp;Usage!$B$7:$S$7&amp;Usage!$B$13:$S$13,0)),0)</f>
        <v>4600</v>
      </c>
      <c r="G102" s="3" t="s">
        <v>207</v>
      </c>
      <c r="H102" s="128" cm="1">
        <f t="array" ref="H102">IFERROR(INDEX('Detail inputs'!$B$3:$K$195,MATCH($B102&amp;$G102&amp;H$5,'Detail inputs'!$B$3:$B$195&amp;'Detail inputs'!$G$3:$G$195&amp;'Detail inputs'!$H$3:$H$195,0),MATCH(H$4,'Detail inputs'!$B$3:$K$3,0)),0)</f>
        <v>0.63</v>
      </c>
      <c r="I102" s="128"/>
      <c r="J102" s="128">
        <f>IF(AND(H102="",I102=""),"",H102+I102*$F102/1000)</f>
        <v>0.63</v>
      </c>
      <c r="K102" s="143">
        <f>IFERROR(J102/J103,"")</f>
        <v>3.0618195956454122E-3</v>
      </c>
      <c r="L102" s="129"/>
      <c r="M102" s="143">
        <f>IF(OR(J102=0,Q102=""),0,Q102/J102-1)</f>
        <v>3.1932966548343407</v>
      </c>
      <c r="N102" s="129"/>
      <c r="O102" s="128" cm="1">
        <f t="array" ref="O102">IFERROR(INDEX('Detail inputs'!$B$3:$K$195,MATCH($B102&amp;$G102&amp;O$5&amp;$C102,'Detail inputs'!$B$3:$B$195&amp;'Detail inputs'!$G$3:$G$195&amp;'Detail inputs'!$H$3:$H$195&amp;'Detail inputs'!$D$3:$D$195,0),MATCH(O$4,'Detail inputs'!$B$3:$K$3,0)),0)</f>
        <v>2.6417768925456344</v>
      </c>
      <c r="P102" s="128"/>
      <c r="Q102" s="128">
        <f>IF(AND(O102="",P102=""),"",O102+P102*$F102/1000)</f>
        <v>2.6417768925456344</v>
      </c>
      <c r="R102" s="143">
        <f>IFERROR(Q102/Q103,"")</f>
        <v>9.3567577605651406E-3</v>
      </c>
      <c r="S102" s="143"/>
      <c r="T102" s="143"/>
      <c r="U102" s="143"/>
      <c r="V102" s="143"/>
      <c r="W102" s="143"/>
      <c r="X102" s="143"/>
      <c r="Y102" s="143"/>
      <c r="Z102" s="143"/>
      <c r="AA102" s="143"/>
      <c r="AB102" s="143"/>
      <c r="AC102" s="143"/>
      <c r="AD102" s="143"/>
      <c r="AE102" s="143"/>
    </row>
    <row r="103" spans="1:31" x14ac:dyDescent="0.25">
      <c r="B103" s="3" t="str">
        <f t="shared" ref="B103:D103" si="71">B102</f>
        <v>Energex</v>
      </c>
      <c r="C103" s="3" t="str">
        <f t="shared" si="71"/>
        <v>Residential</v>
      </c>
      <c r="D103" s="3" t="str">
        <f t="shared" si="71"/>
        <v>without CL</v>
      </c>
      <c r="E103" s="3" t="s">
        <v>19</v>
      </c>
      <c r="F103" s="131">
        <f t="array" ref="F103">IFERROR(INDEX(Usage!$B$5:$P$18,MATCH($B103,Usage!$B$5:$B$18,0),MATCH($C103&amp;$D103&amp;$E103&amp;"Total",Usage!$B$5:$S$5&amp;Usage!$B$6:$S$6&amp;Usage!$B$7:$S$7&amp;Usage!$B$13:$S$13,0)),0)</f>
        <v>4600</v>
      </c>
      <c r="G103" s="5" t="s">
        <v>55</v>
      </c>
      <c r="H103" s="130">
        <f>SUM(H99:H102)</f>
        <v>205.76</v>
      </c>
      <c r="I103" s="130">
        <f>SUM(I99:I102)</f>
        <v>0</v>
      </c>
      <c r="J103" s="130">
        <f>IF(AND(H103="",I103=""),"",H103+I103*$F103/1000)</f>
        <v>205.76</v>
      </c>
      <c r="K103" s="145"/>
      <c r="L103" s="130"/>
      <c r="M103" s="145">
        <f>IF(OR(J103=0,Q103=""),"",Q103/J103-1)</f>
        <v>0.37217593921664904</v>
      </c>
      <c r="N103" s="130"/>
      <c r="O103" s="130">
        <f>SUM(O99:O102)</f>
        <v>282.33892125321768</v>
      </c>
      <c r="P103" s="130">
        <f>SUM(P99:P102)</f>
        <v>0</v>
      </c>
      <c r="Q103" s="130">
        <f>IF(AND(O103="",P103=""),"",O103+P103*$F103/1000)</f>
        <v>282.33892125321768</v>
      </c>
      <c r="R103" s="145"/>
      <c r="S103" s="145"/>
      <c r="T103" s="145"/>
      <c r="U103" s="145"/>
      <c r="V103" s="145"/>
      <c r="W103" s="145"/>
      <c r="X103" s="145"/>
      <c r="Y103" s="145"/>
      <c r="Z103" s="145"/>
      <c r="AA103" s="145"/>
      <c r="AB103" s="145"/>
      <c r="AC103" s="145"/>
      <c r="AD103" s="145"/>
      <c r="AE103" s="145"/>
    </row>
    <row r="104" spans="1:31" s="19" customFormat="1" x14ac:dyDescent="0.25">
      <c r="A104" s="3"/>
      <c r="B104" s="3" t="str">
        <f t="shared" ref="B104:D104" si="72">B103</f>
        <v>Energex</v>
      </c>
      <c r="C104" s="3" t="str">
        <f t="shared" si="72"/>
        <v>Residential</v>
      </c>
      <c r="D104" s="3" t="str">
        <f t="shared" si="72"/>
        <v>without CL</v>
      </c>
      <c r="E104" s="3" t="s">
        <v>19</v>
      </c>
      <c r="F104" s="131">
        <f t="array" ref="F104">IFERROR(INDEX(Usage!$B$5:$P$18,MATCH($B104,Usage!$B$5:$B$18,0),MATCH($C104&amp;$D104&amp;$E104&amp;"Total",Usage!$B$5:$S$5&amp;Usage!$B$6:$S$6&amp;Usage!$B$7:$S$7&amp;Usage!$B$13:$S$13,0)),0)</f>
        <v>4600</v>
      </c>
      <c r="G104" s="3" t="s">
        <v>170</v>
      </c>
      <c r="H104" s="128">
        <f>H103*CPIPY</f>
        <v>14.653404160000035</v>
      </c>
      <c r="I104" s="128"/>
      <c r="J104" s="128">
        <f>J103*CPIPY</f>
        <v>14.653404160000035</v>
      </c>
      <c r="K104" s="144"/>
      <c r="L104" s="128"/>
      <c r="M104" s="144">
        <f>IF(OR(J104=0,Q104=""),"",Q104/J104-1)</f>
        <v>9.3794705086648333E-2</v>
      </c>
      <c r="N104" s="128"/>
      <c r="O104" s="128"/>
      <c r="P104" s="128"/>
      <c r="Q104" s="128">
        <f>Q103*CPI</f>
        <v>16.027815881702704</v>
      </c>
      <c r="R104" s="144"/>
      <c r="S104" s="144"/>
      <c r="T104" s="144"/>
      <c r="U104" s="144"/>
      <c r="V104" s="144"/>
      <c r="W104" s="144"/>
      <c r="X104" s="144"/>
      <c r="Y104" s="144"/>
      <c r="Z104" s="144"/>
      <c r="AA104" s="144"/>
      <c r="AB104" s="144"/>
      <c r="AC104" s="144"/>
      <c r="AD104" s="144"/>
      <c r="AE104" s="144"/>
    </row>
    <row r="105" spans="1:31" s="19" customFormat="1" x14ac:dyDescent="0.25">
      <c r="A105" s="3"/>
      <c r="B105" s="3" t="str">
        <f t="shared" ref="B105:D105" si="73">B104</f>
        <v>Energex</v>
      </c>
      <c r="C105" s="3" t="str">
        <f t="shared" si="73"/>
        <v>Residential</v>
      </c>
      <c r="D105" s="3" t="str">
        <f t="shared" si="73"/>
        <v>without CL</v>
      </c>
      <c r="E105" s="3"/>
      <c r="F105" s="131"/>
      <c r="G105" s="3" t="s">
        <v>38</v>
      </c>
      <c r="H105" s="128"/>
      <c r="I105" s="128"/>
      <c r="J105" s="128">
        <f>SUM(J103,J104)*GST</f>
        <v>22.041340416000004</v>
      </c>
      <c r="K105" s="144"/>
      <c r="L105" s="128"/>
      <c r="M105" s="144">
        <f>IF(OR(J105=0,Q105=""),"",Q105/J105-1)</f>
        <v>0.35366874928501768</v>
      </c>
      <c r="N105" s="128"/>
      <c r="O105" s="128"/>
      <c r="P105" s="128"/>
      <c r="Q105" s="128">
        <f>SUM(Q103,Q104)*GST</f>
        <v>29.836673713492036</v>
      </c>
      <c r="R105" s="145"/>
      <c r="S105" s="145"/>
      <c r="T105" s="145"/>
      <c r="U105" s="145"/>
      <c r="V105" s="145"/>
      <c r="W105" s="145"/>
      <c r="X105" s="145"/>
      <c r="Y105" s="145"/>
      <c r="Z105" s="145"/>
      <c r="AA105" s="145"/>
      <c r="AB105" s="145"/>
      <c r="AC105" s="145"/>
      <c r="AD105" s="145"/>
      <c r="AE105" s="145"/>
    </row>
    <row r="106" spans="1:31" s="19" customFormat="1" x14ac:dyDescent="0.25">
      <c r="A106" s="3"/>
      <c r="B106" s="3" t="str">
        <f t="shared" ref="B106:D106" si="74">B105</f>
        <v>Energex</v>
      </c>
      <c r="C106" s="3" t="str">
        <f t="shared" si="74"/>
        <v>Residential</v>
      </c>
      <c r="D106" s="3" t="str">
        <f t="shared" si="74"/>
        <v>without CL</v>
      </c>
      <c r="E106" s="3"/>
      <c r="F106" s="131"/>
      <c r="G106" s="5" t="s">
        <v>80</v>
      </c>
      <c r="H106" s="130"/>
      <c r="I106" s="130"/>
      <c r="J106" s="130">
        <f>SUM(J103:J105)</f>
        <v>242.45474457600002</v>
      </c>
      <c r="K106" s="145"/>
      <c r="L106" s="130"/>
      <c r="M106" s="145">
        <f>IF(OR(J106=0,Q106=""),"",Q106/J106-1)</f>
        <v>0.35366874928501768</v>
      </c>
      <c r="N106" s="130"/>
      <c r="O106" s="130"/>
      <c r="P106" s="130"/>
      <c r="Q106" s="130">
        <f>SUM(Q103:Q105)</f>
        <v>328.20341084841237</v>
      </c>
      <c r="R106" s="145"/>
      <c r="S106" s="145"/>
      <c r="T106" s="145"/>
      <c r="U106" s="145"/>
      <c r="V106" s="145"/>
      <c r="W106" s="145"/>
      <c r="X106" s="145"/>
      <c r="Y106" s="145"/>
      <c r="Z106" s="145"/>
      <c r="AA106" s="145"/>
      <c r="AB106" s="145"/>
      <c r="AC106" s="145"/>
      <c r="AD106" s="145"/>
      <c r="AE106" s="145"/>
    </row>
    <row r="107" spans="1:31" s="19" customFormat="1" x14ac:dyDescent="0.25">
      <c r="A107" s="3"/>
      <c r="B107" s="3" t="str">
        <f t="shared" ref="B107:D107" si="75">B106</f>
        <v>Energex</v>
      </c>
      <c r="C107" s="3" t="str">
        <f t="shared" si="75"/>
        <v>Residential</v>
      </c>
      <c r="D107" s="3" t="str">
        <f t="shared" si="75"/>
        <v>without CL</v>
      </c>
      <c r="E107" s="3"/>
      <c r="F107" s="131"/>
      <c r="G107" s="3"/>
      <c r="H107" s="128"/>
      <c r="I107" s="128"/>
      <c r="J107" s="128"/>
      <c r="K107" s="143"/>
      <c r="L107" s="128"/>
      <c r="M107" s="143"/>
      <c r="N107" s="128"/>
      <c r="O107" s="128"/>
      <c r="P107" s="128"/>
      <c r="Q107" s="128"/>
      <c r="R107" s="143"/>
      <c r="S107" s="143"/>
      <c r="T107" s="143"/>
      <c r="U107" s="143"/>
      <c r="V107" s="143"/>
      <c r="W107" s="143"/>
      <c r="X107" s="143"/>
      <c r="Y107" s="143"/>
      <c r="Z107" s="143"/>
      <c r="AA107" s="143"/>
      <c r="AB107" s="143"/>
      <c r="AC107" s="143"/>
      <c r="AD107" s="143"/>
      <c r="AE107" s="143"/>
    </row>
    <row r="108" spans="1:31" s="19" customFormat="1" x14ac:dyDescent="0.25">
      <c r="A108" s="3"/>
      <c r="B108" s="59" t="s">
        <v>0</v>
      </c>
      <c r="C108" s="59" t="s">
        <v>6</v>
      </c>
      <c r="D108" s="5" t="s">
        <v>128</v>
      </c>
      <c r="E108" s="3"/>
      <c r="F108" s="131"/>
      <c r="G108" s="3"/>
      <c r="H108" s="128"/>
      <c r="I108" s="128"/>
      <c r="J108" s="128"/>
      <c r="K108" s="143"/>
      <c r="L108" s="128"/>
      <c r="M108" s="143"/>
      <c r="N108" s="128"/>
      <c r="O108" s="128"/>
      <c r="P108" s="128"/>
      <c r="Q108" s="128"/>
      <c r="R108" s="143"/>
      <c r="S108" s="143"/>
      <c r="T108" s="143"/>
      <c r="U108" s="143"/>
      <c r="V108" s="143"/>
      <c r="W108" s="143"/>
      <c r="X108" s="143"/>
      <c r="Y108" s="143"/>
      <c r="Z108" s="143"/>
      <c r="AA108" s="143"/>
      <c r="AB108" s="143"/>
      <c r="AC108" s="143"/>
      <c r="AD108" s="143"/>
      <c r="AE108" s="143"/>
    </row>
    <row r="109" spans="1:31" s="19" customFormat="1" x14ac:dyDescent="0.25">
      <c r="A109" s="3"/>
      <c r="B109" s="3" t="str">
        <f t="shared" ref="B109:D109" si="76">B108</f>
        <v>Energex</v>
      </c>
      <c r="C109" s="3" t="str">
        <f t="shared" si="76"/>
        <v>Residential</v>
      </c>
      <c r="D109" s="3" t="str">
        <f t="shared" si="76"/>
        <v>with CL</v>
      </c>
      <c r="E109" s="3" t="s">
        <v>19</v>
      </c>
      <c r="F109" s="131">
        <f t="array" ref="F109">IFERROR(INDEX(Usage!$B$5:$P$18,MATCH($B109,Usage!$B$5:$B$18,0),MATCH($C109&amp;$D109&amp;$E109&amp;"Total",Usage!$B$5:$S$5&amp;Usage!$B$6:$S$6&amp;Usage!$B$7:$S$7&amp;Usage!$B$13:$S$13,0)),0)</f>
        <v>4400</v>
      </c>
      <c r="G109" s="3" t="s">
        <v>270</v>
      </c>
      <c r="H109" s="128" cm="1">
        <f t="array" ref="H109">IFERROR(INDEX('Detail inputs'!$B$3:$K$195,MATCH($B109&amp;$G109&amp;H$5&amp;$C109,'Detail inputs'!$B$3:$B$195&amp;'Detail inputs'!$G$3:$G$195&amp;'Detail inputs'!$H$3:$H$195&amp;'Detail inputs'!$D$3:$D$195,0),MATCH(H$4,'Detail inputs'!$B$3:$K$3,0)),0)</f>
        <v>142</v>
      </c>
      <c r="I109" s="128"/>
      <c r="J109" s="128">
        <f>IF(AND(H109="",I109=""),"",H109+I109*$F109/1000)</f>
        <v>142</v>
      </c>
      <c r="K109" s="143">
        <f>IFERROR(J109/J113,"")</f>
        <v>0.69012441679626757</v>
      </c>
      <c r="L109" s="129"/>
      <c r="M109" s="143">
        <f>IF(OR(J109=0,Q109=""),"",Q109/J109-1)</f>
        <v>0.28159416842754403</v>
      </c>
      <c r="N109" s="129"/>
      <c r="O109" s="128" cm="1">
        <f t="array" ref="O109">IFERROR(INDEX('Detail inputs'!$B$3:$K$195,MATCH($B109&amp;$G109&amp;O$5&amp;$C109,'Detail inputs'!$B$3:$B$195&amp;'Detail inputs'!$G$3:$G$195&amp;'Detail inputs'!$H$3:$H$195&amp;'Detail inputs'!$D$3:$D$195,0),MATCH(O$4,'Detail inputs'!$B$3:$K$3,0)),0)</f>
        <v>181.98637191671125</v>
      </c>
      <c r="P109" s="128"/>
      <c r="Q109" s="128">
        <f>IF(AND(O109="",P109=""),"",O109+P109*$F109/1000)</f>
        <v>181.98637191671125</v>
      </c>
      <c r="R109" s="143">
        <f>IFERROR(Q109/Q113,"")</f>
        <v>0.64456707247066181</v>
      </c>
      <c r="S109" s="143"/>
      <c r="T109" s="143"/>
      <c r="U109" s="143"/>
      <c r="V109" s="143"/>
      <c r="W109" s="143"/>
      <c r="X109" s="143"/>
      <c r="Y109" s="143"/>
      <c r="Z109" s="143"/>
      <c r="AA109" s="143"/>
      <c r="AB109" s="143"/>
      <c r="AC109" s="143"/>
      <c r="AD109" s="143"/>
      <c r="AE109" s="143"/>
    </row>
    <row r="110" spans="1:31" x14ac:dyDescent="0.25">
      <c r="B110" s="3" t="str">
        <f t="shared" ref="B110:D110" si="77">B109</f>
        <v>Energex</v>
      </c>
      <c r="C110" s="3" t="str">
        <f t="shared" si="77"/>
        <v>Residential</v>
      </c>
      <c r="D110" s="3" t="str">
        <f t="shared" si="77"/>
        <v>with CL</v>
      </c>
      <c r="E110" s="3" t="s">
        <v>19</v>
      </c>
      <c r="F110" s="131">
        <f t="array" ref="F110">IFERROR(INDEX(Usage!$B$5:$P$18,MATCH($B110,Usage!$B$5:$B$18,0),MATCH($C110&amp;$D110&amp;$E110&amp;"Total",Usage!$B$5:$S$5&amp;Usage!$B$6:$S$6&amp;Usage!$B$7:$S$7&amp;Usage!$B$13:$S$13,0)),0)</f>
        <v>4400</v>
      </c>
      <c r="G110" s="120" t="s">
        <v>277</v>
      </c>
      <c r="H110" s="128" cm="1">
        <f t="array" ref="H110">IFERROR(INDEX('Detail inputs'!$B$3:$K$195,MATCH($B110&amp;$G110&amp;H$5,'Detail inputs'!$B$3:$B$195&amp;'Detail inputs'!$G$3:$G$195&amp;'Detail inputs'!$H$3:$H$195,0),MATCH(H$4,'Detail inputs'!$B$3:$K$3,0)),0)</f>
        <v>39.130000000000003</v>
      </c>
      <c r="I110" s="128"/>
      <c r="J110" s="128">
        <f>IF(AND(H110="",I110=""),"",H110+I110*$F110/1000)</f>
        <v>39.130000000000003</v>
      </c>
      <c r="K110" s="143">
        <f>IFERROR(J110/J113,"")</f>
        <v>0.19017301710730949</v>
      </c>
      <c r="L110" s="129"/>
      <c r="M110" s="143">
        <f>IF(OR(J110=0,Q110=""),"",Q110/J110-1)</f>
        <v>0.59124114892904411</v>
      </c>
      <c r="N110" s="129"/>
      <c r="O110" s="128" cm="1">
        <f t="array" ref="O110">IFERROR(INDEX('Detail inputs'!$B$3:$K$195,MATCH($B110&amp;$G110&amp;O$5,'Detail inputs'!$B$3:$B$195&amp;'Detail inputs'!$G$3:$G$195&amp;'Detail inputs'!$H$3:$H$195,0),MATCH(O$4,'Detail inputs'!$B$3:$K$3,0)),0)</f>
        <v>62.265266157593501</v>
      </c>
      <c r="P110" s="128"/>
      <c r="Q110" s="128">
        <f>IF(AND(O110="",P110=""),"",O110+P110*$F110/1000)</f>
        <v>62.265266157593501</v>
      </c>
      <c r="R110" s="143">
        <f>IFERROR(Q110/Q113,"")</f>
        <v>0.22053376800200514</v>
      </c>
      <c r="S110" s="143"/>
      <c r="T110" s="143"/>
      <c r="U110" s="143"/>
      <c r="V110" s="143"/>
      <c r="W110" s="143"/>
      <c r="X110" s="143"/>
      <c r="Y110" s="143"/>
      <c r="Z110" s="143"/>
      <c r="AA110" s="143"/>
      <c r="AB110" s="143"/>
      <c r="AC110" s="143"/>
      <c r="AD110" s="143"/>
      <c r="AE110" s="143"/>
    </row>
    <row r="111" spans="1:31" x14ac:dyDescent="0.25">
      <c r="B111" s="3" t="str">
        <f t="shared" ref="B111:D112" si="78">B110</f>
        <v>Energex</v>
      </c>
      <c r="C111" s="3" t="str">
        <f t="shared" si="78"/>
        <v>Residential</v>
      </c>
      <c r="D111" s="3" t="str">
        <f t="shared" si="78"/>
        <v>with CL</v>
      </c>
      <c r="E111" s="3" t="s">
        <v>19</v>
      </c>
      <c r="F111" s="131">
        <f t="array" ref="F111">IFERROR(INDEX(Usage!$B$5:$P$18,MATCH($B111,Usage!$B$5:$B$18,0),MATCH($C111&amp;$D111&amp;$E111&amp;"Total",Usage!$B$5:$S$5&amp;Usage!$B$6:$S$6&amp;Usage!$B$7:$S$7&amp;Usage!$B$13:$S$13,0)),0)</f>
        <v>4400</v>
      </c>
      <c r="G111" s="3" t="s">
        <v>167</v>
      </c>
      <c r="H111" s="128" cm="1">
        <f t="array" ref="H111">IFERROR(INDEX('Detail inputs'!$B$3:$K$195,MATCH($B111&amp;$G111&amp;H$5,'Detail inputs'!$B$3:$B$195&amp;'Detail inputs'!$G$3:$G$195&amp;'Detail inputs'!$H$3:$H$195,0),MATCH(H$4,'Detail inputs'!$B$3:$K$3,0)),0)</f>
        <v>24</v>
      </c>
      <c r="I111" s="128"/>
      <c r="J111" s="128">
        <f>IF(AND(H111="",I111=""),"",H111+I111*$F111/1000)</f>
        <v>24</v>
      </c>
      <c r="K111" s="143">
        <f>IFERROR(J111/J113,"")</f>
        <v>0.1166407465007776</v>
      </c>
      <c r="L111" s="129"/>
      <c r="M111" s="143">
        <f>IF(OR(J111=0,Q111=""),"",Q111/J111-1)</f>
        <v>0.47689609526530252</v>
      </c>
      <c r="N111" s="129"/>
      <c r="O111" s="128" cm="1">
        <f t="array" ref="O111">IFERROR(INDEX('Detail inputs'!$B$3:$K$195,MATCH($B111&amp;$G111&amp;O$5,'Detail inputs'!$B$3:$B$195&amp;'Detail inputs'!$G$3:$G$195&amp;'Detail inputs'!$H$3:$H$195,0),MATCH(O$4,'Detail inputs'!$B$3:$K$3,0)),0)</f>
        <v>35.445506286367262</v>
      </c>
      <c r="P111" s="128"/>
      <c r="Q111" s="128">
        <f>IF(AND(O111="",P111=""),"",O111+P111*$F111/1000)</f>
        <v>35.445506286367262</v>
      </c>
      <c r="R111" s="143">
        <f>IFERROR(Q111/Q113,"")</f>
        <v>0.12554240176676779</v>
      </c>
      <c r="S111" s="143"/>
      <c r="T111" s="143"/>
      <c r="U111" s="143"/>
      <c r="V111" s="143"/>
      <c r="W111" s="143"/>
      <c r="X111" s="143"/>
      <c r="Y111" s="143"/>
      <c r="Z111" s="143"/>
      <c r="AA111" s="143"/>
      <c r="AB111" s="143"/>
      <c r="AC111" s="143"/>
      <c r="AD111" s="143"/>
      <c r="AE111" s="143"/>
    </row>
    <row r="112" spans="1:31" x14ac:dyDescent="0.25">
      <c r="B112" s="3" t="str">
        <f t="shared" si="78"/>
        <v>Energex</v>
      </c>
      <c r="C112" s="3" t="str">
        <f t="shared" si="78"/>
        <v>Residential</v>
      </c>
      <c r="D112" s="3" t="str">
        <f t="shared" si="78"/>
        <v>with CL</v>
      </c>
      <c r="E112" s="3" t="s">
        <v>19</v>
      </c>
      <c r="F112" s="131">
        <f t="array" ref="F112">IFERROR(INDEX(Usage!$B$5:$P$18,MATCH($B112,Usage!$B$5:$B$18,0),MATCH($C112&amp;$D112&amp;$E112&amp;"Total",Usage!$B$5:$S$5&amp;Usage!$B$6:$S$6&amp;Usage!$B$7:$S$7&amp;Usage!$B$13:$S$13,0)),0)</f>
        <v>4400</v>
      </c>
      <c r="G112" s="3" t="s">
        <v>207</v>
      </c>
      <c r="H112" s="128" cm="1">
        <f t="array" ref="H112">IFERROR(INDEX('Detail inputs'!$B$3:$K$195,MATCH($B112&amp;$G112&amp;H$5,'Detail inputs'!$B$3:$B$195&amp;'Detail inputs'!$G$3:$G$195&amp;'Detail inputs'!$H$3:$H$195,0),MATCH(H$4,'Detail inputs'!$B$3:$K$3,0)),0)</f>
        <v>0.63</v>
      </c>
      <c r="I112" s="128"/>
      <c r="J112" s="128">
        <f>IF(AND(H112="",I112=""),"",H112+I112*$F112/1000)</f>
        <v>0.63</v>
      </c>
      <c r="K112" s="143">
        <f>IFERROR(J112/J113,"")</f>
        <v>3.0618195956454122E-3</v>
      </c>
      <c r="L112" s="129"/>
      <c r="M112" s="143">
        <f>IF(OR(J112=0,Q112=""),0,Q112/J112-1)</f>
        <v>3.1932966548343407</v>
      </c>
      <c r="N112" s="129"/>
      <c r="O112" s="128" cm="1">
        <f t="array" ref="O112">IFERROR(INDEX('Detail inputs'!$B$3:$K$195,MATCH($B112&amp;$G112&amp;O$5&amp;$C112,'Detail inputs'!$B$3:$B$195&amp;'Detail inputs'!$G$3:$G$195&amp;'Detail inputs'!$H$3:$H$195&amp;'Detail inputs'!$D$3:$D$195,0),MATCH(O$4,'Detail inputs'!$B$3:$K$3,0)),0)</f>
        <v>2.6417768925456344</v>
      </c>
      <c r="P112" s="128"/>
      <c r="Q112" s="128">
        <f>IF(AND(O112="",P112=""),"",O112+P112*$F112/1000)</f>
        <v>2.6417768925456344</v>
      </c>
      <c r="R112" s="143">
        <f>IFERROR(Q112/Q113,"")</f>
        <v>9.3567577605651406E-3</v>
      </c>
      <c r="S112" s="143"/>
      <c r="T112" s="143"/>
      <c r="U112" s="143"/>
      <c r="V112" s="143"/>
      <c r="W112" s="143"/>
      <c r="X112" s="143"/>
      <c r="Y112" s="143"/>
      <c r="Z112" s="143"/>
      <c r="AA112" s="143"/>
      <c r="AB112" s="143"/>
      <c r="AC112" s="143"/>
      <c r="AD112" s="143"/>
      <c r="AE112" s="143"/>
    </row>
    <row r="113" spans="1:31" s="19" customFormat="1" x14ac:dyDescent="0.25">
      <c r="A113" s="3"/>
      <c r="B113" s="3" t="str">
        <f t="shared" ref="B113:D113" si="79">B112</f>
        <v>Energex</v>
      </c>
      <c r="C113" s="3" t="str">
        <f t="shared" si="79"/>
        <v>Residential</v>
      </c>
      <c r="D113" s="3" t="str">
        <f t="shared" si="79"/>
        <v>with CL</v>
      </c>
      <c r="E113" s="3" t="s">
        <v>19</v>
      </c>
      <c r="F113" s="131">
        <f t="array" ref="F113">IFERROR(INDEX(Usage!$B$5:$P$18,MATCH($B113,Usage!$B$5:$B$18,0),MATCH($C113&amp;$D113&amp;$E113&amp;"Total",Usage!$B$5:$S$5&amp;Usage!$B$6:$S$6&amp;Usage!$B$7:$S$7&amp;Usage!$B$13:$S$13,0)),0)</f>
        <v>4400</v>
      </c>
      <c r="G113" s="5" t="s">
        <v>55</v>
      </c>
      <c r="H113" s="130">
        <f>SUM(H109:H112)</f>
        <v>205.76</v>
      </c>
      <c r="I113" s="130">
        <f>SUM(I109:I112)</f>
        <v>0</v>
      </c>
      <c r="J113" s="130">
        <f>IF(AND(H113="",I113=""),"",H113+I113*$F113/1000)</f>
        <v>205.76</v>
      </c>
      <c r="K113" s="145"/>
      <c r="L113" s="130"/>
      <c r="M113" s="145">
        <f>IF(OR(J113=0,Q113=""),"",Q113/J113-1)</f>
        <v>0.37217593921664904</v>
      </c>
      <c r="N113" s="130"/>
      <c r="O113" s="130">
        <f>SUM(O109:O112)</f>
        <v>282.33892125321768</v>
      </c>
      <c r="P113" s="130">
        <f>SUM(P109:P112)</f>
        <v>0</v>
      </c>
      <c r="Q113" s="130">
        <f>IF(AND(O113="",P113=""),"",O113+P113*$F113/1000)</f>
        <v>282.33892125321768</v>
      </c>
      <c r="R113" s="145"/>
      <c r="S113" s="145"/>
      <c r="T113" s="145"/>
      <c r="U113" s="145"/>
      <c r="V113" s="145"/>
      <c r="W113" s="145"/>
      <c r="X113" s="145"/>
      <c r="Y113" s="145"/>
      <c r="Z113" s="145"/>
      <c r="AA113" s="145"/>
      <c r="AB113" s="145"/>
      <c r="AC113" s="145"/>
      <c r="AD113" s="145"/>
      <c r="AE113" s="145"/>
    </row>
    <row r="114" spans="1:31" s="19" customFormat="1" x14ac:dyDescent="0.25">
      <c r="A114" s="3"/>
      <c r="B114" s="3" t="str">
        <f t="shared" ref="B114:D114" si="80">B113</f>
        <v>Energex</v>
      </c>
      <c r="C114" s="3" t="str">
        <f t="shared" si="80"/>
        <v>Residential</v>
      </c>
      <c r="D114" s="3" t="str">
        <f t="shared" si="80"/>
        <v>with CL</v>
      </c>
      <c r="E114" s="3" t="s">
        <v>19</v>
      </c>
      <c r="F114" s="131">
        <f t="array" ref="F114">IFERROR(INDEX(Usage!$B$5:$P$18,MATCH($B114,Usage!$B$5:$B$18,0),MATCH($C114&amp;$D114&amp;$E114&amp;"Total",Usage!$B$5:$S$5&amp;Usage!$B$6:$S$6&amp;Usage!$B$7:$S$7&amp;Usage!$B$13:$S$13,0)),0)</f>
        <v>4400</v>
      </c>
      <c r="G114" s="3" t="s">
        <v>170</v>
      </c>
      <c r="H114" s="128">
        <f>H113*CPIPY</f>
        <v>14.653404160000035</v>
      </c>
      <c r="I114" s="128"/>
      <c r="J114" s="128">
        <f>J113*CPIPY</f>
        <v>14.653404160000035</v>
      </c>
      <c r="K114" s="144"/>
      <c r="L114" s="128"/>
      <c r="M114" s="144">
        <f>IF(OR(J114=0,Q114=""),"",Q114/J114-1)</f>
        <v>9.3794705086648333E-2</v>
      </c>
      <c r="N114" s="128"/>
      <c r="O114" s="128"/>
      <c r="P114" s="128"/>
      <c r="Q114" s="128">
        <f>Q113*CPI</f>
        <v>16.027815881702704</v>
      </c>
      <c r="R114" s="144"/>
      <c r="S114" s="144"/>
      <c r="T114" s="144"/>
      <c r="U114" s="144"/>
      <c r="V114" s="144"/>
      <c r="W114" s="144"/>
      <c r="X114" s="144"/>
      <c r="Y114" s="144"/>
      <c r="Z114" s="144"/>
      <c r="AA114" s="144"/>
      <c r="AB114" s="144"/>
      <c r="AC114" s="144"/>
      <c r="AD114" s="144"/>
      <c r="AE114" s="144"/>
    </row>
    <row r="115" spans="1:31" s="19" customFormat="1" x14ac:dyDescent="0.25">
      <c r="A115" s="3"/>
      <c r="B115" s="3" t="str">
        <f t="shared" ref="B115:D115" si="81">B114</f>
        <v>Energex</v>
      </c>
      <c r="C115" s="3" t="str">
        <f t="shared" si="81"/>
        <v>Residential</v>
      </c>
      <c r="D115" s="3" t="str">
        <f t="shared" si="81"/>
        <v>with CL</v>
      </c>
      <c r="E115" s="3"/>
      <c r="F115" s="131"/>
      <c r="G115" s="3" t="s">
        <v>38</v>
      </c>
      <c r="H115" s="128"/>
      <c r="I115" s="128"/>
      <c r="J115" s="128">
        <f>SUM(J113,J114)*GST</f>
        <v>22.041340416000004</v>
      </c>
      <c r="K115" s="144"/>
      <c r="L115" s="128"/>
      <c r="M115" s="143">
        <f>IF(OR(J115=0,Q115=""),0,Q115/J115-1)</f>
        <v>0.35366874928501768</v>
      </c>
      <c r="N115" s="128"/>
      <c r="O115" s="128"/>
      <c r="P115" s="128"/>
      <c r="Q115" s="128">
        <f>SUM(Q113,Q114)*GST</f>
        <v>29.836673713492036</v>
      </c>
      <c r="R115" s="145"/>
      <c r="S115" s="145"/>
      <c r="T115" s="145"/>
      <c r="U115" s="145"/>
      <c r="V115" s="145"/>
      <c r="W115" s="145"/>
      <c r="X115" s="145"/>
      <c r="Y115" s="145"/>
      <c r="Z115" s="145"/>
      <c r="AA115" s="145"/>
      <c r="AB115" s="145"/>
      <c r="AC115" s="145"/>
      <c r="AD115" s="145"/>
      <c r="AE115" s="145"/>
    </row>
    <row r="116" spans="1:31" s="19" customFormat="1" x14ac:dyDescent="0.25">
      <c r="A116" s="3"/>
      <c r="B116" s="3" t="str">
        <f t="shared" ref="B116:D116" si="82">B115</f>
        <v>Energex</v>
      </c>
      <c r="C116" s="3" t="str">
        <f t="shared" si="82"/>
        <v>Residential</v>
      </c>
      <c r="D116" s="3" t="str">
        <f t="shared" si="82"/>
        <v>with CL</v>
      </c>
      <c r="E116" s="3"/>
      <c r="F116" s="131"/>
      <c r="G116" s="5" t="s">
        <v>80</v>
      </c>
      <c r="H116" s="130"/>
      <c r="I116" s="130"/>
      <c r="J116" s="130">
        <f>SUM(J113:J115)</f>
        <v>242.45474457600002</v>
      </c>
      <c r="K116" s="145"/>
      <c r="L116" s="130"/>
      <c r="M116" s="145">
        <f>IF(OR(J116=0,Q116=""),"",Q116/J116-1)</f>
        <v>0.35366874928501768</v>
      </c>
      <c r="N116" s="130"/>
      <c r="O116" s="130"/>
      <c r="P116" s="130"/>
      <c r="Q116" s="130">
        <f>SUM(Q113:Q115)</f>
        <v>328.20341084841237</v>
      </c>
      <c r="R116" s="145"/>
      <c r="S116" s="145"/>
      <c r="T116" s="145"/>
      <c r="U116" s="145"/>
      <c r="V116" s="145"/>
      <c r="W116" s="145"/>
      <c r="X116" s="145"/>
      <c r="Y116" s="145"/>
      <c r="Z116" s="145"/>
      <c r="AA116" s="145"/>
      <c r="AB116" s="145"/>
      <c r="AC116" s="145"/>
      <c r="AD116" s="145"/>
      <c r="AE116" s="145"/>
    </row>
    <row r="117" spans="1:31" s="19" customFormat="1" x14ac:dyDescent="0.25">
      <c r="A117" s="3"/>
      <c r="B117" s="3" t="str">
        <f t="shared" ref="B117:D117" si="83">B116</f>
        <v>Energex</v>
      </c>
      <c r="C117" s="3" t="str">
        <f t="shared" si="83"/>
        <v>Residential</v>
      </c>
      <c r="D117" s="3" t="str">
        <f t="shared" si="83"/>
        <v>with CL</v>
      </c>
      <c r="E117" s="3"/>
      <c r="F117" s="131"/>
      <c r="G117" s="3"/>
      <c r="H117" s="128"/>
      <c r="I117" s="128"/>
      <c r="J117" s="128"/>
      <c r="K117" s="143"/>
      <c r="L117" s="128"/>
      <c r="M117" s="143"/>
      <c r="N117" s="128"/>
      <c r="O117" s="128"/>
      <c r="P117" s="128"/>
      <c r="Q117" s="128"/>
      <c r="R117" s="143"/>
      <c r="S117" s="143"/>
      <c r="T117" s="143"/>
      <c r="U117" s="143"/>
      <c r="V117" s="143"/>
      <c r="W117" s="143"/>
      <c r="X117" s="143"/>
      <c r="Y117" s="143"/>
      <c r="Z117" s="143"/>
      <c r="AA117" s="143"/>
      <c r="AB117" s="143"/>
      <c r="AC117" s="143"/>
      <c r="AD117" s="143"/>
      <c r="AE117" s="143"/>
    </row>
    <row r="118" spans="1:31" x14ac:dyDescent="0.25">
      <c r="B118" s="5" t="s">
        <v>0</v>
      </c>
      <c r="C118" s="5" t="s">
        <v>13</v>
      </c>
      <c r="D118" s="5" t="s">
        <v>127</v>
      </c>
      <c r="F118" s="131"/>
      <c r="H118" s="128"/>
      <c r="I118" s="128"/>
      <c r="J118" s="128"/>
      <c r="K118" s="143"/>
      <c r="L118" s="128"/>
      <c r="M118" s="143"/>
      <c r="N118" s="128"/>
      <c r="O118" s="128"/>
      <c r="P118" s="128"/>
      <c r="Q118" s="128"/>
      <c r="R118" s="143"/>
      <c r="S118" s="143"/>
      <c r="T118" s="143"/>
      <c r="U118" s="143"/>
      <c r="V118" s="143"/>
      <c r="W118" s="143"/>
      <c r="X118" s="143"/>
      <c r="Y118" s="143"/>
      <c r="Z118" s="143"/>
      <c r="AA118" s="143"/>
      <c r="AB118" s="143"/>
      <c r="AC118" s="143"/>
      <c r="AD118" s="143"/>
      <c r="AE118" s="143"/>
    </row>
    <row r="119" spans="1:31" x14ac:dyDescent="0.25">
      <c r="B119" s="3" t="str">
        <f t="shared" ref="B119:D119" si="84">B118</f>
        <v>Energex</v>
      </c>
      <c r="C119" s="3" t="str">
        <f t="shared" si="84"/>
        <v>Small business</v>
      </c>
      <c r="D119" s="3" t="str">
        <f t="shared" si="84"/>
        <v>without CL</v>
      </c>
      <c r="E119" s="3" t="s">
        <v>19</v>
      </c>
      <c r="F119" s="131">
        <f t="array" ref="F119">IFERROR(INDEX(Usage!$B$5:$P$18,MATCH($B119,Usage!$B$5:$B$18,0),MATCH($C119&amp;$D119&amp;$E119&amp;"Total",Usage!$B$5:$S$5&amp;Usage!$B$6:$S$6&amp;Usage!$B$7:$S$7&amp;Usage!$B$13:$S$13,0)),0)</f>
        <v>10000</v>
      </c>
      <c r="G119" s="3" t="s">
        <v>270</v>
      </c>
      <c r="H119" s="128" cm="1">
        <f t="array" ref="H119">IFERROR(INDEX('Detail inputs'!$B$3:$K$195,MATCH($B119&amp;$G119&amp;H$5&amp;$C119,'Detail inputs'!$B$3:$B$195&amp;'Detail inputs'!$G$3:$G$195&amp;'Detail inputs'!$H$3:$H$195&amp;'Detail inputs'!$D$3:$D$195,0),MATCH(H$4,'Detail inputs'!$B$3:$K$3,0)),0)</f>
        <v>183</v>
      </c>
      <c r="I119" s="128"/>
      <c r="J119" s="128">
        <f>IF(AND(H119="",I119=""),"",H119+I119*$F119/1000)</f>
        <v>183</v>
      </c>
      <c r="K119" s="143">
        <f>IFERROR(J119/J123,"")</f>
        <v>0.70246823538443826</v>
      </c>
      <c r="L119" s="129"/>
      <c r="M119" s="143">
        <f>IF(OR(J119=0,Q119=""),"",Q119/J119-1)</f>
        <v>5.5685215843886526E-2</v>
      </c>
      <c r="N119" s="129"/>
      <c r="O119" s="128" cm="1">
        <f t="array" ref="O119">IFERROR(INDEX('Detail inputs'!$B$3:$K$195,MATCH($B119&amp;$G119&amp;O$5&amp;$C119,'Detail inputs'!$B$3:$B$195&amp;'Detail inputs'!$G$3:$G$195&amp;'Detail inputs'!$H$3:$H$195&amp;'Detail inputs'!$D$3:$D$195,0),MATCH(O$4,'Detail inputs'!$B$3:$K$3,0)),0)</f>
        <v>193.19039449943125</v>
      </c>
      <c r="P119" s="128"/>
      <c r="Q119" s="128">
        <f>IF(AND(O119="",P119=""),"",O119+P119*$F119/1000)</f>
        <v>193.19039449943125</v>
      </c>
      <c r="R119" s="143">
        <f>IFERROR(Q119/Q123,"")</f>
        <v>0.62267496087146867</v>
      </c>
      <c r="S119" s="143"/>
      <c r="T119" s="143"/>
      <c r="U119" s="143"/>
      <c r="V119" s="143"/>
      <c r="W119" s="143"/>
      <c r="X119" s="143"/>
      <c r="Y119" s="143"/>
      <c r="Z119" s="143"/>
      <c r="AA119" s="143"/>
      <c r="AB119" s="143"/>
      <c r="AC119" s="143"/>
      <c r="AD119" s="143"/>
      <c r="AE119" s="143"/>
    </row>
    <row r="120" spans="1:31" x14ac:dyDescent="0.25">
      <c r="B120" s="3" t="str">
        <f t="shared" ref="B120:D120" si="85">B119</f>
        <v>Energex</v>
      </c>
      <c r="C120" s="3" t="str">
        <f t="shared" si="85"/>
        <v>Small business</v>
      </c>
      <c r="D120" s="3" t="str">
        <f t="shared" si="85"/>
        <v>without CL</v>
      </c>
      <c r="E120" s="3" t="s">
        <v>19</v>
      </c>
      <c r="F120" s="131">
        <f t="array" ref="F120">IFERROR(INDEX(Usage!$B$5:$P$18,MATCH($B120,Usage!$B$5:$B$18,0),MATCH($C120&amp;$D120&amp;$E120&amp;"Total",Usage!$B$5:$S$5&amp;Usage!$B$6:$S$6&amp;Usage!$B$7:$S$7&amp;Usage!$B$13:$S$13,0)),0)</f>
        <v>10000</v>
      </c>
      <c r="G120" s="120" t="s">
        <v>277</v>
      </c>
      <c r="H120" s="128" cm="1">
        <f t="array" ref="H120">IFERROR(INDEX('Detail inputs'!$B$3:$K$195,MATCH($B120&amp;$G120&amp;H$5&amp;$C120,'Detail inputs'!$B$3:$B$195&amp;'Detail inputs'!$G$3:$G$195&amp;'Detail inputs'!$H$3:$H$195&amp;'Detail inputs'!$D$3:$D$195,0),MATCH(H$4,'Detail inputs'!$B$3:$K$3,0)),0)</f>
        <v>35.020000000000003</v>
      </c>
      <c r="I120" s="128"/>
      <c r="J120" s="128">
        <f>IF(AND(H120="",I120=""),"",H120+I120*$F120/1000)</f>
        <v>35.020000000000003</v>
      </c>
      <c r="K120" s="143">
        <f>IFERROR(J120/J123,"")</f>
        <v>0.13442862078231163</v>
      </c>
      <c r="L120" s="129"/>
      <c r="M120" s="143">
        <f>IF(OR(J120=0,Q120=""),"",Q120/J120-1)</f>
        <v>0.64087445607427096</v>
      </c>
      <c r="N120" s="129"/>
      <c r="O120" s="128" cm="1">
        <f t="array" ref="O120">IFERROR(INDEX('Detail inputs'!$B$3:$K$195,MATCH($B120&amp;$G120&amp;O$5&amp;$C120,'Detail inputs'!$B$3:$B$195&amp;'Detail inputs'!$G$3:$G$195&amp;'Detail inputs'!$H$3:$H$195&amp;'Detail inputs'!$D$3:$D$195,0),MATCH(O$4,'Detail inputs'!$B$3:$K$3,0)),0)</f>
        <v>57.463423451720978</v>
      </c>
      <c r="P120" s="128"/>
      <c r="Q120" s="128">
        <f>IF(AND(O120="",P120=""),"",O120+P120*$F120/1000)</f>
        <v>57.463423451720978</v>
      </c>
      <c r="R120" s="143">
        <f>IFERROR(Q120/Q123,"")</f>
        <v>0.18521125256797555</v>
      </c>
      <c r="S120" s="143"/>
      <c r="T120" s="143"/>
      <c r="U120" s="143"/>
      <c r="V120" s="143"/>
      <c r="W120" s="143"/>
      <c r="X120" s="143"/>
      <c r="Y120" s="143"/>
      <c r="Z120" s="143"/>
      <c r="AA120" s="143"/>
      <c r="AB120" s="143"/>
      <c r="AC120" s="143"/>
      <c r="AD120" s="143"/>
      <c r="AE120" s="143"/>
    </row>
    <row r="121" spans="1:31" x14ac:dyDescent="0.25">
      <c r="B121" s="3" t="str">
        <f t="shared" ref="B121:D122" si="86">B120</f>
        <v>Energex</v>
      </c>
      <c r="C121" s="3" t="str">
        <f t="shared" si="86"/>
        <v>Small business</v>
      </c>
      <c r="D121" s="3" t="str">
        <f t="shared" si="86"/>
        <v>without CL</v>
      </c>
      <c r="E121" s="3" t="s">
        <v>19</v>
      </c>
      <c r="F121" s="131">
        <f t="array" ref="F121">IFERROR(INDEX(Usage!$B$5:$P$18,MATCH($B121,Usage!$B$5:$B$18,0),MATCH($C121&amp;$D121&amp;$E121&amp;"Total",Usage!$B$5:$S$5&amp;Usage!$B$6:$S$6&amp;Usage!$B$7:$S$7&amp;Usage!$B$13:$S$13,0)),0)</f>
        <v>10000</v>
      </c>
      <c r="G121" s="3" t="s">
        <v>167</v>
      </c>
      <c r="H121" s="128" cm="1">
        <f t="array" ref="H121">IFERROR(INDEX('Detail inputs'!$B$3:$K$195,MATCH($B121&amp;$G121&amp;H$5&amp;$C121,'Detail inputs'!$B$3:$B$195&amp;'Detail inputs'!$G$3:$G$195&amp;'Detail inputs'!$H$3:$H$195&amp;'Detail inputs'!$D$3:$D$195,0),MATCH(H$4,'Detail inputs'!$B$3:$K$3,0)),0)</f>
        <v>42</v>
      </c>
      <c r="I121" s="128"/>
      <c r="J121" s="128">
        <f>IF(AND(H121="",I121=""),"",H121+I121*$F121/1000)</f>
        <v>42</v>
      </c>
      <c r="K121" s="143">
        <f>IFERROR(J121/J123,"")</f>
        <v>0.16122221795708419</v>
      </c>
      <c r="L121" s="129"/>
      <c r="M121" s="143">
        <f>IF(OR(J121=0,Q121=""),"",Q121/J121-1)</f>
        <v>0.31185021337160368</v>
      </c>
      <c r="N121" s="129"/>
      <c r="O121" s="128" cm="1">
        <f t="array" ref="O121">IFERROR(INDEX('Detail inputs'!$B$3:$K$195,MATCH($B121&amp;$G121&amp;O$5&amp;$C121,'Detail inputs'!$B$3:$B$195&amp;'Detail inputs'!$G$3:$G$195&amp;'Detail inputs'!$H$3:$H$195&amp;'Detail inputs'!$D$3:$D$195,0),MATCH(O$4,'Detail inputs'!$B$3:$K$3,0)),0)</f>
        <v>55.097708961607353</v>
      </c>
      <c r="P121" s="128"/>
      <c r="Q121" s="128">
        <f>IF(AND(O121="",P121=""),"",O121+P121*$F121/1000)</f>
        <v>55.097708961607353</v>
      </c>
      <c r="R121" s="143">
        <f>IFERROR(Q121/Q123,"")</f>
        <v>0.17758628145395414</v>
      </c>
      <c r="S121" s="143"/>
      <c r="T121" s="143"/>
      <c r="U121" s="143"/>
      <c r="V121" s="143"/>
      <c r="W121" s="143"/>
      <c r="X121" s="143"/>
      <c r="Y121" s="143"/>
      <c r="Z121" s="143"/>
      <c r="AA121" s="143"/>
      <c r="AB121" s="143"/>
      <c r="AC121" s="143"/>
      <c r="AD121" s="143"/>
      <c r="AE121" s="143"/>
    </row>
    <row r="122" spans="1:31" s="19" customFormat="1" x14ac:dyDescent="0.25">
      <c r="A122" s="3"/>
      <c r="B122" s="3" t="str">
        <f t="shared" si="86"/>
        <v>Energex</v>
      </c>
      <c r="C122" s="3" t="str">
        <f t="shared" si="86"/>
        <v>Small business</v>
      </c>
      <c r="D122" s="3" t="str">
        <f t="shared" si="86"/>
        <v>without CL</v>
      </c>
      <c r="E122" s="3" t="s">
        <v>19</v>
      </c>
      <c r="F122" s="131">
        <f t="array" ref="F122">IFERROR(INDEX(Usage!$B$5:$P$18,MATCH($B122,Usage!$B$5:$B$18,0),MATCH($C122&amp;$D122&amp;$E122&amp;"Total",Usage!$B$5:$S$5&amp;Usage!$B$6:$S$6&amp;Usage!$B$7:$S$7&amp;Usage!$B$13:$S$13,0)),0)</f>
        <v>10000</v>
      </c>
      <c r="G122" s="3" t="s">
        <v>207</v>
      </c>
      <c r="H122" s="128" cm="1">
        <f t="array" ref="H122">IFERROR(INDEX('Detail inputs'!$B$3:$K$195,MATCH($B122&amp;$G122&amp;H$5&amp;$C122,'Detail inputs'!$B$3:$B$195&amp;'Detail inputs'!$G$3:$G$195&amp;'Detail inputs'!$H$3:$H$195&amp;'Detail inputs'!$D$3:$D$195,0),MATCH(H$4,'Detail inputs'!$B$3:$K$3,0)),0)</f>
        <v>0.49</v>
      </c>
      <c r="I122" s="128"/>
      <c r="J122" s="128">
        <f>IF(AND(H122="",I122=""),"",H122+I122*$F122/1000)</f>
        <v>0.49</v>
      </c>
      <c r="K122" s="143">
        <f>IFERROR(J122/J123,"")</f>
        <v>1.8809258761659821E-3</v>
      </c>
      <c r="L122" s="129"/>
      <c r="M122" s="143">
        <f>IF(OR(J122=0,Q122=""),0,Q122/J122-1)</f>
        <v>8.1985438697272173</v>
      </c>
      <c r="N122" s="129"/>
      <c r="O122" s="128" cm="1">
        <f t="array" ref="O122">IFERROR(INDEX('Detail inputs'!$B$3:$K$195,MATCH($B122&amp;$G122&amp;O$5&amp;$C122,'Detail inputs'!$B$3:$B$195&amp;'Detail inputs'!$G$3:$G$195&amp;'Detail inputs'!$H$3:$H$195&amp;'Detail inputs'!$D$3:$D$195,0),MATCH(O$4,'Detail inputs'!$B$3:$K$3,0)),0)</f>
        <v>4.5072864961663361</v>
      </c>
      <c r="P122" s="128"/>
      <c r="Q122" s="128">
        <f>IF(AND(O122="",P122=""),"",O122+P122*$F122/1000)</f>
        <v>4.5072864961663361</v>
      </c>
      <c r="R122" s="143">
        <f>IFERROR(Q122/Q123,"")</f>
        <v>1.4527505106601639E-2</v>
      </c>
      <c r="S122" s="143"/>
      <c r="T122" s="143"/>
      <c r="U122" s="143"/>
      <c r="V122" s="143"/>
      <c r="W122" s="143"/>
      <c r="X122" s="143"/>
      <c r="Y122" s="143"/>
      <c r="Z122" s="143"/>
      <c r="AA122" s="143"/>
      <c r="AB122" s="143"/>
      <c r="AC122" s="143"/>
      <c r="AD122" s="143"/>
      <c r="AE122" s="143"/>
    </row>
    <row r="123" spans="1:31" s="19" customFormat="1" x14ac:dyDescent="0.25">
      <c r="A123" s="3"/>
      <c r="B123" s="3" t="str">
        <f>B121</f>
        <v>Energex</v>
      </c>
      <c r="C123" s="3" t="str">
        <f>C121</f>
        <v>Small business</v>
      </c>
      <c r="D123" s="3" t="str">
        <f>D121</f>
        <v>without CL</v>
      </c>
      <c r="E123" s="3" t="s">
        <v>19</v>
      </c>
      <c r="F123" s="131">
        <f t="array" ref="F123">IFERROR(INDEX(Usage!$B$5:$P$18,MATCH($B123,Usage!$B$5:$B$18,0),MATCH($C123&amp;$D123&amp;$E123&amp;"Total",Usage!$B$5:$S$5&amp;Usage!$B$6:$S$6&amp;Usage!$B$7:$S$7&amp;Usage!$B$13:$S$13,0)),0)</f>
        <v>10000</v>
      </c>
      <c r="G123" s="5" t="s">
        <v>55</v>
      </c>
      <c r="H123" s="130">
        <f>SUM(H119:H122)</f>
        <v>260.51</v>
      </c>
      <c r="I123" s="130">
        <f>SUM(I119:I122)</f>
        <v>0</v>
      </c>
      <c r="J123" s="130">
        <f>IF(AND(H123="",I123=""),"",H123+I123*$F123/1000)</f>
        <v>260.51</v>
      </c>
      <c r="K123" s="145"/>
      <c r="L123" s="130"/>
      <c r="M123" s="145">
        <f>IF(OR(J123=0,Q123=""),"",Q123/J123-1)</f>
        <v>0.19096700091714691</v>
      </c>
      <c r="N123" s="130"/>
      <c r="O123" s="130">
        <f>SUM(O119:O122)</f>
        <v>310.2588134089259</v>
      </c>
      <c r="P123" s="130">
        <f>SUM(P119:P122)</f>
        <v>0</v>
      </c>
      <c r="Q123" s="130">
        <f>IF(AND(O123="",P123=""),"",O123+P123*$F123/1000)</f>
        <v>310.2588134089259</v>
      </c>
      <c r="R123" s="145"/>
      <c r="S123" s="145"/>
      <c r="T123" s="145"/>
      <c r="U123" s="145"/>
      <c r="V123" s="145"/>
      <c r="W123" s="145"/>
      <c r="X123" s="145"/>
      <c r="Y123" s="145"/>
      <c r="Z123" s="145"/>
      <c r="AA123" s="145"/>
      <c r="AB123" s="145"/>
      <c r="AC123" s="145"/>
      <c r="AD123" s="145"/>
      <c r="AE123" s="145"/>
    </row>
    <row r="124" spans="1:31" s="19" customFormat="1" x14ac:dyDescent="0.25">
      <c r="A124" s="3"/>
      <c r="B124" s="3" t="str">
        <f t="shared" ref="B124:D124" si="87">B123</f>
        <v>Energex</v>
      </c>
      <c r="C124" s="3" t="str">
        <f t="shared" si="87"/>
        <v>Small business</v>
      </c>
      <c r="D124" s="3" t="str">
        <f t="shared" si="87"/>
        <v>without CL</v>
      </c>
      <c r="E124" s="3" t="s">
        <v>19</v>
      </c>
      <c r="F124" s="131">
        <f t="array" ref="F124">IFERROR(INDEX(Usage!$B$5:$P$18,MATCH($B124,Usage!$B$5:$B$18,0),MATCH($C124&amp;$D124&amp;$E124&amp;"Total",Usage!$B$5:$S$5&amp;Usage!$B$6:$S$6&amp;Usage!$B$7:$S$7&amp;Usage!$B$13:$S$13,0)),0)</f>
        <v>10000</v>
      </c>
      <c r="G124" s="3" t="s">
        <v>170</v>
      </c>
      <c r="H124" s="128">
        <f>H123*CPIPY</f>
        <v>18.552480160000044</v>
      </c>
      <c r="I124" s="128"/>
      <c r="J124" s="128">
        <f>J123*CPIPY</f>
        <v>18.552480160000044</v>
      </c>
      <c r="K124" s="144"/>
      <c r="L124" s="128"/>
      <c r="M124" s="144">
        <f>IF(OR(J124=0,Q124=""),"",Q124/J124-1)</f>
        <v>-5.0651332452474107E-2</v>
      </c>
      <c r="N124" s="128"/>
      <c r="O124" s="128"/>
      <c r="P124" s="128"/>
      <c r="Q124" s="128">
        <f>Q123*CPI</f>
        <v>17.612772319597951</v>
      </c>
      <c r="R124" s="144"/>
      <c r="S124" s="144"/>
      <c r="T124" s="144"/>
      <c r="U124" s="144"/>
      <c r="V124" s="144"/>
      <c r="W124" s="144"/>
      <c r="X124" s="144"/>
      <c r="Y124" s="144"/>
      <c r="Z124" s="144"/>
      <c r="AA124" s="144"/>
      <c r="AB124" s="144"/>
      <c r="AC124" s="144"/>
      <c r="AD124" s="144"/>
      <c r="AE124" s="144"/>
    </row>
    <row r="125" spans="1:31" s="19" customFormat="1" x14ac:dyDescent="0.25">
      <c r="A125" s="3"/>
      <c r="B125" s="3" t="str">
        <f t="shared" ref="B125:D125" si="88">B124</f>
        <v>Energex</v>
      </c>
      <c r="C125" s="3" t="str">
        <f t="shared" si="88"/>
        <v>Small business</v>
      </c>
      <c r="D125" s="3" t="str">
        <f t="shared" si="88"/>
        <v>without CL</v>
      </c>
      <c r="E125" s="3"/>
      <c r="F125" s="131"/>
      <c r="G125" s="3" t="s">
        <v>38</v>
      </c>
      <c r="H125" s="128"/>
      <c r="I125" s="128"/>
      <c r="J125" s="128">
        <f>SUM(J123,J124)*GST</f>
        <v>27.906248016000006</v>
      </c>
      <c r="K125" s="144"/>
      <c r="L125" s="128"/>
      <c r="M125" s="143">
        <f>IF(OR(J125=0,Q125=""),0,Q125/J125-1)</f>
        <v>0.17490386217645315</v>
      </c>
      <c r="N125" s="128"/>
      <c r="O125" s="128"/>
      <c r="P125" s="128"/>
      <c r="Q125" s="128">
        <f>SUM(Q123,Q124)*GST</f>
        <v>32.787158572852391</v>
      </c>
      <c r="R125" s="145"/>
      <c r="S125" s="145"/>
      <c r="T125" s="145"/>
      <c r="U125" s="145"/>
      <c r="V125" s="145"/>
      <c r="W125" s="145"/>
      <c r="X125" s="145"/>
      <c r="Y125" s="145"/>
      <c r="Z125" s="145"/>
      <c r="AA125" s="145"/>
      <c r="AB125" s="145"/>
      <c r="AC125" s="145"/>
      <c r="AD125" s="145"/>
      <c r="AE125" s="145"/>
    </row>
    <row r="126" spans="1:31" s="19" customFormat="1" x14ac:dyDescent="0.25">
      <c r="A126" s="3"/>
      <c r="B126" s="3" t="str">
        <f t="shared" ref="B126:D126" si="89">B125</f>
        <v>Energex</v>
      </c>
      <c r="C126" s="3" t="str">
        <f t="shared" si="89"/>
        <v>Small business</v>
      </c>
      <c r="D126" s="3" t="str">
        <f t="shared" si="89"/>
        <v>without CL</v>
      </c>
      <c r="E126" s="3"/>
      <c r="F126" s="131"/>
      <c r="G126" s="5" t="s">
        <v>80</v>
      </c>
      <c r="H126" s="130"/>
      <c r="I126" s="130"/>
      <c r="J126" s="130">
        <f>SUM(J123:J125)</f>
        <v>306.96872817600007</v>
      </c>
      <c r="K126" s="145"/>
      <c r="L126" s="130"/>
      <c r="M126" s="145">
        <f>IF(OR(J126=0,Q126=""),"",Q126/J126-1)</f>
        <v>0.17490386217645293</v>
      </c>
      <c r="N126" s="130"/>
      <c r="O126" s="130"/>
      <c r="P126" s="130"/>
      <c r="Q126" s="130">
        <f>SUM(Q123:Q125)</f>
        <v>360.65874430137626</v>
      </c>
      <c r="R126" s="145"/>
      <c r="S126" s="145"/>
      <c r="T126" s="145"/>
      <c r="U126" s="145"/>
      <c r="V126" s="145"/>
      <c r="W126" s="145"/>
      <c r="X126" s="145"/>
      <c r="Y126" s="145"/>
      <c r="Z126" s="145"/>
      <c r="AA126" s="145"/>
      <c r="AB126" s="145"/>
      <c r="AC126" s="145"/>
      <c r="AD126" s="145"/>
      <c r="AE126" s="145"/>
    </row>
    <row r="127" spans="1:31" s="19" customFormat="1" x14ac:dyDescent="0.25">
      <c r="A127" s="3"/>
      <c r="B127" s="3" t="str">
        <f t="shared" ref="B127:D127" si="90">B126</f>
        <v>Energex</v>
      </c>
      <c r="C127" s="3" t="str">
        <f t="shared" si="90"/>
        <v>Small business</v>
      </c>
      <c r="D127" s="3" t="str">
        <f t="shared" si="90"/>
        <v>without CL</v>
      </c>
      <c r="E127" s="3"/>
      <c r="F127" s="131"/>
      <c r="G127" s="3"/>
      <c r="H127" s="128"/>
      <c r="I127" s="128"/>
      <c r="J127" s="128"/>
      <c r="K127" s="143"/>
      <c r="L127" s="128"/>
      <c r="M127" s="143"/>
      <c r="N127" s="128"/>
      <c r="O127" s="128"/>
      <c r="P127" s="128"/>
      <c r="Q127" s="128"/>
      <c r="R127" s="143"/>
      <c r="S127" s="143"/>
      <c r="T127" s="143"/>
      <c r="U127" s="143"/>
      <c r="V127" s="143"/>
      <c r="W127" s="143"/>
      <c r="X127" s="143"/>
      <c r="Y127" s="143"/>
      <c r="Z127" s="143"/>
      <c r="AA127" s="143"/>
      <c r="AB127" s="143"/>
      <c r="AC127" s="143"/>
      <c r="AD127" s="143"/>
      <c r="AE127" s="143"/>
    </row>
    <row r="128" spans="1:31" x14ac:dyDescent="0.25">
      <c r="B128" s="5" t="s">
        <v>5</v>
      </c>
      <c r="C128" s="5" t="s">
        <v>6</v>
      </c>
      <c r="D128" s="5" t="s">
        <v>127</v>
      </c>
      <c r="F128" s="131"/>
      <c r="H128" s="128"/>
      <c r="I128" s="128"/>
      <c r="J128" s="128"/>
      <c r="K128" s="143"/>
      <c r="L128" s="129"/>
      <c r="M128" s="143"/>
      <c r="N128" s="129"/>
      <c r="O128" s="128"/>
      <c r="P128" s="128"/>
      <c r="Q128" s="128"/>
      <c r="R128" s="143"/>
      <c r="S128" s="143"/>
      <c r="T128" s="143"/>
      <c r="U128" s="143"/>
      <c r="V128" s="143"/>
      <c r="W128" s="143"/>
      <c r="X128" s="143"/>
      <c r="Y128" s="143"/>
      <c r="Z128" s="143"/>
      <c r="AA128" s="143"/>
      <c r="AB128" s="143"/>
      <c r="AC128" s="143"/>
      <c r="AD128" s="143"/>
      <c r="AE128" s="143"/>
    </row>
    <row r="129" spans="1:31" x14ac:dyDescent="0.25">
      <c r="B129" s="3" t="str">
        <f>B128</f>
        <v>SAPN</v>
      </c>
      <c r="C129" s="3" t="str">
        <f t="shared" ref="C129:D129" si="91">C128</f>
        <v>Residential</v>
      </c>
      <c r="D129" s="3" t="str">
        <f t="shared" si="91"/>
        <v>without CL</v>
      </c>
      <c r="E129" s="3" t="s">
        <v>19</v>
      </c>
      <c r="F129" s="131">
        <f t="array" ref="F129">IFERROR(INDEX(Usage!$B$5:$P$18,MATCH($B129,Usage!$B$5:$B$18,0),MATCH($C129&amp;$D129&amp;$E129&amp;"Total",Usage!$B$5:$S$5&amp;Usage!$B$6:$S$6&amp;Usage!$B$7:$S$7&amp;Usage!$B$13:$S$13,0)),0)</f>
        <v>4000</v>
      </c>
      <c r="G129" s="3" t="s">
        <v>270</v>
      </c>
      <c r="H129" s="128" cm="1">
        <f t="array" ref="H129">IFERROR(INDEX('Detail inputs'!$B$3:$K$195,MATCH($B129&amp;$G129&amp;H$5&amp;$C129,'Detail inputs'!$B$3:$B$195&amp;'Detail inputs'!$G$3:$G$195&amp;'Detail inputs'!$H$3:$H$195&amp;'Detail inputs'!$D$3:$D$195,0),MATCH(H$4,'Detail inputs'!$B$3:$K$3,0)),0)</f>
        <v>146</v>
      </c>
      <c r="I129" s="128"/>
      <c r="J129" s="128">
        <f>IF(AND(H129="",I129=""),"",H129+I129*$F129/1000)</f>
        <v>146</v>
      </c>
      <c r="K129" s="143">
        <f>IFERROR(J129/J133,"")</f>
        <v>0.63575005443065535</v>
      </c>
      <c r="L129" s="129"/>
      <c r="M129" s="143">
        <f>IF(OR(J129=0,Q129=""),"",Q129/J129-1)</f>
        <v>0.25412549036892029</v>
      </c>
      <c r="N129" s="129"/>
      <c r="O129" s="128" cm="1">
        <f t="array" ref="O129">IFERROR(INDEX('Detail inputs'!$B$3:$K$195,MATCH($B129&amp;$G129&amp;O$5&amp;$C129,'Detail inputs'!$B$3:$B$195&amp;'Detail inputs'!$G$3:$G$195&amp;'Detail inputs'!$H$3:$H$195&amp;'Detail inputs'!$D$3:$D$195,0),MATCH(O$4,'Detail inputs'!$B$3:$K$3,0)),0)</f>
        <v>183.10232159386237</v>
      </c>
      <c r="P129" s="128"/>
      <c r="Q129" s="128">
        <f>IF(AND(O129="",P129=""),"",O129+P129*$F129/1000)</f>
        <v>183.10232159386237</v>
      </c>
      <c r="R129" s="143">
        <f>IFERROR(Q129/Q133,"")</f>
        <v>0.63636140205719183</v>
      </c>
      <c r="S129" s="143"/>
      <c r="T129" s="143"/>
      <c r="U129" s="143"/>
      <c r="V129" s="143"/>
      <c r="W129" s="143"/>
      <c r="X129" s="143"/>
      <c r="Y129" s="143"/>
      <c r="Z129" s="143"/>
      <c r="AA129" s="143"/>
      <c r="AB129" s="143"/>
      <c r="AC129" s="143"/>
      <c r="AD129" s="143"/>
      <c r="AE129" s="143"/>
    </row>
    <row r="130" spans="1:31" x14ac:dyDescent="0.25">
      <c r="B130" s="3" t="str">
        <f t="shared" ref="B130:D132" si="92">B129</f>
        <v>SAPN</v>
      </c>
      <c r="C130" s="3" t="str">
        <f t="shared" si="92"/>
        <v>Residential</v>
      </c>
      <c r="D130" s="3" t="str">
        <f t="shared" si="92"/>
        <v>without CL</v>
      </c>
      <c r="E130" s="3" t="s">
        <v>19</v>
      </c>
      <c r="F130" s="131">
        <f t="array" ref="F130">IFERROR(INDEX(Usage!$B$5:$P$18,MATCH($B130,Usage!$B$5:$B$18,0),MATCH($C130&amp;$D130&amp;$E130&amp;"Total",Usage!$B$5:$S$5&amp;Usage!$B$6:$S$6&amp;Usage!$B$7:$S$7&amp;Usage!$B$13:$S$13,0)),0)</f>
        <v>4000</v>
      </c>
      <c r="G130" s="120" t="s">
        <v>277</v>
      </c>
      <c r="H130" s="128" cm="1">
        <f t="array" ref="H130">IFERROR(INDEX('Detail inputs'!$B$3:$K$195,MATCH($B130&amp;$G130&amp;H$5,'Detail inputs'!$B$3:$B$195&amp;'Detail inputs'!$G$3:$G$195&amp;'Detail inputs'!$H$3:$H$195,0),MATCH(H$4,'Detail inputs'!$B$3:$K$3,0)),0)</f>
        <v>42.94</v>
      </c>
      <c r="I130" s="128"/>
      <c r="J130" s="128">
        <f>IF(AND(H130="",I130=""),"",H130+I130*$F130/1000)</f>
        <v>42.94</v>
      </c>
      <c r="K130" s="143">
        <f>IFERROR(J130/J133,"")</f>
        <v>0.18698018724145438</v>
      </c>
      <c r="L130" s="129"/>
      <c r="M130" s="143">
        <f>IF(OR(J130=0,Q130=""),"",Q130/J130-1)</f>
        <v>0.46835080312092847</v>
      </c>
      <c r="N130" s="129"/>
      <c r="O130" s="128" cm="1">
        <f t="array" ref="O130">IFERROR(INDEX('Detail inputs'!$B$3:$K$195,MATCH($B130&amp;$G130&amp;O$5,'Detail inputs'!$B$3:$B$195&amp;'Detail inputs'!$G$3:$G$195&amp;'Detail inputs'!$H$3:$H$195,0),MATCH(O$4,'Detail inputs'!$B$3:$K$3,0)),0)</f>
        <v>63.050983486012669</v>
      </c>
      <c r="P130" s="128"/>
      <c r="Q130" s="128">
        <f>IF(AND(O130="",P130=""),"",O130+P130*$F130/1000)</f>
        <v>63.050983486012669</v>
      </c>
      <c r="R130" s="143">
        <f>IFERROR(Q130/Q133,"")</f>
        <v>0.21913000284748335</v>
      </c>
      <c r="S130" s="143"/>
      <c r="T130" s="143"/>
      <c r="U130" s="143"/>
      <c r="V130" s="143"/>
      <c r="W130" s="143"/>
      <c r="X130" s="143"/>
      <c r="Y130" s="143"/>
      <c r="Z130" s="143"/>
      <c r="AA130" s="143"/>
      <c r="AB130" s="143"/>
      <c r="AC130" s="143"/>
      <c r="AD130" s="143"/>
      <c r="AE130" s="143"/>
    </row>
    <row r="131" spans="1:31" s="19" customFormat="1" x14ac:dyDescent="0.25">
      <c r="A131" s="3"/>
      <c r="B131" s="3" t="str">
        <f t="shared" si="92"/>
        <v>SAPN</v>
      </c>
      <c r="C131" s="3" t="str">
        <f t="shared" si="92"/>
        <v>Residential</v>
      </c>
      <c r="D131" s="3" t="str">
        <f t="shared" si="92"/>
        <v>without CL</v>
      </c>
      <c r="E131" s="3" t="s">
        <v>19</v>
      </c>
      <c r="F131" s="131">
        <f t="array" ref="F131">IFERROR(INDEX(Usage!$B$5:$P$18,MATCH($B131,Usage!$B$5:$B$18,0),MATCH($C131&amp;$D131&amp;$E131&amp;"Total",Usage!$B$5:$S$5&amp;Usage!$B$6:$S$6&amp;Usage!$B$7:$S$7&amp;Usage!$B$13:$S$13,0)),0)</f>
        <v>4000</v>
      </c>
      <c r="G131" s="3" t="s">
        <v>167</v>
      </c>
      <c r="H131" s="128" cm="1">
        <f t="array" ref="H131">IFERROR(INDEX('Detail inputs'!$B$3:$K$195,MATCH($B131&amp;$G131&amp;H$5,'Detail inputs'!$B$3:$B$195&amp;'Detail inputs'!$G$3:$G$195&amp;'Detail inputs'!$H$3:$H$195,0),MATCH(H$4,'Detail inputs'!$B$3:$K$3,0)),0)</f>
        <v>40</v>
      </c>
      <c r="I131" s="128"/>
      <c r="J131" s="128">
        <f>IF(AND(H131="",I131=""),"",H131+I131*$F131/1000)</f>
        <v>40</v>
      </c>
      <c r="K131" s="143">
        <f>IFERROR(J131/J133,"")</f>
        <v>0.17417809710428914</v>
      </c>
      <c r="L131" s="129"/>
      <c r="M131" s="143">
        <f>IF(OR(J131=0,Q131=""),"",Q131/J131-1)</f>
        <v>-9.0190997877712675E-3</v>
      </c>
      <c r="N131" s="129"/>
      <c r="O131" s="128" cm="1">
        <f t="array" ref="O131">IFERROR(INDEX('Detail inputs'!$B$3:$K$195,MATCH($B131&amp;$G131&amp;O$5,'Detail inputs'!$B$3:$B$195&amp;'Detail inputs'!$G$3:$G$195&amp;'Detail inputs'!$H$3:$H$195,0),MATCH(O$4,'Detail inputs'!$B$3:$K$3,0)),0)</f>
        <v>39.639236008489149</v>
      </c>
      <c r="P131" s="128"/>
      <c r="Q131" s="128">
        <f>IF(AND(O131="",P131=""),"",O131+P131*$F131/1000)</f>
        <v>39.639236008489149</v>
      </c>
      <c r="R131" s="143">
        <f>IFERROR(Q131/Q133,"")</f>
        <v>0.13776384473589123</v>
      </c>
      <c r="S131" s="143"/>
      <c r="T131" s="143"/>
      <c r="U131" s="143"/>
      <c r="V131" s="143"/>
      <c r="W131" s="143"/>
      <c r="X131" s="143"/>
      <c r="Y131" s="143"/>
      <c r="Z131" s="143"/>
      <c r="AA131" s="143"/>
      <c r="AB131" s="143"/>
      <c r="AC131" s="143"/>
      <c r="AD131" s="143"/>
      <c r="AE131" s="143"/>
    </row>
    <row r="132" spans="1:31" s="19" customFormat="1" x14ac:dyDescent="0.25">
      <c r="A132" s="3"/>
      <c r="B132" s="3" t="str">
        <f t="shared" si="92"/>
        <v>SAPN</v>
      </c>
      <c r="C132" s="3" t="str">
        <f t="shared" si="92"/>
        <v>Residential</v>
      </c>
      <c r="D132" s="3" t="str">
        <f t="shared" si="92"/>
        <v>without CL</v>
      </c>
      <c r="E132" s="3" t="s">
        <v>19</v>
      </c>
      <c r="F132" s="131">
        <f t="array" ref="F132">IFERROR(INDEX(Usage!$B$5:$P$18,MATCH($B132,Usage!$B$5:$B$18,0),MATCH($C132&amp;$D132&amp;$E132&amp;"Total",Usage!$B$5:$S$5&amp;Usage!$B$6:$S$6&amp;Usage!$B$7:$S$7&amp;Usage!$B$13:$S$13,0)),0)</f>
        <v>4000</v>
      </c>
      <c r="G132" s="3" t="s">
        <v>207</v>
      </c>
      <c r="H132" s="128" cm="1">
        <f t="array" ref="H132">IFERROR(INDEX('Detail inputs'!$B$3:$K$195,MATCH($B132&amp;$G132&amp;H$5,'Detail inputs'!$B$3:$B$195&amp;'Detail inputs'!$G$3:$G$195&amp;'Detail inputs'!$H$3:$H$195,0),MATCH(H$4,'Detail inputs'!$B$3:$K$3,0)),0)</f>
        <v>0.71</v>
      </c>
      <c r="I132" s="128"/>
      <c r="J132" s="128">
        <f>IF(AND(H132="",I132=""),"",H132+I132*$F132/1000)</f>
        <v>0.71</v>
      </c>
      <c r="K132" s="143">
        <f>IFERROR(J132/J133,"")</f>
        <v>3.0916612236011319E-3</v>
      </c>
      <c r="L132" s="129"/>
      <c r="M132" s="143">
        <f>IF(OR(J132=0,Q132=""),0,Q132/J132-1)</f>
        <v>1.7333645151398764</v>
      </c>
      <c r="N132" s="129"/>
      <c r="O132" s="128" cm="1">
        <f t="array" ref="O132">IFERROR(INDEX('Detail inputs'!$B$3:$K$195,MATCH($B132&amp;$G132&amp;O$5&amp;$C132,'Detail inputs'!$B$3:$B$195&amp;'Detail inputs'!$G$3:$G$195&amp;'Detail inputs'!$H$3:$H$195&amp;'Detail inputs'!$D$3:$D$195,0),MATCH(O$4,'Detail inputs'!$B$3:$K$3,0)),0)</f>
        <v>1.9406888057493121</v>
      </c>
      <c r="P132" s="128"/>
      <c r="Q132" s="128">
        <f>IF(AND(O132="",P132=""),"",O132+P132*$F132/1000)</f>
        <v>1.9406888057493121</v>
      </c>
      <c r="R132" s="143">
        <f>IFERROR(Q132/Q133,"")</f>
        <v>6.7447503594335982E-3</v>
      </c>
      <c r="S132" s="143"/>
      <c r="T132" s="143"/>
      <c r="U132" s="143"/>
      <c r="V132" s="143"/>
      <c r="W132" s="143"/>
      <c r="X132" s="143"/>
      <c r="Y132" s="143"/>
      <c r="Z132" s="143"/>
      <c r="AA132" s="143"/>
      <c r="AB132" s="143"/>
      <c r="AC132" s="143"/>
      <c r="AD132" s="143"/>
      <c r="AE132" s="143"/>
    </row>
    <row r="133" spans="1:31" s="19" customFormat="1" x14ac:dyDescent="0.25">
      <c r="A133" s="3"/>
      <c r="B133" s="3" t="str">
        <f t="shared" ref="B133:D133" si="93">B132</f>
        <v>SAPN</v>
      </c>
      <c r="C133" s="3" t="str">
        <f t="shared" si="93"/>
        <v>Residential</v>
      </c>
      <c r="D133" s="3" t="str">
        <f t="shared" si="93"/>
        <v>without CL</v>
      </c>
      <c r="E133" s="3" t="s">
        <v>19</v>
      </c>
      <c r="F133" s="131">
        <f t="array" ref="F133">IFERROR(INDEX(Usage!$B$5:$P$18,MATCH($B133,Usage!$B$5:$B$18,0),MATCH($C133&amp;$D133&amp;$E133&amp;"Total",Usage!$B$5:$S$5&amp;Usage!$B$6:$S$6&amp;Usage!$B$7:$S$7&amp;Usage!$B$13:$S$13,0)),0)</f>
        <v>4000</v>
      </c>
      <c r="G133" s="5" t="s">
        <v>55</v>
      </c>
      <c r="H133" s="130">
        <f>SUM(H129:H132)</f>
        <v>229.65</v>
      </c>
      <c r="I133" s="130">
        <f>SUM(I129:I132)</f>
        <v>0</v>
      </c>
      <c r="J133" s="130">
        <f>IF(AND(H133="",I133=""),"",H133+I133*$F133/1000)</f>
        <v>229.65</v>
      </c>
      <c r="K133" s="145"/>
      <c r="L133" s="130"/>
      <c r="M133" s="145">
        <f>IF(OR(J133=0,Q133=""),"",Q133/J133-1)</f>
        <v>0.25292066141569114</v>
      </c>
      <c r="N133" s="130"/>
      <c r="O133" s="130">
        <f>SUM(O129:O132)</f>
        <v>287.73322989411349</v>
      </c>
      <c r="P133" s="130">
        <f>SUM(P129:P132)</f>
        <v>0</v>
      </c>
      <c r="Q133" s="130">
        <f>IF(AND(O133="",P133=""),"",O133+P133*$F133/1000)</f>
        <v>287.73322989411349</v>
      </c>
      <c r="R133" s="145"/>
      <c r="S133" s="145"/>
      <c r="T133" s="145"/>
      <c r="U133" s="145"/>
      <c r="V133" s="145"/>
      <c r="W133" s="145"/>
      <c r="X133" s="145"/>
      <c r="Y133" s="145"/>
      <c r="Z133" s="145"/>
      <c r="AA133" s="145"/>
      <c r="AB133" s="145"/>
      <c r="AC133" s="145"/>
      <c r="AD133" s="145"/>
      <c r="AE133" s="145"/>
    </row>
    <row r="134" spans="1:31" s="19" customFormat="1" x14ac:dyDescent="0.25">
      <c r="A134" s="3"/>
      <c r="B134" s="3" t="str">
        <f t="shared" ref="B134:D137" si="94">B133</f>
        <v>SAPN</v>
      </c>
      <c r="C134" s="3" t="str">
        <f t="shared" si="94"/>
        <v>Residential</v>
      </c>
      <c r="D134" s="3" t="str">
        <f t="shared" si="94"/>
        <v>without CL</v>
      </c>
      <c r="E134" s="3" t="s">
        <v>19</v>
      </c>
      <c r="F134" s="131">
        <f t="array" ref="F134">IFERROR(INDEX(Usage!$B$5:$P$18,MATCH($B134,Usage!$B$5:$B$18,0),MATCH($C134&amp;$D134&amp;$E134&amp;"Total",Usage!$B$5:$S$5&amp;Usage!$B$6:$S$6&amp;Usage!$B$7:$S$7&amp;Usage!$B$13:$S$13,0)),0)</f>
        <v>4000</v>
      </c>
      <c r="G134" s="3" t="s">
        <v>170</v>
      </c>
      <c r="H134" s="128">
        <f>H133*CPIPY</f>
        <v>16.35475440000004</v>
      </c>
      <c r="I134" s="128"/>
      <c r="J134" s="128">
        <f>J133*CPIPY</f>
        <v>16.35475440000004</v>
      </c>
      <c r="K134" s="144"/>
      <c r="L134" s="128"/>
      <c r="M134" s="144">
        <f>IF(OR(J134=0,Q134=""),"",Q134/J134-1)</f>
        <v>-1.2665678043422002E-3</v>
      </c>
      <c r="N134" s="128"/>
      <c r="O134" s="128"/>
      <c r="P134" s="128"/>
      <c r="Q134" s="128">
        <f>Q133*CPI</f>
        <v>16.334039994629077</v>
      </c>
      <c r="R134" s="144"/>
      <c r="S134" s="144"/>
      <c r="T134" s="144"/>
      <c r="U134" s="144"/>
      <c r="V134" s="144"/>
      <c r="W134" s="144"/>
      <c r="X134" s="144"/>
      <c r="Y134" s="144"/>
      <c r="Z134" s="144"/>
      <c r="AA134" s="144"/>
      <c r="AB134" s="144"/>
      <c r="AC134" s="144"/>
      <c r="AD134" s="144"/>
      <c r="AE134" s="144"/>
    </row>
    <row r="135" spans="1:31" s="19" customFormat="1" x14ac:dyDescent="0.25">
      <c r="A135" s="3"/>
      <c r="B135" s="3" t="str">
        <f t="shared" si="94"/>
        <v>SAPN</v>
      </c>
      <c r="C135" s="3" t="str">
        <f t="shared" si="94"/>
        <v>Residential</v>
      </c>
      <c r="D135" s="3" t="str">
        <f t="shared" si="94"/>
        <v>without CL</v>
      </c>
      <c r="E135" s="3"/>
      <c r="F135" s="131"/>
      <c r="G135" s="3" t="s">
        <v>38</v>
      </c>
      <c r="H135" s="128"/>
      <c r="I135" s="128"/>
      <c r="J135" s="128">
        <f>SUM(J133,J134)*GST</f>
        <v>24.600475440000007</v>
      </c>
      <c r="K135" s="144"/>
      <c r="L135" s="128"/>
      <c r="M135" s="143">
        <f>IF(OR(J135=0,Q135=""),0,Q135/J135-1)</f>
        <v>0.23602192417116341</v>
      </c>
      <c r="N135" s="128"/>
      <c r="O135" s="128"/>
      <c r="P135" s="128"/>
      <c r="Q135" s="128">
        <f>SUM(Q133,Q134)*GST</f>
        <v>30.406726988874254</v>
      </c>
      <c r="R135" s="145"/>
      <c r="S135" s="145"/>
      <c r="T135" s="145"/>
      <c r="U135" s="145"/>
      <c r="V135" s="145"/>
      <c r="W135" s="145"/>
      <c r="X135" s="145"/>
      <c r="Y135" s="145"/>
      <c r="Z135" s="145"/>
      <c r="AA135" s="145"/>
      <c r="AB135" s="145"/>
      <c r="AC135" s="145"/>
      <c r="AD135" s="145"/>
      <c r="AE135" s="145"/>
    </row>
    <row r="136" spans="1:31" s="19" customFormat="1" x14ac:dyDescent="0.25">
      <c r="A136" s="3"/>
      <c r="B136" s="3" t="str">
        <f t="shared" si="94"/>
        <v>SAPN</v>
      </c>
      <c r="C136" s="3" t="str">
        <f t="shared" si="94"/>
        <v>Residential</v>
      </c>
      <c r="D136" s="3" t="str">
        <f t="shared" si="94"/>
        <v>without CL</v>
      </c>
      <c r="E136" s="3"/>
      <c r="F136" s="131"/>
      <c r="G136" s="5" t="s">
        <v>80</v>
      </c>
      <c r="H136" s="130"/>
      <c r="I136" s="130"/>
      <c r="J136" s="130">
        <f>SUM(J133:J135)</f>
        <v>270.60522984000005</v>
      </c>
      <c r="K136" s="145"/>
      <c r="L136" s="130"/>
      <c r="M136" s="145">
        <f>IF(OR(J136=0,Q136=""),"",Q136/J136-1)</f>
        <v>0.23602192417116341</v>
      </c>
      <c r="N136" s="130"/>
      <c r="O136" s="130"/>
      <c r="P136" s="130"/>
      <c r="Q136" s="130">
        <f>SUM(Q133:Q135)</f>
        <v>334.4739968776168</v>
      </c>
      <c r="R136" s="145"/>
      <c r="S136" s="145"/>
      <c r="T136" s="145"/>
      <c r="U136" s="145"/>
      <c r="V136" s="145"/>
      <c r="W136" s="145"/>
      <c r="X136" s="145"/>
      <c r="Y136" s="145"/>
      <c r="Z136" s="145"/>
      <c r="AA136" s="145"/>
      <c r="AB136" s="145"/>
      <c r="AC136" s="145"/>
      <c r="AD136" s="145"/>
      <c r="AE136" s="145"/>
    </row>
    <row r="137" spans="1:31" x14ac:dyDescent="0.25">
      <c r="B137" s="3" t="str">
        <f t="shared" si="94"/>
        <v>SAPN</v>
      </c>
      <c r="C137" s="3" t="str">
        <f t="shared" si="94"/>
        <v>Residential</v>
      </c>
      <c r="D137" s="3" t="str">
        <f t="shared" si="94"/>
        <v>without CL</v>
      </c>
      <c r="F137" s="131"/>
      <c r="H137" s="128"/>
      <c r="I137" s="128"/>
      <c r="J137" s="128"/>
      <c r="K137" s="143"/>
      <c r="L137" s="128"/>
      <c r="M137" s="143"/>
      <c r="N137" s="128"/>
      <c r="O137" s="128"/>
      <c r="P137" s="128"/>
      <c r="Q137" s="128"/>
      <c r="R137" s="143"/>
      <c r="S137" s="143"/>
      <c r="T137" s="143"/>
      <c r="U137" s="143"/>
      <c r="V137" s="143"/>
      <c r="W137" s="143"/>
      <c r="X137" s="143"/>
      <c r="Y137" s="143"/>
      <c r="Z137" s="143"/>
      <c r="AA137" s="143"/>
      <c r="AB137" s="143"/>
      <c r="AC137" s="143"/>
      <c r="AD137" s="143"/>
      <c r="AE137" s="143"/>
    </row>
    <row r="138" spans="1:31" x14ac:dyDescent="0.25">
      <c r="B138" s="5" t="s">
        <v>5</v>
      </c>
      <c r="C138" s="5" t="s">
        <v>6</v>
      </c>
      <c r="D138" s="5" t="s">
        <v>128</v>
      </c>
      <c r="F138" s="131"/>
      <c r="H138" s="128"/>
      <c r="I138" s="128"/>
      <c r="J138" s="128"/>
      <c r="K138" s="143"/>
      <c r="L138" s="128"/>
      <c r="M138" s="143"/>
      <c r="N138" s="128"/>
      <c r="O138" s="128"/>
      <c r="P138" s="128"/>
      <c r="Q138" s="128"/>
      <c r="R138" s="143"/>
      <c r="S138" s="143"/>
      <c r="T138" s="143"/>
      <c r="U138" s="143"/>
      <c r="V138" s="143"/>
      <c r="W138" s="143"/>
      <c r="X138" s="143"/>
      <c r="Y138" s="143"/>
      <c r="Z138" s="143"/>
      <c r="AA138" s="143"/>
      <c r="AB138" s="143"/>
      <c r="AC138" s="143"/>
      <c r="AD138" s="143"/>
      <c r="AE138" s="143"/>
    </row>
    <row r="139" spans="1:31" x14ac:dyDescent="0.25">
      <c r="B139" s="3" t="str">
        <f t="shared" ref="B139:D139" si="95">B138</f>
        <v>SAPN</v>
      </c>
      <c r="C139" s="3" t="str">
        <f t="shared" si="95"/>
        <v>Residential</v>
      </c>
      <c r="D139" s="3" t="str">
        <f t="shared" si="95"/>
        <v>with CL</v>
      </c>
      <c r="E139" s="3" t="s">
        <v>19</v>
      </c>
      <c r="F139" s="131">
        <f t="array" ref="F139">IFERROR(INDEX(Usage!$B$5:$P$18,MATCH($B139,Usage!$B$5:$B$18,0),MATCH($C139&amp;$D139&amp;$E139&amp;"Total",Usage!$B$5:$S$5&amp;Usage!$B$6:$S$6&amp;Usage!$B$7:$S$7&amp;Usage!$B$13:$S$13,0)),0)</f>
        <v>4200</v>
      </c>
      <c r="G139" s="3" t="s">
        <v>270</v>
      </c>
      <c r="H139" s="128" cm="1">
        <f t="array" ref="H139">IFERROR(INDEX('Detail inputs'!$B$3:$K$195,MATCH($B139&amp;$G139&amp;H$5&amp;$C139,'Detail inputs'!$B$3:$B$195&amp;'Detail inputs'!$G$3:$G$195&amp;'Detail inputs'!$H$3:$H$195&amp;'Detail inputs'!$D$3:$D$195,0),MATCH(H$4,'Detail inputs'!$B$3:$K$3,0)),0)</f>
        <v>146</v>
      </c>
      <c r="I139" s="128"/>
      <c r="J139" s="128">
        <f>IF(AND(H139="",I139=""),"",H139+I139*$F139/1000)</f>
        <v>146</v>
      </c>
      <c r="K139" s="143">
        <f>IFERROR(J139/J143,"")</f>
        <v>0.63575005443065535</v>
      </c>
      <c r="L139" s="129"/>
      <c r="M139" s="143">
        <f>IF(OR(J139=0,Q139=""),"",Q139/J139-1)</f>
        <v>0.25412549036892029</v>
      </c>
      <c r="N139" s="129"/>
      <c r="O139" s="128" cm="1">
        <f t="array" ref="O139">IFERROR(INDEX('Detail inputs'!$B$3:$K$195,MATCH($B139&amp;$G139&amp;O$5&amp;$C139,'Detail inputs'!$B$3:$B$195&amp;'Detail inputs'!$G$3:$G$195&amp;'Detail inputs'!$H$3:$H$195&amp;'Detail inputs'!$D$3:$D$195,0),MATCH(O$4,'Detail inputs'!$B$3:$K$3,0)),0)</f>
        <v>183.10232159386237</v>
      </c>
      <c r="P139" s="128"/>
      <c r="Q139" s="128">
        <f>IF(AND(O139="",P139=""),"",O139+P139*$F139/1000)</f>
        <v>183.10232159386237</v>
      </c>
      <c r="R139" s="143">
        <f>IFERROR(Q139/Q143,"")</f>
        <v>0.63636140205719183</v>
      </c>
      <c r="S139" s="143"/>
      <c r="T139" s="143"/>
      <c r="U139" s="143"/>
      <c r="V139" s="143"/>
      <c r="W139" s="143"/>
      <c r="X139" s="143"/>
      <c r="Y139" s="143"/>
      <c r="Z139" s="143"/>
      <c r="AA139" s="143"/>
      <c r="AB139" s="143"/>
      <c r="AC139" s="143"/>
      <c r="AD139" s="143"/>
      <c r="AE139" s="143"/>
    </row>
    <row r="140" spans="1:31" s="19" customFormat="1" x14ac:dyDescent="0.25">
      <c r="A140" s="3"/>
      <c r="B140" s="3" t="str">
        <f t="shared" ref="B140:D140" si="96">B139</f>
        <v>SAPN</v>
      </c>
      <c r="C140" s="3" t="str">
        <f t="shared" si="96"/>
        <v>Residential</v>
      </c>
      <c r="D140" s="3" t="str">
        <f t="shared" si="96"/>
        <v>with CL</v>
      </c>
      <c r="E140" s="3" t="s">
        <v>19</v>
      </c>
      <c r="F140" s="131">
        <f t="array" ref="F140">IFERROR(INDEX(Usage!$B$5:$P$18,MATCH($B140,Usage!$B$5:$B$18,0),MATCH($C140&amp;$D140&amp;$E140&amp;"Total",Usage!$B$5:$S$5&amp;Usage!$B$6:$S$6&amp;Usage!$B$7:$S$7&amp;Usage!$B$13:$S$13,0)),0)</f>
        <v>4200</v>
      </c>
      <c r="G140" s="120" t="s">
        <v>277</v>
      </c>
      <c r="H140" s="128" cm="1">
        <f t="array" ref="H140">IFERROR(INDEX('Detail inputs'!$B$3:$K$195,MATCH($B140&amp;$G140&amp;H$5,'Detail inputs'!$B$3:$B$195&amp;'Detail inputs'!$G$3:$G$195&amp;'Detail inputs'!$H$3:$H$195,0),MATCH(H$4,'Detail inputs'!$B$3:$K$3,0)),0)</f>
        <v>42.94</v>
      </c>
      <c r="I140" s="128"/>
      <c r="J140" s="128">
        <f>IF(AND(H140="",I140=""),"",H140+I140*$F140/1000)</f>
        <v>42.94</v>
      </c>
      <c r="K140" s="143">
        <f>IFERROR(J140/J143,"")</f>
        <v>0.18698018724145438</v>
      </c>
      <c r="L140" s="129"/>
      <c r="M140" s="143">
        <f>IF(OR(J140=0,Q140=""),"",Q140/J140-1)</f>
        <v>0.46835080312092847</v>
      </c>
      <c r="N140" s="129"/>
      <c r="O140" s="128" cm="1">
        <f t="array" ref="O140">IFERROR(INDEX('Detail inputs'!$B$3:$K$195,MATCH($B140&amp;$G140&amp;O$5,'Detail inputs'!$B$3:$B$195&amp;'Detail inputs'!$G$3:$G$195&amp;'Detail inputs'!$H$3:$H$195,0),MATCH(O$4,'Detail inputs'!$B$3:$K$3,0)),0)</f>
        <v>63.050983486012669</v>
      </c>
      <c r="P140" s="128"/>
      <c r="Q140" s="128">
        <f>IF(AND(O140="",P140=""),"",O140+P140*$F140/1000)</f>
        <v>63.050983486012669</v>
      </c>
      <c r="R140" s="143">
        <f>IFERROR(Q140/Q143,"")</f>
        <v>0.21913000284748335</v>
      </c>
      <c r="S140" s="143"/>
      <c r="T140" s="143"/>
      <c r="U140" s="143"/>
      <c r="V140" s="143"/>
      <c r="W140" s="143"/>
      <c r="X140" s="143"/>
      <c r="Y140" s="143"/>
      <c r="Z140" s="143"/>
      <c r="AA140" s="143"/>
      <c r="AB140" s="143"/>
      <c r="AC140" s="143"/>
      <c r="AD140" s="143"/>
      <c r="AE140" s="143"/>
    </row>
    <row r="141" spans="1:31" s="19" customFormat="1" x14ac:dyDescent="0.25">
      <c r="A141" s="3"/>
      <c r="B141" s="3" t="str">
        <f t="shared" ref="B141:D142" si="97">B140</f>
        <v>SAPN</v>
      </c>
      <c r="C141" s="3" t="str">
        <f t="shared" si="97"/>
        <v>Residential</v>
      </c>
      <c r="D141" s="3" t="str">
        <f t="shared" si="97"/>
        <v>with CL</v>
      </c>
      <c r="E141" s="3" t="s">
        <v>19</v>
      </c>
      <c r="F141" s="131">
        <f t="array" ref="F141">IFERROR(INDEX(Usage!$B$5:$P$18,MATCH($B141,Usage!$B$5:$B$18,0),MATCH($C141&amp;$D141&amp;$E141&amp;"Total",Usage!$B$5:$S$5&amp;Usage!$B$6:$S$6&amp;Usage!$B$7:$S$7&amp;Usage!$B$13:$S$13,0)),0)</f>
        <v>4200</v>
      </c>
      <c r="G141" s="3" t="s">
        <v>167</v>
      </c>
      <c r="H141" s="128" cm="1">
        <f t="array" ref="H141">IFERROR(INDEX('Detail inputs'!$B$3:$K$195,MATCH($B141&amp;$G141&amp;H$5,'Detail inputs'!$B$3:$B$195&amp;'Detail inputs'!$G$3:$G$195&amp;'Detail inputs'!$H$3:$H$195,0),MATCH(H$4,'Detail inputs'!$B$3:$K$3,0)),0)</f>
        <v>40</v>
      </c>
      <c r="I141" s="128"/>
      <c r="J141" s="128">
        <f>IF(AND(H141="",I141=""),"",H141+I141*$F141/1000)</f>
        <v>40</v>
      </c>
      <c r="K141" s="143">
        <f>IFERROR(J141/J143,"")</f>
        <v>0.17417809710428914</v>
      </c>
      <c r="L141" s="129"/>
      <c r="M141" s="143">
        <f>IF(OR(J141=0,Q141=""),"",Q141/J141-1)</f>
        <v>-9.0190997877712675E-3</v>
      </c>
      <c r="N141" s="129"/>
      <c r="O141" s="128" cm="1">
        <f t="array" ref="O141">IFERROR(INDEX('Detail inputs'!$B$3:$K$195,MATCH($B141&amp;$G141&amp;O$5,'Detail inputs'!$B$3:$B$195&amp;'Detail inputs'!$G$3:$G$195&amp;'Detail inputs'!$H$3:$H$195,0),MATCH(O$4,'Detail inputs'!$B$3:$K$3,0)),0)</f>
        <v>39.639236008489149</v>
      </c>
      <c r="P141" s="128"/>
      <c r="Q141" s="128">
        <f>IF(AND(O141="",P141=""),"",O141+P141*$F141/1000)</f>
        <v>39.639236008489149</v>
      </c>
      <c r="R141" s="143">
        <f>IFERROR(Q141/Q143,"")</f>
        <v>0.13776384473589123</v>
      </c>
      <c r="S141" s="143"/>
      <c r="T141" s="143"/>
      <c r="U141" s="143"/>
      <c r="V141" s="143"/>
      <c r="W141" s="143"/>
      <c r="X141" s="143"/>
      <c r="Y141" s="143"/>
      <c r="Z141" s="143"/>
      <c r="AA141" s="143"/>
      <c r="AB141" s="143"/>
      <c r="AC141" s="143"/>
      <c r="AD141" s="143"/>
      <c r="AE141" s="143"/>
    </row>
    <row r="142" spans="1:31" s="19" customFormat="1" x14ac:dyDescent="0.25">
      <c r="A142" s="3"/>
      <c r="B142" s="3" t="str">
        <f t="shared" si="97"/>
        <v>SAPN</v>
      </c>
      <c r="C142" s="3" t="str">
        <f t="shared" si="97"/>
        <v>Residential</v>
      </c>
      <c r="D142" s="3" t="str">
        <f t="shared" si="97"/>
        <v>with CL</v>
      </c>
      <c r="E142" s="3" t="s">
        <v>19</v>
      </c>
      <c r="F142" s="131">
        <f t="array" ref="F142">IFERROR(INDEX(Usage!$B$5:$P$18,MATCH($B142,Usage!$B$5:$B$18,0),MATCH($C142&amp;$D142&amp;$E142&amp;"Total",Usage!$B$5:$S$5&amp;Usage!$B$6:$S$6&amp;Usage!$B$7:$S$7&amp;Usage!$B$13:$S$13,0)),0)</f>
        <v>4200</v>
      </c>
      <c r="G142" s="3" t="s">
        <v>207</v>
      </c>
      <c r="H142" s="128" cm="1">
        <f t="array" ref="H142">IFERROR(INDEX('Detail inputs'!$B$3:$K$195,MATCH($B142&amp;$G142&amp;H$5,'Detail inputs'!$B$3:$B$195&amp;'Detail inputs'!$G$3:$G$195&amp;'Detail inputs'!$H$3:$H$195,0),MATCH(H$4,'Detail inputs'!$B$3:$K$3,0)),0)</f>
        <v>0.71</v>
      </c>
      <c r="I142" s="128"/>
      <c r="J142" s="128">
        <f>IF(AND(H142="",I142=""),"",H142+I142*$F142/1000)</f>
        <v>0.71</v>
      </c>
      <c r="K142" s="143">
        <f>IFERROR(J142/J143,"")</f>
        <v>3.0916612236011319E-3</v>
      </c>
      <c r="L142" s="129"/>
      <c r="M142" s="143">
        <f>IF(OR(J142=0,Q142=""),0,Q142/J142-1)</f>
        <v>1.7333645151398764</v>
      </c>
      <c r="N142" s="129"/>
      <c r="O142" s="128" cm="1">
        <f t="array" ref="O142">IFERROR(INDEX('Detail inputs'!$B$3:$K$195,MATCH($B142&amp;$G142&amp;O$5&amp;$C142,'Detail inputs'!$B$3:$B$195&amp;'Detail inputs'!$G$3:$G$195&amp;'Detail inputs'!$H$3:$H$195&amp;'Detail inputs'!$D$3:$D$195,0),MATCH(O$4,'Detail inputs'!$B$3:$K$3,0)),0)</f>
        <v>1.9406888057493121</v>
      </c>
      <c r="P142" s="128"/>
      <c r="Q142" s="128">
        <f>IF(AND(O142="",P142=""),"",O142+P142*$F142/1000)</f>
        <v>1.9406888057493121</v>
      </c>
      <c r="R142" s="143">
        <f>IFERROR(Q142/Q143,"")</f>
        <v>6.7447503594335982E-3</v>
      </c>
      <c r="S142" s="143"/>
      <c r="T142" s="143"/>
      <c r="U142" s="143"/>
      <c r="V142" s="143"/>
      <c r="W142" s="143"/>
      <c r="X142" s="143"/>
      <c r="Y142" s="143"/>
      <c r="Z142" s="143"/>
      <c r="AA142" s="143"/>
      <c r="AB142" s="143"/>
      <c r="AC142" s="143"/>
      <c r="AD142" s="143"/>
      <c r="AE142" s="143"/>
    </row>
    <row r="143" spans="1:31" s="19" customFormat="1" x14ac:dyDescent="0.25">
      <c r="A143" s="3"/>
      <c r="B143" s="3" t="str">
        <f t="shared" ref="B143:D143" si="98">B142</f>
        <v>SAPN</v>
      </c>
      <c r="C143" s="3" t="str">
        <f t="shared" si="98"/>
        <v>Residential</v>
      </c>
      <c r="D143" s="3" t="str">
        <f t="shared" si="98"/>
        <v>with CL</v>
      </c>
      <c r="E143" s="3" t="s">
        <v>19</v>
      </c>
      <c r="F143" s="131">
        <f t="array" ref="F143">IFERROR(INDEX(Usage!$B$5:$P$18,MATCH($B143,Usage!$B$5:$B$18,0),MATCH($C143&amp;$D143&amp;$E143&amp;"Total",Usage!$B$5:$S$5&amp;Usage!$B$6:$S$6&amp;Usage!$B$7:$S$7&amp;Usage!$B$13:$S$13,0)),0)</f>
        <v>4200</v>
      </c>
      <c r="G143" s="5" t="s">
        <v>55</v>
      </c>
      <c r="H143" s="130">
        <f>SUM(H139:H142)</f>
        <v>229.65</v>
      </c>
      <c r="I143" s="130">
        <f>SUM(I139:I142)</f>
        <v>0</v>
      </c>
      <c r="J143" s="130">
        <f>IF(AND(H143="",I143=""),"",H143+I143*$F143/1000)</f>
        <v>229.65</v>
      </c>
      <c r="K143" s="145"/>
      <c r="L143" s="130"/>
      <c r="M143" s="145">
        <f>IF(OR(J143=0,Q143=""),"",Q143/J143-1)</f>
        <v>0.25292066141569114</v>
      </c>
      <c r="N143" s="130"/>
      <c r="O143" s="130">
        <f>SUM(O139:O142)</f>
        <v>287.73322989411349</v>
      </c>
      <c r="P143" s="130">
        <f>SUM(P139:P142)</f>
        <v>0</v>
      </c>
      <c r="Q143" s="130">
        <f>IF(AND(O143="",P143=""),"",O143+P143*$F143/1000)</f>
        <v>287.73322989411349</v>
      </c>
      <c r="R143" s="145"/>
      <c r="S143" s="145"/>
      <c r="T143" s="145"/>
      <c r="U143" s="145"/>
      <c r="V143" s="145"/>
      <c r="W143" s="145"/>
      <c r="X143" s="145"/>
      <c r="Y143" s="145"/>
      <c r="Z143" s="145"/>
      <c r="AA143" s="145"/>
      <c r="AB143" s="145"/>
      <c r="AC143" s="145"/>
      <c r="AD143" s="145"/>
      <c r="AE143" s="145"/>
    </row>
    <row r="144" spans="1:31" s="19" customFormat="1" x14ac:dyDescent="0.25">
      <c r="A144" s="3"/>
      <c r="B144" s="3" t="str">
        <f t="shared" ref="B144:D144" si="99">B143</f>
        <v>SAPN</v>
      </c>
      <c r="C144" s="3" t="str">
        <f t="shared" si="99"/>
        <v>Residential</v>
      </c>
      <c r="D144" s="3" t="str">
        <f t="shared" si="99"/>
        <v>with CL</v>
      </c>
      <c r="E144" s="3" t="s">
        <v>19</v>
      </c>
      <c r="F144" s="131">
        <f t="array" ref="F144">IFERROR(INDEX(Usage!$B$5:$P$18,MATCH($B144,Usage!$B$5:$B$18,0),MATCH($C144&amp;$D144&amp;$E144&amp;"Total",Usage!$B$5:$S$5&amp;Usage!$B$6:$S$6&amp;Usage!$B$7:$S$7&amp;Usage!$B$13:$S$13,0)),0)</f>
        <v>4200</v>
      </c>
      <c r="G144" s="3" t="s">
        <v>170</v>
      </c>
      <c r="H144" s="128">
        <f>H143*CPIPY</f>
        <v>16.35475440000004</v>
      </c>
      <c r="I144" s="128"/>
      <c r="J144" s="128">
        <f>J143*CPIPY</f>
        <v>16.35475440000004</v>
      </c>
      <c r="K144" s="144"/>
      <c r="L144" s="128"/>
      <c r="M144" s="144">
        <f>IF(OR(J144=0,Q144=""),"",Q144/J144-1)</f>
        <v>-1.2665678043422002E-3</v>
      </c>
      <c r="N144" s="128"/>
      <c r="O144" s="128"/>
      <c r="P144" s="128"/>
      <c r="Q144" s="128">
        <f>Q143*CPI</f>
        <v>16.334039994629077</v>
      </c>
      <c r="R144" s="144"/>
      <c r="S144" s="144"/>
      <c r="T144" s="144"/>
      <c r="U144" s="144"/>
      <c r="V144" s="144"/>
      <c r="W144" s="144"/>
      <c r="X144" s="144"/>
      <c r="Y144" s="144"/>
      <c r="Z144" s="144"/>
      <c r="AA144" s="144"/>
      <c r="AB144" s="144"/>
      <c r="AC144" s="144"/>
      <c r="AD144" s="144"/>
      <c r="AE144" s="144"/>
    </row>
    <row r="145" spans="2:31" x14ac:dyDescent="0.25">
      <c r="B145" s="3" t="str">
        <f t="shared" ref="B145:D145" si="100">B144</f>
        <v>SAPN</v>
      </c>
      <c r="C145" s="3" t="str">
        <f t="shared" si="100"/>
        <v>Residential</v>
      </c>
      <c r="D145" s="3" t="str">
        <f t="shared" si="100"/>
        <v>with CL</v>
      </c>
      <c r="F145" s="131"/>
      <c r="G145" s="3" t="s">
        <v>38</v>
      </c>
      <c r="H145" s="128"/>
      <c r="I145" s="128"/>
      <c r="J145" s="128">
        <f>SUM(J143,J144)*GST</f>
        <v>24.600475440000007</v>
      </c>
      <c r="K145" s="144"/>
      <c r="L145" s="128"/>
      <c r="M145" s="143">
        <f>IF(OR(J145=0,Q145=""),0,Q145/J145-1)</f>
        <v>0.23602192417116341</v>
      </c>
      <c r="N145" s="128"/>
      <c r="O145" s="128"/>
      <c r="P145" s="128"/>
      <c r="Q145" s="128">
        <f>SUM(Q143,Q144)*GST</f>
        <v>30.406726988874254</v>
      </c>
      <c r="R145" s="145"/>
      <c r="S145" s="145"/>
      <c r="T145" s="145"/>
      <c r="U145" s="145"/>
      <c r="V145" s="145"/>
      <c r="W145" s="145"/>
      <c r="X145" s="145"/>
      <c r="Y145" s="145"/>
      <c r="Z145" s="145"/>
      <c r="AA145" s="145"/>
      <c r="AB145" s="145"/>
      <c r="AC145" s="145"/>
      <c r="AD145" s="145"/>
      <c r="AE145" s="145"/>
    </row>
    <row r="146" spans="2:31" x14ac:dyDescent="0.25">
      <c r="B146" s="3" t="str">
        <f t="shared" ref="B146:D146" si="101">B145</f>
        <v>SAPN</v>
      </c>
      <c r="C146" s="3" t="str">
        <f t="shared" si="101"/>
        <v>Residential</v>
      </c>
      <c r="D146" s="3" t="str">
        <f t="shared" si="101"/>
        <v>with CL</v>
      </c>
      <c r="F146" s="131"/>
      <c r="G146" s="5" t="s">
        <v>80</v>
      </c>
      <c r="H146" s="130"/>
      <c r="I146" s="130"/>
      <c r="J146" s="130">
        <f>SUM(J143:J145)</f>
        <v>270.60522984000005</v>
      </c>
      <c r="K146" s="145"/>
      <c r="L146" s="130"/>
      <c r="M146" s="145">
        <f>IF(OR(J146=0,Q146=""),"",Q146/J146-1)</f>
        <v>0.23602192417116341</v>
      </c>
      <c r="N146" s="130"/>
      <c r="O146" s="130"/>
      <c r="P146" s="130"/>
      <c r="Q146" s="130">
        <f>SUM(Q143:Q145)</f>
        <v>334.4739968776168</v>
      </c>
      <c r="R146" s="145"/>
      <c r="S146" s="145"/>
      <c r="T146" s="145"/>
      <c r="U146" s="145"/>
      <c r="V146" s="145"/>
      <c r="W146" s="145"/>
      <c r="X146" s="145"/>
      <c r="Y146" s="145"/>
      <c r="Z146" s="145"/>
      <c r="AA146" s="145"/>
      <c r="AB146" s="145"/>
      <c r="AC146" s="145"/>
      <c r="AD146" s="145"/>
      <c r="AE146" s="145"/>
    </row>
    <row r="147" spans="2:31" x14ac:dyDescent="0.25">
      <c r="B147" s="3" t="str">
        <f t="shared" ref="B147:D147" si="102">B146</f>
        <v>SAPN</v>
      </c>
      <c r="C147" s="3" t="str">
        <f t="shared" si="102"/>
        <v>Residential</v>
      </c>
      <c r="D147" s="3" t="str">
        <f t="shared" si="102"/>
        <v>with CL</v>
      </c>
      <c r="F147" s="131"/>
      <c r="H147" s="128"/>
      <c r="I147" s="128"/>
      <c r="J147" s="128"/>
      <c r="K147" s="143"/>
      <c r="L147" s="128"/>
      <c r="M147" s="143"/>
      <c r="N147" s="128"/>
      <c r="O147" s="128"/>
      <c r="P147" s="128"/>
      <c r="Q147" s="128"/>
      <c r="R147" s="143"/>
      <c r="S147" s="143"/>
      <c r="T147" s="143"/>
      <c r="U147" s="143"/>
      <c r="V147" s="143"/>
      <c r="W147" s="143"/>
      <c r="X147" s="143"/>
      <c r="Y147" s="143"/>
      <c r="Z147" s="143"/>
      <c r="AA147" s="143"/>
      <c r="AB147" s="143"/>
      <c r="AC147" s="143"/>
      <c r="AD147" s="143"/>
      <c r="AE147" s="143"/>
    </row>
    <row r="148" spans="2:31" x14ac:dyDescent="0.25">
      <c r="B148" s="5" t="s">
        <v>5</v>
      </c>
      <c r="C148" s="5" t="s">
        <v>13</v>
      </c>
      <c r="D148" s="5" t="s">
        <v>127</v>
      </c>
      <c r="F148" s="131"/>
      <c r="H148" s="128"/>
      <c r="I148" s="128"/>
      <c r="J148" s="128"/>
      <c r="K148" s="143"/>
      <c r="L148" s="128"/>
      <c r="M148" s="143"/>
      <c r="N148" s="128"/>
      <c r="O148" s="128"/>
      <c r="P148" s="128"/>
      <c r="Q148" s="128"/>
      <c r="R148" s="143"/>
      <c r="S148" s="143"/>
      <c r="T148" s="143"/>
      <c r="U148" s="143"/>
      <c r="V148" s="143"/>
      <c r="W148" s="143"/>
      <c r="X148" s="143"/>
      <c r="Y148" s="143"/>
      <c r="Z148" s="143"/>
      <c r="AA148" s="143"/>
      <c r="AB148" s="143"/>
      <c r="AC148" s="143"/>
      <c r="AD148" s="143"/>
      <c r="AE148" s="143"/>
    </row>
    <row r="149" spans="2:31" x14ac:dyDescent="0.25">
      <c r="B149" s="3" t="str">
        <f t="shared" ref="B149:D149" si="103">B148</f>
        <v>SAPN</v>
      </c>
      <c r="C149" s="3" t="str">
        <f t="shared" si="103"/>
        <v>Small business</v>
      </c>
      <c r="D149" s="3" t="str">
        <f t="shared" si="103"/>
        <v>without CL</v>
      </c>
      <c r="E149" s="3" t="s">
        <v>19</v>
      </c>
      <c r="F149" s="131">
        <f t="array" ref="F149">IFERROR(INDEX(Usage!$B$5:$P$18,MATCH($B149,Usage!$B$5:$B$18,0),MATCH($C149&amp;$D149&amp;$E149&amp;"Total",Usage!$B$5:$S$5&amp;Usage!$B$6:$S$6&amp;Usage!$B$7:$S$7&amp;Usage!$B$13:$S$13,0)),0)</f>
        <v>10000</v>
      </c>
      <c r="G149" s="3" t="s">
        <v>270</v>
      </c>
      <c r="H149" s="128" cm="1">
        <f t="array" ref="H149">IFERROR(INDEX('Detail inputs'!$B$3:$K$195,MATCH($B149&amp;$G149&amp;H$5&amp;$C149,'Detail inputs'!$B$3:$B$195&amp;'Detail inputs'!$G$3:$G$195&amp;'Detail inputs'!$H$3:$H$195&amp;'Detail inputs'!$D$3:$D$195,0),MATCH(H$4,'Detail inputs'!$B$3:$K$3,0)),0)</f>
        <v>183</v>
      </c>
      <c r="I149" s="128"/>
      <c r="J149" s="128">
        <f>IF(AND(H149="",I149=""),"",H149+I149*$F149/1000)</f>
        <v>183</v>
      </c>
      <c r="K149" s="143">
        <f>IFERROR(J149/J153,"")</f>
        <v>0.67752684191040347</v>
      </c>
      <c r="L149" s="129"/>
      <c r="M149" s="143">
        <f>IF(OR(J149=0,Q149=""),"",Q149/J149-1)</f>
        <v>7.5991661803783916E-2</v>
      </c>
      <c r="N149" s="129"/>
      <c r="O149" s="128" cm="1">
        <f t="array" ref="O149">IFERROR(INDEX('Detail inputs'!$B$3:$K$195,MATCH($B149&amp;$G149&amp;O$5&amp;$C149,'Detail inputs'!$B$3:$B$195&amp;'Detail inputs'!$G$3:$G$195&amp;'Detail inputs'!$H$3:$H$195&amp;'Detail inputs'!$D$3:$D$195,0),MATCH(O$4,'Detail inputs'!$B$3:$K$3,0)),0)</f>
        <v>196.90647411009246</v>
      </c>
      <c r="P149" s="128"/>
      <c r="Q149" s="128">
        <f>IF(AND(O149="",P149=""),"",O149+P149*$F149/1000)</f>
        <v>196.90647411009246</v>
      </c>
      <c r="R149" s="143">
        <f>IFERROR(Q149/Q153,"")</f>
        <v>0.66398098249508852</v>
      </c>
      <c r="S149" s="143"/>
      <c r="T149" s="143"/>
      <c r="U149" s="143"/>
      <c r="V149" s="143"/>
      <c r="W149" s="143"/>
      <c r="X149" s="143"/>
      <c r="Y149" s="143"/>
      <c r="Z149" s="143"/>
      <c r="AA149" s="143"/>
      <c r="AB149" s="143"/>
      <c r="AC149" s="143"/>
      <c r="AD149" s="143"/>
      <c r="AE149" s="143"/>
    </row>
    <row r="150" spans="2:31" x14ac:dyDescent="0.25">
      <c r="B150" s="3" t="str">
        <f t="shared" ref="B150:D150" si="104">B149</f>
        <v>SAPN</v>
      </c>
      <c r="C150" s="3" t="str">
        <f t="shared" si="104"/>
        <v>Small business</v>
      </c>
      <c r="D150" s="3" t="str">
        <f t="shared" si="104"/>
        <v>without CL</v>
      </c>
      <c r="E150" s="3" t="s">
        <v>19</v>
      </c>
      <c r="F150" s="131">
        <f t="array" ref="F150">IFERROR(INDEX(Usage!$B$5:$P$18,MATCH($B150,Usage!$B$5:$B$18,0),MATCH($C150&amp;$D150&amp;$E150&amp;"Total",Usage!$B$5:$S$5&amp;Usage!$B$6:$S$6&amp;Usage!$B$7:$S$7&amp;Usage!$B$13:$S$13,0)),0)</f>
        <v>10000</v>
      </c>
      <c r="G150" s="120" t="s">
        <v>277</v>
      </c>
      <c r="H150" s="128" cm="1">
        <f t="array" ref="H150">IFERROR(INDEX('Detail inputs'!$B$3:$K$195,MATCH($B150&amp;$G150&amp;H$5&amp;$C150,'Detail inputs'!$B$3:$B$195&amp;'Detail inputs'!$G$3:$G$195&amp;'Detail inputs'!$H$3:$H$195&amp;'Detail inputs'!$D$3:$D$195,0),MATCH(H$4,'Detail inputs'!$B$3:$K$3,0)),0)</f>
        <v>34.61</v>
      </c>
      <c r="I150" s="128"/>
      <c r="J150" s="128">
        <f>IF(AND(H150="",I150=""),"",H150+I150*$F150/1000)</f>
        <v>34.61</v>
      </c>
      <c r="K150" s="143">
        <f>IFERROR(J150/J153,"")</f>
        <v>0.12813772676786375</v>
      </c>
      <c r="L150" s="129"/>
      <c r="M150" s="143">
        <f>IF(OR(J150=0,Q150=""),"",Q150/J150-1)</f>
        <v>0.497204753862027</v>
      </c>
      <c r="N150" s="129"/>
      <c r="O150" s="128" cm="1">
        <f t="array" ref="O150">IFERROR(INDEX('Detail inputs'!$B$3:$K$195,MATCH($B150&amp;$G150&amp;O$5&amp;$C150,'Detail inputs'!$B$3:$B$195&amp;'Detail inputs'!$G$3:$G$195&amp;'Detail inputs'!$H$3:$H$195&amp;'Detail inputs'!$D$3:$D$195,0),MATCH(O$4,'Detail inputs'!$B$3:$K$3,0)),0)</f>
        <v>51.818256531164756</v>
      </c>
      <c r="P150" s="128"/>
      <c r="Q150" s="128">
        <f>IF(AND(O150="",P150=""),"",O150+P150*$F150/1000)</f>
        <v>51.818256531164756</v>
      </c>
      <c r="R150" s="143">
        <f>IFERROR(Q150/Q153,"")</f>
        <v>0.17473441154356545</v>
      </c>
      <c r="S150" s="143"/>
      <c r="T150" s="143"/>
      <c r="U150" s="143"/>
      <c r="V150" s="143"/>
      <c r="W150" s="143"/>
      <c r="X150" s="143"/>
      <c r="Y150" s="143"/>
      <c r="Z150" s="143"/>
      <c r="AA150" s="143"/>
      <c r="AB150" s="143"/>
      <c r="AC150" s="143"/>
      <c r="AD150" s="143"/>
      <c r="AE150" s="143"/>
    </row>
    <row r="151" spans="2:31" x14ac:dyDescent="0.25">
      <c r="B151" s="3" t="str">
        <f t="shared" ref="B151:D152" si="105">B150</f>
        <v>SAPN</v>
      </c>
      <c r="C151" s="3" t="str">
        <f t="shared" si="105"/>
        <v>Small business</v>
      </c>
      <c r="D151" s="3" t="str">
        <f t="shared" si="105"/>
        <v>without CL</v>
      </c>
      <c r="E151" s="3" t="s">
        <v>19</v>
      </c>
      <c r="F151" s="131">
        <f t="array" ref="F151">IFERROR(INDEX(Usage!$B$5:$P$18,MATCH($B151,Usage!$B$5:$B$18,0),MATCH($C151&amp;$D151&amp;$E151&amp;"Total",Usage!$B$5:$S$5&amp;Usage!$B$6:$S$6&amp;Usage!$B$7:$S$7&amp;Usage!$B$13:$S$13,0)),0)</f>
        <v>10000</v>
      </c>
      <c r="G151" s="3" t="s">
        <v>167</v>
      </c>
      <c r="H151" s="128" cm="1">
        <f t="array" ref="H151">IFERROR(INDEX('Detail inputs'!$B$3:$K$195,MATCH($B151&amp;$G151&amp;H$5&amp;$C151,'Detail inputs'!$B$3:$B$195&amp;'Detail inputs'!$G$3:$G$195&amp;'Detail inputs'!$H$3:$H$195&amp;'Detail inputs'!$D$3:$D$195,0),MATCH(H$4,'Detail inputs'!$B$3:$K$3,0)),0)</f>
        <v>52</v>
      </c>
      <c r="I151" s="128"/>
      <c r="J151" s="128">
        <f>IF(AND(H151="",I151=""),"",H151+I151*$F151/1000)</f>
        <v>52</v>
      </c>
      <c r="K151" s="143">
        <f>IFERROR(J151/J153,"")</f>
        <v>0.19252128841169935</v>
      </c>
      <c r="L151" s="129"/>
      <c r="M151" s="143">
        <f>IF(OR(J151=0,Q151=""),"",Q151/J151-1)</f>
        <v>-0.11911887508862051</v>
      </c>
      <c r="N151" s="129"/>
      <c r="O151" s="128" cm="1">
        <f t="array" ref="O151">IFERROR(INDEX('Detail inputs'!$B$3:$K$195,MATCH($B151&amp;$G151&amp;O$5&amp;$C151,'Detail inputs'!$B$3:$B$195&amp;'Detail inputs'!$G$3:$G$195&amp;'Detail inputs'!$H$3:$H$195&amp;'Detail inputs'!$D$3:$D$195,0),MATCH(O$4,'Detail inputs'!$B$3:$K$3,0)),0)</f>
        <v>45.805818495391733</v>
      </c>
      <c r="P151" s="128"/>
      <c r="Q151" s="128">
        <f>IF(AND(O151="",P151=""),"",O151+P151*$F151/1000)</f>
        <v>45.805818495391733</v>
      </c>
      <c r="R151" s="143">
        <f>IFERROR(Q151/Q153,"")</f>
        <v>0.15446009333119748</v>
      </c>
      <c r="S151" s="143"/>
      <c r="T151" s="143"/>
      <c r="U151" s="143"/>
      <c r="V151" s="143"/>
      <c r="W151" s="143"/>
      <c r="X151" s="143"/>
      <c r="Y151" s="143"/>
      <c r="Z151" s="143"/>
      <c r="AA151" s="143"/>
      <c r="AB151" s="143"/>
      <c r="AC151" s="143"/>
      <c r="AD151" s="143"/>
      <c r="AE151" s="143"/>
    </row>
    <row r="152" spans="2:31" x14ac:dyDescent="0.25">
      <c r="B152" s="3" t="str">
        <f t="shared" si="105"/>
        <v>SAPN</v>
      </c>
      <c r="C152" s="3" t="str">
        <f t="shared" si="105"/>
        <v>Small business</v>
      </c>
      <c r="D152" s="3" t="str">
        <f t="shared" si="105"/>
        <v>without CL</v>
      </c>
      <c r="E152" s="3" t="s">
        <v>19</v>
      </c>
      <c r="F152" s="131">
        <f t="array" ref="F152">IFERROR(INDEX(Usage!$B$5:$P$18,MATCH($B152,Usage!$B$5:$B$18,0),MATCH($C152&amp;$D152&amp;$E152&amp;"Total",Usage!$B$5:$S$5&amp;Usage!$B$6:$S$6&amp;Usage!$B$7:$S$7&amp;Usage!$B$13:$S$13,0)),0)</f>
        <v>10000</v>
      </c>
      <c r="G152" s="3" t="s">
        <v>207</v>
      </c>
      <c r="H152" s="128" cm="1">
        <f t="array" ref="H152">IFERROR(INDEX('Detail inputs'!$B$3:$K$195,MATCH($B152&amp;$G152&amp;H$5&amp;$C152,'Detail inputs'!$B$3:$B$195&amp;'Detail inputs'!$G$3:$G$195&amp;'Detail inputs'!$H$3:$H$195&amp;'Detail inputs'!$D$3:$D$195,0),MATCH(H$4,'Detail inputs'!$B$3:$K$3,0)),0)</f>
        <v>0.49</v>
      </c>
      <c r="I152" s="128"/>
      <c r="J152" s="128">
        <f>IF(AND(H152="",I152=""),"",H152+I152*$F152/1000)</f>
        <v>0.49</v>
      </c>
      <c r="K152" s="143">
        <f>IFERROR(J152/J153,"")</f>
        <v>1.8141429100333208E-3</v>
      </c>
      <c r="L152" s="129"/>
      <c r="M152" s="143">
        <f>IF(OR(J152=0,Q152=""),0,Q152/J152-1)</f>
        <v>3.1302840173765594</v>
      </c>
      <c r="N152" s="129"/>
      <c r="O152" s="128" cm="1">
        <f t="array" ref="O152">IFERROR(INDEX('Detail inputs'!$B$3:$K$195,MATCH($B152&amp;$G152&amp;O$5&amp;$C152,'Detail inputs'!$B$3:$B$195&amp;'Detail inputs'!$G$3:$G$195&amp;'Detail inputs'!$H$3:$H$195&amp;'Detail inputs'!$D$3:$D$195,0),MATCH(O$4,'Detail inputs'!$B$3:$K$3,0)),0)</f>
        <v>2.0238391685145141</v>
      </c>
      <c r="P152" s="128"/>
      <c r="Q152" s="128">
        <f>IF(AND(O152="",P152=""),"",O152+P152*$F152/1000)</f>
        <v>2.0238391685145141</v>
      </c>
      <c r="R152" s="143">
        <f>IFERROR(Q152/Q153,"")</f>
        <v>6.8245126301483758E-3</v>
      </c>
      <c r="S152" s="143"/>
      <c r="T152" s="143"/>
      <c r="U152" s="143"/>
      <c r="V152" s="143"/>
      <c r="W152" s="143"/>
      <c r="X152" s="143"/>
      <c r="Y152" s="143"/>
      <c r="Z152" s="143"/>
      <c r="AA152" s="143"/>
      <c r="AB152" s="143"/>
      <c r="AC152" s="143"/>
      <c r="AD152" s="143"/>
      <c r="AE152" s="143"/>
    </row>
    <row r="153" spans="2:31" x14ac:dyDescent="0.25">
      <c r="B153" s="3" t="str">
        <f t="shared" ref="B153:D153" si="106">B152</f>
        <v>SAPN</v>
      </c>
      <c r="C153" s="3" t="str">
        <f t="shared" si="106"/>
        <v>Small business</v>
      </c>
      <c r="D153" s="3" t="str">
        <f t="shared" si="106"/>
        <v>without CL</v>
      </c>
      <c r="E153" s="3" t="s">
        <v>19</v>
      </c>
      <c r="F153" s="131">
        <f t="array" ref="F153">IFERROR(INDEX(Usage!$B$5:$P$18,MATCH($B153,Usage!$B$5:$B$18,0),MATCH($C153&amp;$D153&amp;$E153&amp;"Total",Usage!$B$5:$S$5&amp;Usage!$B$6:$S$6&amp;Usage!$B$7:$S$7&amp;Usage!$B$13:$S$13,0)),0)</f>
        <v>10000</v>
      </c>
      <c r="G153" s="5" t="s">
        <v>55</v>
      </c>
      <c r="H153" s="130">
        <f>SUM(H149:H152)</f>
        <v>270.10000000000002</v>
      </c>
      <c r="I153" s="130">
        <f>SUM(I149:I152)</f>
        <v>0</v>
      </c>
      <c r="J153" s="130">
        <f>IF(AND(H153="",I153=""),"",H153+I153*$F153/1000)</f>
        <v>270.10000000000002</v>
      </c>
      <c r="K153" s="145"/>
      <c r="L153" s="130"/>
      <c r="M153" s="145">
        <f>IF(OR(J153=0,Q153=""),"",Q153/J153-1)</f>
        <v>9.7942940781797549E-2</v>
      </c>
      <c r="N153" s="130"/>
      <c r="O153" s="130">
        <f>SUM(O149:O152)</f>
        <v>296.55438830516351</v>
      </c>
      <c r="P153" s="130">
        <f>SUM(P149:P152)</f>
        <v>0</v>
      </c>
      <c r="Q153" s="130">
        <f>IF(AND(O153="",P153=""),"",O153+P153*$F153/1000)</f>
        <v>296.55438830516351</v>
      </c>
      <c r="R153" s="145"/>
      <c r="S153" s="145"/>
      <c r="T153" s="145"/>
      <c r="U153" s="145"/>
      <c r="V153" s="145"/>
      <c r="W153" s="145"/>
      <c r="X153" s="145"/>
      <c r="Y153" s="145"/>
      <c r="Z153" s="145"/>
      <c r="AA153" s="145"/>
      <c r="AB153" s="145"/>
      <c r="AC153" s="145"/>
      <c r="AD153" s="145"/>
      <c r="AE153" s="145"/>
    </row>
    <row r="154" spans="2:31" x14ac:dyDescent="0.25">
      <c r="B154" s="3" t="str">
        <f t="shared" ref="B154:D154" si="107">B153</f>
        <v>SAPN</v>
      </c>
      <c r="C154" s="3" t="str">
        <f t="shared" si="107"/>
        <v>Small business</v>
      </c>
      <c r="D154" s="3" t="str">
        <f t="shared" si="107"/>
        <v>without CL</v>
      </c>
      <c r="E154" s="3" t="s">
        <v>19</v>
      </c>
      <c r="F154" s="131">
        <f t="array" ref="F154">IFERROR(INDEX(Usage!$B$5:$P$18,MATCH($B154,Usage!$B$5:$B$18,0),MATCH($C154&amp;$D154&amp;$E154&amp;"Total",Usage!$B$5:$S$5&amp;Usage!$B$6:$S$6&amp;Usage!$B$7:$S$7&amp;Usage!$B$13:$S$13,0)),0)</f>
        <v>10000</v>
      </c>
      <c r="G154" s="3" t="s">
        <v>170</v>
      </c>
      <c r="H154" s="128">
        <f>H153*CPIPY</f>
        <v>19.235441600000048</v>
      </c>
      <c r="I154" s="128"/>
      <c r="J154" s="128">
        <f>J153*CPIPY</f>
        <v>19.235441600000048</v>
      </c>
      <c r="K154" s="144"/>
      <c r="L154" s="128"/>
      <c r="M154" s="144">
        <f>IF(OR(J154=0,Q154=""),"",Q154/J154-1)</f>
        <v>-0.1248030658517596</v>
      </c>
      <c r="N154" s="128"/>
      <c r="O154" s="128"/>
      <c r="P154" s="128"/>
      <c r="Q154" s="128">
        <f>Q153*CPI</f>
        <v>16.834799515307566</v>
      </c>
      <c r="R154" s="144"/>
      <c r="S154" s="144"/>
      <c r="T154" s="144"/>
      <c r="U154" s="144"/>
      <c r="V154" s="144"/>
      <c r="W154" s="144"/>
      <c r="X154" s="144"/>
      <c r="Y154" s="144"/>
      <c r="Z154" s="144"/>
      <c r="AA154" s="144"/>
      <c r="AB154" s="144"/>
      <c r="AC154" s="144"/>
      <c r="AD154" s="144"/>
      <c r="AE154" s="144"/>
    </row>
    <row r="155" spans="2:31" x14ac:dyDescent="0.25">
      <c r="B155" s="3" t="str">
        <f t="shared" ref="B155:D155" si="108">B154</f>
        <v>SAPN</v>
      </c>
      <c r="C155" s="3" t="str">
        <f t="shared" si="108"/>
        <v>Small business</v>
      </c>
      <c r="D155" s="3" t="str">
        <f t="shared" si="108"/>
        <v>without CL</v>
      </c>
      <c r="F155" s="131"/>
      <c r="G155" s="3" t="s">
        <v>38</v>
      </c>
      <c r="H155" s="128"/>
      <c r="I155" s="128"/>
      <c r="J155" s="128">
        <f>SUM(J153,J154)*GST</f>
        <v>28.933544160000011</v>
      </c>
      <c r="K155" s="144"/>
      <c r="L155" s="128"/>
      <c r="M155" s="143">
        <f>IF(OR(J155=0,Q155=""),0,Q155/J155-1)</f>
        <v>8.3134461811715354E-2</v>
      </c>
      <c r="N155" s="128"/>
      <c r="O155" s="128"/>
      <c r="P155" s="128"/>
      <c r="Q155" s="128">
        <f>SUM(Q153,Q154)*GST</f>
        <v>31.338918782047109</v>
      </c>
      <c r="R155" s="145"/>
      <c r="S155" s="145"/>
      <c r="T155" s="145"/>
      <c r="U155" s="145"/>
      <c r="V155" s="145"/>
      <c r="W155" s="145"/>
      <c r="X155" s="145"/>
      <c r="Y155" s="145"/>
      <c r="Z155" s="145"/>
      <c r="AA155" s="145"/>
      <c r="AB155" s="145"/>
      <c r="AC155" s="145"/>
      <c r="AD155" s="145"/>
      <c r="AE155" s="145"/>
    </row>
    <row r="156" spans="2:31" x14ac:dyDescent="0.25">
      <c r="B156" s="3" t="str">
        <f t="shared" ref="B156:D156" si="109">B155</f>
        <v>SAPN</v>
      </c>
      <c r="C156" s="3" t="str">
        <f t="shared" si="109"/>
        <v>Small business</v>
      </c>
      <c r="D156" s="3" t="str">
        <f t="shared" si="109"/>
        <v>without CL</v>
      </c>
      <c r="F156" s="131"/>
      <c r="G156" s="5" t="s">
        <v>80</v>
      </c>
      <c r="H156" s="130"/>
      <c r="I156" s="130"/>
      <c r="J156" s="130">
        <f>SUM(J153:J155)</f>
        <v>318.26898576000008</v>
      </c>
      <c r="K156" s="145"/>
      <c r="L156" s="130"/>
      <c r="M156" s="145">
        <f>IF(OR(J156=0,Q156=""),"",Q156/J156-1)</f>
        <v>8.3134461811715354E-2</v>
      </c>
      <c r="N156" s="130"/>
      <c r="O156" s="130"/>
      <c r="P156" s="130"/>
      <c r="Q156" s="130">
        <f>SUM(Q153:Q155)</f>
        <v>344.72810660251821</v>
      </c>
      <c r="R156" s="145"/>
      <c r="S156" s="145"/>
      <c r="T156" s="145"/>
      <c r="U156" s="145"/>
      <c r="V156" s="145"/>
      <c r="W156" s="145"/>
      <c r="X156" s="145"/>
      <c r="Y156" s="145"/>
      <c r="Z156" s="145"/>
      <c r="AA156" s="145"/>
      <c r="AB156" s="145"/>
      <c r="AC156" s="145"/>
      <c r="AD156" s="145"/>
      <c r="AE156" s="145"/>
    </row>
    <row r="157" spans="2:31" x14ac:dyDescent="0.25">
      <c r="B157" s="3" t="str">
        <f t="shared" ref="B157:D157" si="110">B156</f>
        <v>SAPN</v>
      </c>
      <c r="C157" s="3" t="str">
        <f t="shared" si="110"/>
        <v>Small business</v>
      </c>
      <c r="D157" s="3" t="str">
        <f t="shared" si="110"/>
        <v>without CL</v>
      </c>
      <c r="F157" s="131"/>
      <c r="H157" s="128"/>
      <c r="I157" s="128"/>
      <c r="J157" s="128"/>
      <c r="K157" s="143"/>
      <c r="L157" s="128"/>
      <c r="M157" s="143"/>
      <c r="N157" s="128"/>
      <c r="O157" s="128"/>
      <c r="P157" s="128"/>
      <c r="Q157" s="128"/>
      <c r="R157" s="143"/>
      <c r="S157" s="143"/>
      <c r="T157" s="143"/>
      <c r="U157" s="143"/>
      <c r="V157" s="143"/>
      <c r="W157" s="143"/>
      <c r="X157" s="143"/>
      <c r="Y157" s="143"/>
      <c r="Z157" s="143"/>
      <c r="AA157" s="143"/>
      <c r="AB157" s="143"/>
      <c r="AC157" s="143"/>
      <c r="AD157" s="143"/>
      <c r="AE157" s="143"/>
    </row>
    <row r="158" spans="2:31" x14ac:dyDescent="0.25">
      <c r="F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5">
      <c r="F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sheetData>
  <sheetProtection algorithmName="SHA-256" hashValue="MzGjKZ/SKpvI2S5AJfujOl7aOE3QT0xN+dneGgu04gg=" saltValue="RI0v3CrPx72o2sq3V+UuWA==" spinCount="100000" sheet="1" formatCells="0" formatColumns="0" formatRows="0" insertColumns="0" insertRows="0" insertHyperlinks="0" deleteColumns="0" deleteRows="0" sort="0" autoFilter="0" pivotTables="0"/>
  <mergeCells count="3">
    <mergeCell ref="A1:B1"/>
    <mergeCell ref="H3:K3"/>
    <mergeCell ref="O3:R3"/>
  </mergeCells>
  <conditionalFormatting sqref="B7:D17 B19:D27 B29:D37 B124:D127">
    <cfRule type="expression" dxfId="191" priority="1847">
      <formula>AND(B7=B6,MOD(ROW(),2)=0)</formula>
    </cfRule>
  </conditionalFormatting>
  <conditionalFormatting sqref="B13:D13 B33:D33 B43:D43 B53:D53 B73:D73 B83:D83 B93:D93 B103:D103 B113:D113 B123:D123 B133:D133 B143:D143 B153:D153">
    <cfRule type="expression" dxfId="190" priority="4333">
      <formula>AND(B13=B11,MOD(ROW(),2)=0)</formula>
    </cfRule>
  </conditionalFormatting>
  <conditionalFormatting sqref="B13:D13 B33:D33 B43:D43 B53:D53 B73:D73 B83:D83 B93:D93 B103:D103 B113:D113 B133:D133 B143:D143 B153:D153 B123:D123">
    <cfRule type="expression" dxfId="189" priority="4332">
      <formula>AND(B13=B11,MOD(ROW(),2)=1)</formula>
    </cfRule>
  </conditionalFormatting>
  <conditionalFormatting sqref="B19:D27 B7:D17 B29:D37 B124:D127">
    <cfRule type="expression" dxfId="188" priority="1846">
      <formula>AND(B7=B6,MOD(ROW(),2)=1)</formula>
    </cfRule>
  </conditionalFormatting>
  <conditionalFormatting sqref="B23:D23">
    <cfRule type="expression" dxfId="187" priority="932">
      <formula>AND(B23=B21,MOD(ROW(),2)=0)</formula>
    </cfRule>
    <cfRule type="expression" dxfId="186" priority="931">
      <formula>AND(B23=B21,MOD(ROW(),2)=1)</formula>
    </cfRule>
  </conditionalFormatting>
  <conditionalFormatting sqref="B34:D37 E36:AE36">
    <cfRule type="expression" dxfId="185" priority="1697">
      <formula>MOD(ROW(),2)=0</formula>
    </cfRule>
  </conditionalFormatting>
  <conditionalFormatting sqref="B39:D47">
    <cfRule type="expression" dxfId="184" priority="991">
      <formula>AND(B39=B38,MOD(ROW(),2)=1)</formula>
    </cfRule>
    <cfRule type="expression" dxfId="183" priority="992">
      <formula>AND(B39=B38,MOD(ROW(),2)=0)</formula>
    </cfRule>
  </conditionalFormatting>
  <conditionalFormatting sqref="B49:D57">
    <cfRule type="expression" dxfId="182" priority="985">
      <formula>AND(B49=B48,MOD(ROW(),2)=1)</formula>
    </cfRule>
    <cfRule type="expression" dxfId="181" priority="986">
      <formula>AND(B49=B48,MOD(ROW(),2)=0)</formula>
    </cfRule>
  </conditionalFormatting>
  <conditionalFormatting sqref="B59:D67">
    <cfRule type="expression" dxfId="180" priority="918">
      <formula>AND(B59=B58,MOD(ROW(),2)=0)</formula>
    </cfRule>
    <cfRule type="expression" dxfId="179" priority="917">
      <formula>AND(B59=B58,MOD(ROW(),2)=1)</formula>
    </cfRule>
  </conditionalFormatting>
  <conditionalFormatting sqref="B69:D77">
    <cfRule type="expression" dxfId="178" priority="911">
      <formula>AND(B69=B68,MOD(ROW(),2)=1)</formula>
    </cfRule>
    <cfRule type="expression" dxfId="177" priority="912">
      <formula>AND(B69=B68,MOD(ROW(),2)=0)</formula>
    </cfRule>
  </conditionalFormatting>
  <conditionalFormatting sqref="B79:D87">
    <cfRule type="expression" dxfId="176" priority="906">
      <formula>AND(B79=B78,MOD(ROW(),2)=0)</formula>
    </cfRule>
    <cfRule type="expression" dxfId="175" priority="905">
      <formula>AND(B79=B78,MOD(ROW(),2)=1)</formula>
    </cfRule>
  </conditionalFormatting>
  <conditionalFormatting sqref="B89:D97">
    <cfRule type="expression" dxfId="174" priority="899">
      <formula>AND(B89=B88,MOD(ROW(),2)=1)</formula>
    </cfRule>
    <cfRule type="expression" dxfId="173" priority="900">
      <formula>AND(B89=B88,MOD(ROW(),2)=0)</formula>
    </cfRule>
  </conditionalFormatting>
  <conditionalFormatting sqref="B99:D107">
    <cfRule type="expression" dxfId="172" priority="893">
      <formula>AND(B99=B98,MOD(ROW(),2)=1)</formula>
    </cfRule>
    <cfRule type="expression" dxfId="171" priority="894">
      <formula>AND(B99=B98,MOD(ROW(),2)=0)</formula>
    </cfRule>
  </conditionalFormatting>
  <conditionalFormatting sqref="B109:D117">
    <cfRule type="expression" dxfId="170" priority="887">
      <formula>AND(B109=B108,MOD(ROW(),2)=1)</formula>
    </cfRule>
    <cfRule type="expression" dxfId="169" priority="888">
      <formula>AND(B109=B108,MOD(ROW(),2)=0)</formula>
    </cfRule>
  </conditionalFormatting>
  <conditionalFormatting sqref="B119:D122">
    <cfRule type="expression" dxfId="168" priority="881">
      <formula>AND(B119=B118,MOD(ROW(),2)=1)</formula>
    </cfRule>
    <cfRule type="expression" dxfId="167" priority="882">
      <formula>AND(B119=B118,MOD(ROW(),2)=0)</formula>
    </cfRule>
  </conditionalFormatting>
  <conditionalFormatting sqref="B129:D137">
    <cfRule type="expression" dxfId="166" priority="876">
      <formula>AND(B129=B128,MOD(ROW(),2)=0)</formula>
    </cfRule>
    <cfRule type="expression" dxfId="165" priority="875">
      <formula>AND(B129=B128,MOD(ROW(),2)=1)</formula>
    </cfRule>
  </conditionalFormatting>
  <conditionalFormatting sqref="B139:D147">
    <cfRule type="expression" dxfId="164" priority="869">
      <formula>AND(B139=B138,MOD(ROW(),2)=1)</formula>
    </cfRule>
    <cfRule type="expression" dxfId="163" priority="870">
      <formula>AND(B139=B138,MOD(ROW(),2)=0)</formula>
    </cfRule>
  </conditionalFormatting>
  <conditionalFormatting sqref="B149:D157">
    <cfRule type="expression" dxfId="162" priority="864">
      <formula>AND(B149=B148,MOD(ROW(),2)=0)</formula>
    </cfRule>
    <cfRule type="expression" dxfId="161" priority="863">
      <formula>AND(B149=B148,MOD(ROW(),2)=1)</formula>
    </cfRule>
  </conditionalFormatting>
  <conditionalFormatting sqref="B19:G24">
    <cfRule type="expression" dxfId="160" priority="14">
      <formula>MOD(ROW(),2)=0</formula>
    </cfRule>
  </conditionalFormatting>
  <conditionalFormatting sqref="B59:G59">
    <cfRule type="expression" dxfId="159" priority="1668">
      <formula>MOD(ROW(),2)=0</formula>
    </cfRule>
  </conditionalFormatting>
  <conditionalFormatting sqref="B62:G64">
    <cfRule type="expression" dxfId="158" priority="919">
      <formula>MOD(ROW(),2)=0</formula>
    </cfRule>
  </conditionalFormatting>
  <conditionalFormatting sqref="B72:G74">
    <cfRule type="expression" dxfId="157" priority="913">
      <formula>MOD(ROW(),2)=0</formula>
    </cfRule>
  </conditionalFormatting>
  <conditionalFormatting sqref="B79:G79 Q79:AE83 E86:AE88">
    <cfRule type="expression" dxfId="156" priority="1648">
      <formula>MOD(ROW(),2)=0</formula>
    </cfRule>
  </conditionalFormatting>
  <conditionalFormatting sqref="B82:G84">
    <cfRule type="expression" dxfId="155" priority="907">
      <formula>MOD(ROW(),2)=0</formula>
    </cfRule>
  </conditionalFormatting>
  <conditionalFormatting sqref="B89:G89 Q89:AE93">
    <cfRule type="expression" dxfId="154" priority="1639">
      <formula>MOD(ROW(),2)=0</formula>
    </cfRule>
  </conditionalFormatting>
  <conditionalFormatting sqref="B92:G94">
    <cfRule type="expression" dxfId="153" priority="901">
      <formula>MOD(ROW(),2)=0</formula>
    </cfRule>
  </conditionalFormatting>
  <conditionalFormatting sqref="B112:G114">
    <cfRule type="expression" dxfId="152" priority="889">
      <formula>MOD(ROW(),2)=0</formula>
    </cfRule>
  </conditionalFormatting>
  <conditionalFormatting sqref="B122:G124">
    <cfRule type="expression" dxfId="151" priority="883">
      <formula>MOD(ROW(),2)=0</formula>
    </cfRule>
  </conditionalFormatting>
  <conditionalFormatting sqref="B132:G134">
    <cfRule type="expression" dxfId="150" priority="877">
      <formula>MOD(ROW(),2)=0</formula>
    </cfRule>
  </conditionalFormatting>
  <conditionalFormatting sqref="B142:G144">
    <cfRule type="expression" dxfId="149" priority="871">
      <formula>MOD(ROW(),2)=0</formula>
    </cfRule>
  </conditionalFormatting>
  <conditionalFormatting sqref="B151:G154">
    <cfRule type="expression" dxfId="148" priority="865">
      <formula>MOD(ROW(),2)=0</formula>
    </cfRule>
  </conditionalFormatting>
  <conditionalFormatting sqref="B121:O121">
    <cfRule type="expression" dxfId="147" priority="19">
      <formula>MOD(ROW(),2)=0</formula>
    </cfRule>
  </conditionalFormatting>
  <conditionalFormatting sqref="B7:AE8 B9:G9 B10:D17 E16:AE18 B21:AE21 B24:D27 E27:AE28 B44:D47 B54:D57 B55:AE59 B60:F60 H60:AE60 B61:O61 B65:AE69 B70:F70 H70:AE70 B71:AE71 B74:D77 B75:AE79 B80:F80 H80:AE80 B81:AE81 B84:D87 B85:AE89 B90:F90 B94:D97 B95:AE99 B100:F100 H100:AE100 B101:AE101 B104:D107 B114:D117 Q123:AE123 B124:D127 B134:D137 B144:D147">
    <cfRule type="expression" dxfId="146" priority="1843">
      <formula>MOD(ROW(),2)=0</formula>
    </cfRule>
  </conditionalFormatting>
  <conditionalFormatting sqref="B25:AE28 H29:AE30 B29:F33 B31:AE31">
    <cfRule type="expression" dxfId="145" priority="854">
      <formula>MOD(ROW(),2)=0</formula>
    </cfRule>
  </conditionalFormatting>
  <conditionalFormatting sqref="B34:AE38 B39:F40 B41:AE41">
    <cfRule type="expression" dxfId="144" priority="1250">
      <formula>MOD(ROW(),2)=0</formula>
    </cfRule>
  </conditionalFormatting>
  <conditionalFormatting sqref="B115:AE120">
    <cfRule type="expression" dxfId="143" priority="4">
      <formula>MOD(ROW(),2)=0</formula>
    </cfRule>
  </conditionalFormatting>
  <conditionalFormatting sqref="B125:AE128 B129:F130 H129:AE130 B131:AE131">
    <cfRule type="expression" dxfId="142" priority="843">
      <formula>MOD(ROW(),2)=0</formula>
    </cfRule>
  </conditionalFormatting>
  <conditionalFormatting sqref="B135:AE138 B139:F140 H139:AE140 B141:AE141">
    <cfRule type="expression" dxfId="141" priority="841">
      <formula>MOD(ROW(),2)=0</formula>
    </cfRule>
  </conditionalFormatting>
  <conditionalFormatting sqref="B145:AE151">
    <cfRule type="expression" dxfId="140" priority="1">
      <formula>MOD(ROW(),2)=0</formula>
    </cfRule>
  </conditionalFormatting>
  <conditionalFormatting sqref="B155:AE157">
    <cfRule type="expression" dxfId="139" priority="818">
      <formula>MOD(ROW(),2)=0</formula>
    </cfRule>
  </conditionalFormatting>
  <conditionalFormatting sqref="C30:C34 B42:G44 B45:AE48 B49:F50 B51:AE51 B52:G54 B105:AE108 B109:F110 B111:AE111">
    <cfRule type="expression" dxfId="138" priority="1359">
      <formula>MOD(ROW(),2)=0</formula>
    </cfRule>
  </conditionalFormatting>
  <conditionalFormatting sqref="D32:D35">
    <cfRule type="expression" dxfId="137" priority="835">
      <formula>MOD(ROW(),2)=0</formula>
    </cfRule>
  </conditionalFormatting>
  <conditionalFormatting sqref="E54:F55">
    <cfRule type="expression" dxfId="136" priority="1513">
      <formula>MOD(ROW(),2)=0</formula>
    </cfRule>
  </conditionalFormatting>
  <conditionalFormatting sqref="E124:F124">
    <cfRule type="expression" dxfId="135" priority="1489">
      <formula>MOD(ROW(),2)=0</formula>
    </cfRule>
  </conditionalFormatting>
  <conditionalFormatting sqref="E10:G14">
    <cfRule type="expression" dxfId="134" priority="15">
      <formula>MOD(ROW(),2)=0</formula>
    </cfRule>
  </conditionalFormatting>
  <conditionalFormatting sqref="E26:N26">
    <cfRule type="expression" dxfId="133" priority="1706">
      <formula>MOD(ROW(),2)=0</formula>
    </cfRule>
  </conditionalFormatting>
  <conditionalFormatting sqref="E65:N65">
    <cfRule type="expression" dxfId="132" priority="1432">
      <formula>MOD(ROW(),2)=0</formula>
    </cfRule>
  </conditionalFormatting>
  <conditionalFormatting sqref="E75:N75">
    <cfRule type="expression" dxfId="131" priority="1424">
      <formula>MOD(ROW(),2)=0</formula>
    </cfRule>
  </conditionalFormatting>
  <conditionalFormatting sqref="E85:N85">
    <cfRule type="expression" dxfId="130" priority="1416">
      <formula>MOD(ROW(),2)=0</formula>
    </cfRule>
  </conditionalFormatting>
  <conditionalFormatting sqref="E95:N95">
    <cfRule type="expression" dxfId="129" priority="846">
      <formula>MOD(ROW(),2)=0</formula>
    </cfRule>
  </conditionalFormatting>
  <conditionalFormatting sqref="E15:Q15">
    <cfRule type="expression" dxfId="128" priority="855">
      <formula>MOD(ROW(),2)=0</formula>
    </cfRule>
  </conditionalFormatting>
  <conditionalFormatting sqref="E24:AE24">
    <cfRule type="expression" dxfId="127" priority="1251">
      <formula>MOD(ROW(),2)=0</formula>
    </cfRule>
  </conditionalFormatting>
  <conditionalFormatting sqref="E38:AE38 E46:AE48 B154:D157">
    <cfRule type="expression" dxfId="126" priority="1686">
      <formula>MOD(ROW(),2)=0</formula>
    </cfRule>
  </conditionalFormatting>
  <conditionalFormatting sqref="E44:AE44 E154:AE154">
    <cfRule type="expression" dxfId="125" priority="1249">
      <formula>MOD(ROW(),2)=0</formula>
    </cfRule>
  </conditionalFormatting>
  <conditionalFormatting sqref="E56:AE58">
    <cfRule type="expression" dxfId="124" priority="1677">
      <formula>MOD(ROW(),2)=0</formula>
    </cfRule>
  </conditionalFormatting>
  <conditionalFormatting sqref="E66:AE68 B69:G69 Q69:AE73 E76:AE78">
    <cfRule type="expression" dxfId="123" priority="1657">
      <formula>MOD(ROW(),2)=0</formula>
    </cfRule>
  </conditionalFormatting>
  <conditionalFormatting sqref="E74:AE74">
    <cfRule type="expression" dxfId="122" priority="1246">
      <formula>MOD(ROW(),2)=0</formula>
    </cfRule>
  </conditionalFormatting>
  <conditionalFormatting sqref="E84:AE84">
    <cfRule type="expression" dxfId="121" priority="1245">
      <formula>MOD(ROW(),2)=0</formula>
    </cfRule>
  </conditionalFormatting>
  <conditionalFormatting sqref="E94:AE94">
    <cfRule type="expression" dxfId="120" priority="1244">
      <formula>MOD(ROW(),2)=0</formula>
    </cfRule>
  </conditionalFormatting>
  <conditionalFormatting sqref="E96:AE98 B99:G99 Q99:AE103 E106:AE108">
    <cfRule type="expression" dxfId="119" priority="1628">
      <formula>MOD(ROW(),2)=0</formula>
    </cfRule>
  </conditionalFormatting>
  <conditionalFormatting sqref="E104:AE104">
    <cfRule type="expression" dxfId="118" priority="1243">
      <formula>MOD(ROW(),2)=0</formula>
    </cfRule>
  </conditionalFormatting>
  <conditionalFormatting sqref="E114:AE114">
    <cfRule type="expression" dxfId="117" priority="1242">
      <formula>MOD(ROW(),2)=0</formula>
    </cfRule>
  </conditionalFormatting>
  <conditionalFormatting sqref="E116:AE118">
    <cfRule type="expression" dxfId="116" priority="1619">
      <formula>MOD(ROW(),2)=0</formula>
    </cfRule>
  </conditionalFormatting>
  <conditionalFormatting sqref="E126:AE128 Q129:AE133 E136:AE138">
    <cfRule type="expression" dxfId="115" priority="1599">
      <formula>MOD(ROW(),2)=0</formula>
    </cfRule>
  </conditionalFormatting>
  <conditionalFormatting sqref="E134:AE134">
    <cfRule type="expression" dxfId="114" priority="1240">
      <formula>MOD(ROW(),2)=0</formula>
    </cfRule>
  </conditionalFormatting>
  <conditionalFormatting sqref="E144:AE144">
    <cfRule type="expression" dxfId="113" priority="1239">
      <formula>MOD(ROW(),2)=0</formula>
    </cfRule>
  </conditionalFormatting>
  <conditionalFormatting sqref="E146:AE148">
    <cfRule type="expression" dxfId="112" priority="1590">
      <formula>MOD(ROW(),2)=0</formula>
    </cfRule>
  </conditionalFormatting>
  <conditionalFormatting sqref="G29:G34">
    <cfRule type="expression" dxfId="111" priority="13">
      <formula>MOD(ROW(),2)=0</formula>
    </cfRule>
  </conditionalFormatting>
  <conditionalFormatting sqref="G39:G41">
    <cfRule type="expression" dxfId="110" priority="12">
      <formula>MOD(ROW(),2)=0</formula>
    </cfRule>
  </conditionalFormatting>
  <conditionalFormatting sqref="G49:G51">
    <cfRule type="expression" dxfId="109" priority="11">
      <formula>MOD(ROW(),2)=0</formula>
    </cfRule>
  </conditionalFormatting>
  <conditionalFormatting sqref="G60:G61">
    <cfRule type="expression" dxfId="108" priority="10">
      <formula>MOD(ROW(),2)=0</formula>
    </cfRule>
  </conditionalFormatting>
  <conditionalFormatting sqref="G70:G71">
    <cfRule type="expression" dxfId="107" priority="9">
      <formula>MOD(ROW(),2)=0</formula>
    </cfRule>
  </conditionalFormatting>
  <conditionalFormatting sqref="G80:G81">
    <cfRule type="expression" dxfId="106" priority="8">
      <formula>MOD(ROW(),2)=0</formula>
    </cfRule>
  </conditionalFormatting>
  <conditionalFormatting sqref="G90:G91">
    <cfRule type="expression" dxfId="105" priority="7">
      <formula>MOD(ROW(),2)=0</formula>
    </cfRule>
  </conditionalFormatting>
  <conditionalFormatting sqref="G100:G101">
    <cfRule type="expression" dxfId="104" priority="6">
      <formula>MOD(ROW(),2)=0</formula>
    </cfRule>
  </conditionalFormatting>
  <conditionalFormatting sqref="G109:G111">
    <cfRule type="expression" dxfId="103" priority="5">
      <formula>MOD(ROW(),2)=0</formula>
    </cfRule>
  </conditionalFormatting>
  <conditionalFormatting sqref="G123:G124">
    <cfRule type="expression" dxfId="102" priority="1387">
      <formula>MOD(ROW(),2)=0</formula>
    </cfRule>
  </conditionalFormatting>
  <conditionalFormatting sqref="G129:G131">
    <cfRule type="expression" dxfId="101" priority="3">
      <formula>MOD(ROW(),2)=0</formula>
    </cfRule>
  </conditionalFormatting>
  <conditionalFormatting sqref="G139:G141">
    <cfRule type="expression" dxfId="100" priority="2">
      <formula>MOD(ROW(),2)=0</formula>
    </cfRule>
  </conditionalFormatting>
  <conditionalFormatting sqref="G55:N55">
    <cfRule type="expression" dxfId="99" priority="1440">
      <formula>MOD(ROW(),2)=0</formula>
    </cfRule>
  </conditionalFormatting>
  <conditionalFormatting sqref="G54:AE54">
    <cfRule type="expression" dxfId="98" priority="1248">
      <formula>MOD(ROW(),2)=0</formula>
    </cfRule>
  </conditionalFormatting>
  <conditionalFormatting sqref="H31:H33">
    <cfRule type="expression" dxfId="97" priority="36">
      <formula>MOD(ROW(),2)=0</formula>
    </cfRule>
  </conditionalFormatting>
  <conditionalFormatting sqref="H61:H63">
    <cfRule type="expression" dxfId="96" priority="38">
      <formula>MOD(ROW(),2)=0</formula>
    </cfRule>
  </conditionalFormatting>
  <conditionalFormatting sqref="H90:H93">
    <cfRule type="expression" dxfId="95" priority="25">
      <formula>MOD(ROW(),2)=0</formula>
    </cfRule>
  </conditionalFormatting>
  <conditionalFormatting sqref="H120:H123">
    <cfRule type="expression" dxfId="94" priority="34">
      <formula>MOD(ROW(),2)=0</formula>
    </cfRule>
  </conditionalFormatting>
  <conditionalFormatting sqref="H150:H153">
    <cfRule type="expression" dxfId="93" priority="32">
      <formula>MOD(ROW(),2)=0</formula>
    </cfRule>
  </conditionalFormatting>
  <conditionalFormatting sqref="H69:I72">
    <cfRule type="expression" dxfId="92" priority="910">
      <formula>MOD(ROW(),2)=0</formula>
    </cfRule>
  </conditionalFormatting>
  <conditionalFormatting sqref="H79:I82">
    <cfRule type="expression" dxfId="91" priority="904">
      <formula>MOD(ROW(),2)=0</formula>
    </cfRule>
  </conditionalFormatting>
  <conditionalFormatting sqref="H99:I102">
    <cfRule type="expression" dxfId="90" priority="892">
      <formula>MOD(ROW(),2)=0</formula>
    </cfRule>
  </conditionalFormatting>
  <conditionalFormatting sqref="H129:I132">
    <cfRule type="expression" dxfId="89" priority="874">
      <formula>MOD(ROW(),2)=0</formula>
    </cfRule>
  </conditionalFormatting>
  <conditionalFormatting sqref="H139:I142">
    <cfRule type="expression" dxfId="88" priority="868">
      <formula>MOD(ROW(),2)=0</formula>
    </cfRule>
  </conditionalFormatting>
  <conditionalFormatting sqref="H29:N31">
    <cfRule type="expression" dxfId="87" priority="1558">
      <formula>MOD(ROW(),2)=0</formula>
    </cfRule>
  </conditionalFormatting>
  <conditionalFormatting sqref="H59:N61">
    <cfRule type="expression" dxfId="86" priority="1552">
      <formula>MOD(ROW(),2)=0</formula>
    </cfRule>
  </conditionalFormatting>
  <conditionalFormatting sqref="H73:N73">
    <cfRule type="expression" dxfId="85" priority="57">
      <formula>MOD(ROW(),2)=0</formula>
    </cfRule>
  </conditionalFormatting>
  <conditionalFormatting sqref="H83:N83">
    <cfRule type="expression" dxfId="84" priority="55">
      <formula>MOD(ROW(),2)=0</formula>
    </cfRule>
  </conditionalFormatting>
  <conditionalFormatting sqref="H89:N91">
    <cfRule type="expression" dxfId="83" priority="1546">
      <formula>MOD(ROW(),2)=0</formula>
    </cfRule>
  </conditionalFormatting>
  <conditionalFormatting sqref="H103:N103">
    <cfRule type="expression" dxfId="82" priority="51">
      <formula>MOD(ROW(),2)=0</formula>
    </cfRule>
  </conditionalFormatting>
  <conditionalFormatting sqref="H133:N133">
    <cfRule type="expression" dxfId="81" priority="45">
      <formula>MOD(ROW(),2)=0</formula>
    </cfRule>
  </conditionalFormatting>
  <conditionalFormatting sqref="H143:N143">
    <cfRule type="expression" dxfId="80" priority="43">
      <formula>MOD(ROW(),2)=0</formula>
    </cfRule>
  </conditionalFormatting>
  <conditionalFormatting sqref="H149:N151">
    <cfRule type="expression" dxfId="79" priority="1534">
      <formula>MOD(ROW(),2)=0</formula>
    </cfRule>
  </conditionalFormatting>
  <conditionalFormatting sqref="H14:Q14">
    <cfRule type="expression" dxfId="78" priority="1520">
      <formula>MOD(ROW(),2)=0</formula>
    </cfRule>
  </conditionalFormatting>
  <conditionalFormatting sqref="H9:AE13">
    <cfRule type="expression" dxfId="77" priority="68">
      <formula>MOD(ROW(),2)=0</formula>
    </cfRule>
  </conditionalFormatting>
  <conditionalFormatting sqref="H19:AE23">
    <cfRule type="expression" dxfId="76" priority="66">
      <formula>MOD(ROW(),2)=0</formula>
    </cfRule>
  </conditionalFormatting>
  <conditionalFormatting sqref="H39:AE43">
    <cfRule type="expression" dxfId="75" priority="62">
      <formula>MOD(ROW(),2)=0</formula>
    </cfRule>
  </conditionalFormatting>
  <conditionalFormatting sqref="H49:AE53">
    <cfRule type="expression" dxfId="74" priority="60">
      <formula>MOD(ROW(),2)=0</formula>
    </cfRule>
  </conditionalFormatting>
  <conditionalFormatting sqref="H64:AE64">
    <cfRule type="expression" dxfId="73" priority="1247">
      <formula>MOD(ROW(),2)=0</formula>
    </cfRule>
  </conditionalFormatting>
  <conditionalFormatting sqref="H90:AE90 B91:AE91">
    <cfRule type="expression" dxfId="72" priority="1545">
      <formula>MOD(ROW(),2)=0</formula>
    </cfRule>
  </conditionalFormatting>
  <conditionalFormatting sqref="H109:AE113">
    <cfRule type="expression" dxfId="71" priority="48">
      <formula>MOD(ROW(),2)=0</formula>
    </cfRule>
  </conditionalFormatting>
  <conditionalFormatting sqref="H124:AE124">
    <cfRule type="expression" dxfId="70" priority="1241">
      <formula>MOD(ROW(),2)=0</formula>
    </cfRule>
  </conditionalFormatting>
  <conditionalFormatting sqref="I62:I63">
    <cfRule type="expression" dxfId="69" priority="59">
      <formula>MOD(ROW(),2)=0</formula>
    </cfRule>
  </conditionalFormatting>
  <conditionalFormatting sqref="I122:I123">
    <cfRule type="expression" dxfId="68" priority="47">
      <formula>MOD(ROW(),2)=0</formula>
    </cfRule>
  </conditionalFormatting>
  <conditionalFormatting sqref="I32:N33">
    <cfRule type="expression" dxfId="67" priority="65">
      <formula>MOD(ROW(),2)=0</formula>
    </cfRule>
  </conditionalFormatting>
  <conditionalFormatting sqref="I92:N93">
    <cfRule type="expression" dxfId="66" priority="52">
      <formula>MOD(ROW(),2)=0</formula>
    </cfRule>
  </conditionalFormatting>
  <conditionalFormatting sqref="I152:N153">
    <cfRule type="expression" dxfId="65" priority="40">
      <formula>MOD(ROW(),2)=0</formula>
    </cfRule>
  </conditionalFormatting>
  <conditionalFormatting sqref="J62:N62">
    <cfRule type="expression" dxfId="64" priority="851">
      <formula>MOD(ROW(),2)=0</formula>
    </cfRule>
  </conditionalFormatting>
  <conditionalFormatting sqref="J72:N72">
    <cfRule type="expression" dxfId="63" priority="850">
      <formula>MOD(ROW(),2)=0</formula>
    </cfRule>
  </conditionalFormatting>
  <conditionalFormatting sqref="J82:N82">
    <cfRule type="expression" dxfId="62" priority="849">
      <formula>MOD(ROW(),2)=0</formula>
    </cfRule>
  </conditionalFormatting>
  <conditionalFormatting sqref="J102:N102 B102:G104">
    <cfRule type="expression" dxfId="61" priority="895">
      <formula>MOD(ROW(),2)=0</formula>
    </cfRule>
  </conditionalFormatting>
  <conditionalFormatting sqref="J122:N122">
    <cfRule type="expression" dxfId="60" priority="844">
      <formula>MOD(ROW(),2)=0</formula>
    </cfRule>
  </conditionalFormatting>
  <conditionalFormatting sqref="J132:N132">
    <cfRule type="expression" dxfId="59" priority="842">
      <formula>MOD(ROW(),2)=0</formula>
    </cfRule>
  </conditionalFormatting>
  <conditionalFormatting sqref="J142:N142">
    <cfRule type="expression" dxfId="58" priority="840">
      <formula>MOD(ROW(),2)=0</formula>
    </cfRule>
  </conditionalFormatting>
  <conditionalFormatting sqref="J63:O63 Q63">
    <cfRule type="expression" dxfId="57" priority="1438">
      <formula>MOD(ROW(),2)=0</formula>
    </cfRule>
  </conditionalFormatting>
  <conditionalFormatting sqref="J123:O123">
    <cfRule type="expression" dxfId="56" priority="1390">
      <formula>MOD(ROW(),2)=0</formula>
    </cfRule>
  </conditionalFormatting>
  <conditionalFormatting sqref="J69:P71">
    <cfRule type="expression" dxfId="55" priority="1549">
      <formula>MOD(ROW(),2)=0</formula>
    </cfRule>
  </conditionalFormatting>
  <conditionalFormatting sqref="J79:P81">
    <cfRule type="expression" dxfId="54" priority="1547">
      <formula>MOD(ROW(),2)=0</formula>
    </cfRule>
  </conditionalFormatting>
  <conditionalFormatting sqref="J99:P101">
    <cfRule type="expression" dxfId="53" priority="1543">
      <formula>MOD(ROW(),2)=0</formula>
    </cfRule>
  </conditionalFormatting>
  <conditionalFormatting sqref="J129:P131">
    <cfRule type="expression" dxfId="52" priority="1537">
      <formula>MOD(ROW(),2)=0</formula>
    </cfRule>
  </conditionalFormatting>
  <conditionalFormatting sqref="J137:AE137 J147:AE147">
    <cfRule type="expression" dxfId="51" priority="822">
      <formula>MOD(ROW(),2)=0</formula>
    </cfRule>
  </conditionalFormatting>
  <conditionalFormatting sqref="O90:O93">
    <cfRule type="expression" dxfId="50" priority="896">
      <formula>MOD(ROW(),2)=0</formula>
    </cfRule>
  </conditionalFormatting>
  <conditionalFormatting sqref="O150:O153">
    <cfRule type="expression" dxfId="49" priority="860">
      <formula>MOD(ROW(),2)=0</formula>
    </cfRule>
  </conditionalFormatting>
  <conditionalFormatting sqref="O72:P73">
    <cfRule type="expression" dxfId="48" priority="56">
      <formula>MOD(ROW(),2)=0</formula>
    </cfRule>
  </conditionalFormatting>
  <conditionalFormatting sqref="O82:P83">
    <cfRule type="expression" dxfId="47" priority="54">
      <formula>MOD(ROW(),2)=0</formula>
    </cfRule>
  </conditionalFormatting>
  <conditionalFormatting sqref="O89:P89">
    <cfRule type="expression" dxfId="46" priority="1636">
      <formula>MOD(ROW(),2)=0</formula>
    </cfRule>
  </conditionalFormatting>
  <conditionalFormatting sqref="O102:P103">
    <cfRule type="expression" dxfId="45" priority="50">
      <formula>MOD(ROW(),2)=0</formula>
    </cfRule>
  </conditionalFormatting>
  <conditionalFormatting sqref="O119:P123">
    <cfRule type="expression" dxfId="44" priority="46">
      <formula>MOD(ROW(),2)=0</formula>
    </cfRule>
  </conditionalFormatting>
  <conditionalFormatting sqref="O132:P133">
    <cfRule type="expression" dxfId="43" priority="44">
      <formula>MOD(ROW(),2)=0</formula>
    </cfRule>
  </conditionalFormatting>
  <conditionalFormatting sqref="O139:P141">
    <cfRule type="expression" dxfId="42" priority="1535">
      <formula>MOD(ROW(),2)=0</formula>
    </cfRule>
  </conditionalFormatting>
  <conditionalFormatting sqref="O64:Q65">
    <cfRule type="expression" dxfId="41" priority="1431">
      <formula>MOD(ROW(),2)=0</formula>
    </cfRule>
  </conditionalFormatting>
  <conditionalFormatting sqref="O124:Q125">
    <cfRule type="expression" dxfId="40" priority="1383">
      <formula>MOD(ROW(),2)=0</formula>
    </cfRule>
  </conditionalFormatting>
  <conditionalFormatting sqref="O24:AE26">
    <cfRule type="expression" dxfId="39" priority="1463">
      <formula>MOD(ROW(),2)=0</formula>
    </cfRule>
  </conditionalFormatting>
  <conditionalFormatting sqref="O29:AE33">
    <cfRule type="expression" dxfId="38" priority="64">
      <formula>MOD(ROW(),2)=0</formula>
    </cfRule>
  </conditionalFormatting>
  <conditionalFormatting sqref="O54:AE55">
    <cfRule type="expression" dxfId="37" priority="1439">
      <formula>MOD(ROW(),2)=0</formula>
    </cfRule>
  </conditionalFormatting>
  <conditionalFormatting sqref="O59:AE63">
    <cfRule type="expression" dxfId="36" priority="58">
      <formula>MOD(ROW(),2)=0</formula>
    </cfRule>
  </conditionalFormatting>
  <conditionalFormatting sqref="O74:AE75">
    <cfRule type="expression" dxfId="35" priority="1423">
      <formula>MOD(ROW(),2)=0</formula>
    </cfRule>
  </conditionalFormatting>
  <conditionalFormatting sqref="O84:AE85">
    <cfRule type="expression" dxfId="34" priority="1415">
      <formula>MOD(ROW(),2)=0</formula>
    </cfRule>
  </conditionalFormatting>
  <conditionalFormatting sqref="O94:AE95">
    <cfRule type="expression" dxfId="33" priority="1407">
      <formula>MOD(ROW(),2)=0</formula>
    </cfRule>
  </conditionalFormatting>
  <conditionalFormatting sqref="O104:AE105">
    <cfRule type="expression" dxfId="32" priority="1399">
      <formula>MOD(ROW(),2)=0</formula>
    </cfRule>
  </conditionalFormatting>
  <conditionalFormatting sqref="O114:AE115">
    <cfRule type="expression" dxfId="31" priority="1391">
      <formula>MOD(ROW(),2)=0</formula>
    </cfRule>
  </conditionalFormatting>
  <conditionalFormatting sqref="O134:AE135">
    <cfRule type="expression" dxfId="30" priority="1375">
      <formula>MOD(ROW(),2)=0</formula>
    </cfRule>
  </conditionalFormatting>
  <conditionalFormatting sqref="O142:AE143">
    <cfRule type="expression" dxfId="29" priority="42">
      <formula>MOD(ROW(),2)=0</formula>
    </cfRule>
  </conditionalFormatting>
  <conditionalFormatting sqref="O154:AE155">
    <cfRule type="expression" dxfId="28" priority="1447">
      <formula>MOD(ROW(),2)=0</formula>
    </cfRule>
  </conditionalFormatting>
  <conditionalFormatting sqref="P92:P93">
    <cfRule type="expression" dxfId="27" priority="53">
      <formula>MOD(ROW(),2)=0</formula>
    </cfRule>
  </conditionalFormatting>
  <conditionalFormatting sqref="P152:P153">
    <cfRule type="expression" dxfId="26" priority="41">
      <formula>MOD(ROW(),2)=0</formula>
    </cfRule>
  </conditionalFormatting>
  <conditionalFormatting sqref="Q77">
    <cfRule type="expression" dxfId="25" priority="834">
      <formula>MOD(ROW(),2)=0</formula>
    </cfRule>
  </conditionalFormatting>
  <conditionalFormatting sqref="Q107">
    <cfRule type="expression" dxfId="24" priority="832">
      <formula>MOD(ROW(),2)=0</formula>
    </cfRule>
  </conditionalFormatting>
  <conditionalFormatting sqref="Q117 Q127">
    <cfRule type="expression" dxfId="23" priority="823">
      <formula>MOD(ROW(),2)=0</formula>
    </cfRule>
  </conditionalFormatting>
  <conditionalFormatting sqref="Q122:Q123">
    <cfRule type="expression" dxfId="22" priority="856">
      <formula>MOD(ROW(),2)=0</formula>
    </cfRule>
  </conditionalFormatting>
  <conditionalFormatting sqref="Q119:AE121">
    <cfRule type="expression" dxfId="21" priority="1610">
      <formula>MOD(ROW(),2)=0</formula>
    </cfRule>
  </conditionalFormatting>
  <conditionalFormatting sqref="Q149:AE153">
    <cfRule type="expression" dxfId="20" priority="1581">
      <formula>MOD(ROW(),2)=0</formula>
    </cfRule>
  </conditionalFormatting>
  <conditionalFormatting sqref="R14:AE15">
    <cfRule type="expression" dxfId="19" priority="1522">
      <formula>MOD(ROW(),2)=0</formula>
    </cfRule>
  </conditionalFormatting>
  <conditionalFormatting sqref="R34:AE35">
    <cfRule type="expression" dxfId="18" priority="1519">
      <formula>MOD(ROW(),2)=0</formula>
    </cfRule>
  </conditionalFormatting>
  <conditionalFormatting sqref="R44:AE45">
    <cfRule type="expression" dxfId="17" priority="1516">
      <formula>MOD(ROW(),2)=0</formula>
    </cfRule>
  </conditionalFormatting>
  <conditionalFormatting sqref="R63:AE65 E64:F64">
    <cfRule type="expression" dxfId="16" priority="1510">
      <formula>MOD(ROW(),2)=0</formula>
    </cfRule>
  </conditionalFormatting>
  <conditionalFormatting sqref="R122:AE125">
    <cfRule type="expression" dxfId="15" priority="405">
      <formula>MOD(ROW(),2)=0</formula>
    </cfRule>
  </conditionalFormatting>
  <hyperlinks>
    <hyperlink ref="A1" location="Index!A1" display="&lt;&lt;Back to Index" xr:uid="{271806FF-0D5A-4F33-BB81-36C2F6FC7264}"/>
  </hyperlinks>
  <pageMargins left="0.7" right="0.7" top="0.75" bottom="0.75" header="0.3" footer="0.3"/>
  <pageSetup paperSize="9" orientation="portrait" r:id="rId1"/>
  <headerFooter>
    <oddHeader>&amp;C&amp;"Calibri"&amp;10&amp;KFF0000 OFFICIAL SENSITIVE&amp;1#_x000D_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0" tint="-0.249977111117893"/>
  </sheetPr>
  <dimension ref="F9:F14"/>
  <sheetViews>
    <sheetView workbookViewId="0">
      <selection activeCell="B2" sqref="B2"/>
    </sheetView>
  </sheetViews>
  <sheetFormatPr defaultColWidth="8.85546875" defaultRowHeight="15" x14ac:dyDescent="0.25"/>
  <cols>
    <col min="1" max="16384" width="8.85546875" style="3"/>
  </cols>
  <sheetData>
    <row r="9" spans="6:6" ht="36" x14ac:dyDescent="0.25">
      <c r="F9" s="2" t="s">
        <v>154</v>
      </c>
    </row>
    <row r="10" spans="6:6" ht="36" x14ac:dyDescent="0.25">
      <c r="F10" s="2" t="str">
        <f>"DMO "&amp;FY</f>
        <v>DMO 2025-26</v>
      </c>
    </row>
    <row r="11" spans="6:6" ht="23.25" x14ac:dyDescent="0.25">
      <c r="F11" s="4"/>
    </row>
    <row r="12" spans="6:6" ht="23.25" x14ac:dyDescent="0.25">
      <c r="F12" s="4"/>
    </row>
    <row r="13" spans="6:6" x14ac:dyDescent="0.25">
      <c r="F13" s="5"/>
    </row>
    <row r="14" spans="6:6" x14ac:dyDescent="0.25">
      <c r="F14" s="5"/>
    </row>
  </sheetData>
  <sheetProtection algorithmName="SHA-256" hashValue="en+tVY9kTbKfSB8f3+q75BLGbWKaOqAOmpdiH7Sf7mA=" saltValue="xFtuqskPzfIZEanGUiqChQ==" spinCount="100000" sheet="1" formatCells="0" formatColumns="0" formatRows="0" insertColumns="0" insertRows="0" insertHyperlinks="0" deleteColumns="0" deleteRows="0" sort="0" autoFilter="0" pivotTables="0"/>
  <pageMargins left="0.7" right="0.7" top="0.75" bottom="0.75" header="0.3" footer="0.3"/>
  <headerFooter>
    <oddHeader>&amp;C&amp;"Calibri"&amp;10&amp;KFF0000 OFFICIAL SENSITIVE&amp;1#_x000D_</oddHead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0" tint="-0.249977111117893"/>
  </sheetPr>
  <dimension ref="A1:AK85"/>
  <sheetViews>
    <sheetView zoomScale="85" zoomScaleNormal="85" workbookViewId="0">
      <selection sqref="A1:B1"/>
    </sheetView>
  </sheetViews>
  <sheetFormatPr defaultColWidth="8.85546875" defaultRowHeight="15" x14ac:dyDescent="0.25"/>
  <cols>
    <col min="1" max="1" width="1.85546875" style="3" customWidth="1"/>
    <col min="2" max="2" width="11.140625" style="3" customWidth="1"/>
    <col min="3" max="3" width="43.85546875" style="3" customWidth="1"/>
    <col min="4" max="4" width="13.42578125" style="3" bestFit="1" customWidth="1"/>
    <col min="5" max="5" width="13.85546875" style="19" customWidth="1"/>
    <col min="6" max="8" width="15.85546875" style="19" customWidth="1"/>
    <col min="9" max="15" width="15.85546875" style="3" customWidth="1"/>
    <col min="16" max="16" width="43.28515625" style="3" customWidth="1"/>
    <col min="17" max="17" width="12.5703125" style="3" customWidth="1"/>
    <col min="18" max="18" width="13.7109375" style="3" customWidth="1"/>
    <col min="19" max="19" width="13.85546875" style="3" customWidth="1"/>
    <col min="20" max="20" width="31" style="3" customWidth="1"/>
    <col min="21" max="21" width="11.5703125" style="3" customWidth="1"/>
    <col min="22" max="16384" width="8.85546875" style="3"/>
  </cols>
  <sheetData>
    <row r="1" spans="1:15" ht="10.35" customHeight="1" x14ac:dyDescent="0.25">
      <c r="A1" s="430" t="s">
        <v>18</v>
      </c>
      <c r="B1" s="431"/>
      <c r="C1" s="220"/>
      <c r="D1" s="19"/>
    </row>
    <row r="2" spans="1:15" s="14" customFormat="1" ht="22.5" customHeight="1" x14ac:dyDescent="0.25">
      <c r="A2" s="15" t="s">
        <v>124</v>
      </c>
      <c r="C2" s="15"/>
      <c r="D2" s="20"/>
      <c r="E2" s="20"/>
      <c r="F2" s="20"/>
      <c r="G2" s="20"/>
      <c r="H2" s="20"/>
    </row>
    <row r="3" spans="1:15" x14ac:dyDescent="0.25">
      <c r="A3" s="5"/>
      <c r="C3" s="105" t="s">
        <v>130</v>
      </c>
    </row>
    <row r="4" spans="1:15" ht="15.75" x14ac:dyDescent="0.25">
      <c r="A4" s="55"/>
      <c r="C4" s="32" t="s">
        <v>125</v>
      </c>
    </row>
    <row r="5" spans="1:15" x14ac:dyDescent="0.25">
      <c r="A5" s="55"/>
      <c r="C5" s="23" t="s">
        <v>29</v>
      </c>
      <c r="D5" s="127" t="s">
        <v>28</v>
      </c>
      <c r="E5" s="12" t="s">
        <v>161</v>
      </c>
      <c r="J5" s="280"/>
    </row>
    <row r="6" spans="1:15" x14ac:dyDescent="0.25">
      <c r="A6" s="55"/>
      <c r="C6" s="3" t="s">
        <v>42</v>
      </c>
      <c r="D6" s="230" t="s">
        <v>237</v>
      </c>
      <c r="E6" s="3"/>
      <c r="J6" s="280"/>
    </row>
    <row r="7" spans="1:15" x14ac:dyDescent="0.25">
      <c r="A7" s="55"/>
      <c r="C7" s="3" t="s">
        <v>41</v>
      </c>
      <c r="D7" s="230" t="s">
        <v>204</v>
      </c>
      <c r="E7" s="3"/>
      <c r="J7" s="280"/>
      <c r="O7" s="86"/>
    </row>
    <row r="8" spans="1:15" x14ac:dyDescent="0.25">
      <c r="A8" s="55"/>
      <c r="C8" s="3" t="s">
        <v>126</v>
      </c>
      <c r="D8" s="230" t="s">
        <v>281</v>
      </c>
      <c r="E8" s="3"/>
    </row>
    <row r="9" spans="1:15" ht="15" customHeight="1" x14ac:dyDescent="0.25">
      <c r="A9" s="55"/>
      <c r="C9" s="3" t="str">
        <f>"Fct CPI "&amp;FY&amp;" adjustment for 30 Jun 2023 retail costs"</f>
        <v>Fct CPI 2025-26 adjustment for 30 Jun 2023 retail costs</v>
      </c>
      <c r="D9" s="302">
        <f>((1+J9)*(1+L9))-1</f>
        <v>7.1216000000000168E-2</v>
      </c>
      <c r="E9" s="125" t="s">
        <v>240</v>
      </c>
      <c r="F9" s="307"/>
      <c r="G9" s="307"/>
      <c r="H9" s="307"/>
      <c r="I9" s="311" t="s">
        <v>211</v>
      </c>
      <c r="J9" s="312">
        <v>3.7999999999999999E-2</v>
      </c>
      <c r="K9" s="311" t="s">
        <v>212</v>
      </c>
      <c r="L9" s="312">
        <v>3.2000000000000001E-2</v>
      </c>
    </row>
    <row r="10" spans="1:15" ht="15" customHeight="1" x14ac:dyDescent="0.25">
      <c r="A10" s="55"/>
      <c r="C10" s="3" t="str">
        <f>"Fct CPI "&amp;FY&amp;" adjustment for 30 Jun 2024 retail costs"</f>
        <v>Fct CPI 2025-26 adjustment for 30 Jun 2024 retail costs</v>
      </c>
      <c r="D10" s="302">
        <f>((1+J10)*(1+L10))-1</f>
        <v>5.6768000000000152E-2</v>
      </c>
      <c r="E10" s="125" t="s">
        <v>273</v>
      </c>
      <c r="I10" s="311" t="s">
        <v>212</v>
      </c>
      <c r="J10" s="312">
        <v>2.4E-2</v>
      </c>
      <c r="K10" s="311" t="s">
        <v>239</v>
      </c>
      <c r="L10" s="312">
        <v>3.2000000000000001E-2</v>
      </c>
    </row>
    <row r="11" spans="1:15" x14ac:dyDescent="0.25">
      <c r="A11" s="55"/>
      <c r="C11" s="3" t="s">
        <v>31</v>
      </c>
      <c r="D11" s="230">
        <v>365</v>
      </c>
      <c r="I11" s="310"/>
      <c r="K11" s="117"/>
      <c r="L11" s="309"/>
    </row>
    <row r="12" spans="1:15" x14ac:dyDescent="0.25">
      <c r="A12" s="55"/>
      <c r="C12" s="3" t="s">
        <v>238</v>
      </c>
      <c r="D12" s="230">
        <v>365</v>
      </c>
      <c r="E12" s="3"/>
      <c r="I12" s="19"/>
      <c r="J12" s="285"/>
      <c r="K12" s="284"/>
      <c r="L12" s="285"/>
      <c r="M12" s="284"/>
    </row>
    <row r="13" spans="1:15" x14ac:dyDescent="0.25">
      <c r="A13" s="55"/>
      <c r="C13" s="3" t="s">
        <v>38</v>
      </c>
      <c r="D13" s="231">
        <v>0.1</v>
      </c>
      <c r="E13" s="3"/>
      <c r="I13" s="19"/>
    </row>
    <row r="14" spans="1:15" x14ac:dyDescent="0.25">
      <c r="A14" s="55"/>
      <c r="D14" s="99"/>
      <c r="E14" s="3"/>
      <c r="G14" s="112"/>
      <c r="H14" s="112"/>
      <c r="I14" s="19"/>
    </row>
    <row r="15" spans="1:15" ht="15.75" x14ac:dyDescent="0.25">
      <c r="A15" s="55"/>
      <c r="C15" s="32" t="s">
        <v>283</v>
      </c>
      <c r="D15" s="25"/>
      <c r="E15" s="3"/>
      <c r="G15" s="174"/>
      <c r="M15" s="70"/>
    </row>
    <row r="16" spans="1:15" s="5" customFormat="1" x14ac:dyDescent="0.25">
      <c r="A16" s="55"/>
      <c r="C16" s="89" t="s">
        <v>88</v>
      </c>
      <c r="E16" s="24"/>
      <c r="F16" s="188"/>
      <c r="G16" s="188"/>
      <c r="H16" s="24"/>
      <c r="I16" s="24"/>
    </row>
    <row r="17" spans="1:16" s="5" customFormat="1" x14ac:dyDescent="0.25">
      <c r="A17" s="55"/>
      <c r="B17" s="12"/>
      <c r="C17" s="12"/>
      <c r="D17" s="12"/>
      <c r="E17" s="12"/>
      <c r="F17" s="475" t="s">
        <v>57</v>
      </c>
      <c r="G17" s="476"/>
      <c r="H17" s="476"/>
      <c r="I17" s="477"/>
      <c r="J17" s="475" t="s">
        <v>61</v>
      </c>
      <c r="K17" s="477"/>
      <c r="L17" s="473" t="str">
        <f>"Source NUOS "&amp;PY</f>
        <v>Source NUOS 2024-25</v>
      </c>
      <c r="M17" s="473" t="str">
        <f>"Source NUOS "&amp;FY</f>
        <v>Source NUOS 2025-26</v>
      </c>
      <c r="N17" s="473" t="str">
        <f>"Source ACS "&amp;PY</f>
        <v>Source ACS 2024-25</v>
      </c>
      <c r="O17" s="471" t="str">
        <f>"Source ACS "&amp;FY</f>
        <v>Source ACS 2025-26</v>
      </c>
      <c r="P17" s="471" t="s">
        <v>208</v>
      </c>
    </row>
    <row r="18" spans="1:16" s="5" customFormat="1" ht="5.0999999999999996" hidden="1" customHeight="1" x14ac:dyDescent="0.25">
      <c r="A18" s="55"/>
      <c r="B18" s="12"/>
      <c r="C18" s="12"/>
      <c r="D18" s="12"/>
      <c r="E18" s="12"/>
      <c r="F18" s="118" t="str">
        <f>F17</f>
        <v>NUOS</v>
      </c>
      <c r="G18" s="71" t="str">
        <f>F17</f>
        <v>NUOS</v>
      </c>
      <c r="H18" s="71" t="str">
        <f>F17</f>
        <v>NUOS</v>
      </c>
      <c r="I18" s="119" t="str">
        <f>F17</f>
        <v>NUOS</v>
      </c>
      <c r="J18" s="118" t="str">
        <f>J17</f>
        <v>ACS</v>
      </c>
      <c r="K18" s="119" t="str">
        <f>J17</f>
        <v>ACS</v>
      </c>
      <c r="L18" s="473"/>
      <c r="M18" s="474"/>
      <c r="N18" s="474"/>
      <c r="O18" s="472"/>
      <c r="P18" s="472"/>
    </row>
    <row r="19" spans="1:16" s="5" customFormat="1" ht="15" customHeight="1" x14ac:dyDescent="0.25">
      <c r="A19" s="55"/>
      <c r="B19" s="23" t="s">
        <v>185</v>
      </c>
      <c r="C19" s="23" t="s">
        <v>1</v>
      </c>
      <c r="D19" s="23" t="s">
        <v>36</v>
      </c>
      <c r="E19" s="23" t="s">
        <v>22</v>
      </c>
      <c r="F19" s="132" t="str">
        <f>PY</f>
        <v>2024-25</v>
      </c>
      <c r="G19" s="133" t="str">
        <f>FY</f>
        <v>2025-26</v>
      </c>
      <c r="H19" s="133" t="str">
        <f>PY</f>
        <v>2024-25</v>
      </c>
      <c r="I19" s="134" t="str">
        <f>FY</f>
        <v>2025-26</v>
      </c>
      <c r="J19" s="132" t="str">
        <f>PY</f>
        <v>2024-25</v>
      </c>
      <c r="K19" s="134" t="str">
        <f>FY</f>
        <v>2025-26</v>
      </c>
      <c r="L19" s="473"/>
      <c r="M19" s="474"/>
      <c r="N19" s="474"/>
      <c r="O19" s="472"/>
      <c r="P19" s="472"/>
    </row>
    <row r="20" spans="1:16" s="5" customFormat="1" x14ac:dyDescent="0.25">
      <c r="A20" s="55"/>
      <c r="B20" s="12"/>
      <c r="C20" s="12"/>
      <c r="D20" s="23"/>
      <c r="E20" s="23"/>
      <c r="F20" s="132" t="s">
        <v>46</v>
      </c>
      <c r="G20" s="133" t="s">
        <v>46</v>
      </c>
      <c r="H20" s="133" t="s">
        <v>47</v>
      </c>
      <c r="I20" s="134" t="s">
        <v>47</v>
      </c>
      <c r="J20" s="132" t="s">
        <v>46</v>
      </c>
      <c r="K20" s="134" t="s">
        <v>46</v>
      </c>
      <c r="L20" s="473"/>
      <c r="M20" s="474"/>
      <c r="N20" s="474"/>
      <c r="O20" s="472"/>
      <c r="P20" s="472"/>
    </row>
    <row r="21" spans="1:16" s="5" customFormat="1" x14ac:dyDescent="0.25">
      <c r="A21" s="55"/>
      <c r="B21" s="12"/>
      <c r="C21" s="12"/>
      <c r="D21" s="12"/>
      <c r="E21" s="12"/>
      <c r="F21" s="132" t="s">
        <v>157</v>
      </c>
      <c r="G21" s="133" t="s">
        <v>157</v>
      </c>
      <c r="H21" s="133" t="s">
        <v>44</v>
      </c>
      <c r="I21" s="134" t="s">
        <v>44</v>
      </c>
      <c r="J21" s="132" t="s">
        <v>157</v>
      </c>
      <c r="K21" s="134" t="s">
        <v>157</v>
      </c>
      <c r="L21" s="473"/>
      <c r="M21" s="474"/>
      <c r="N21" s="474"/>
      <c r="O21" s="472"/>
      <c r="P21" s="472"/>
    </row>
    <row r="22" spans="1:16" x14ac:dyDescent="0.25">
      <c r="A22" s="55"/>
      <c r="B22" s="120" t="s">
        <v>172</v>
      </c>
      <c r="C22" s="55" t="s">
        <v>2</v>
      </c>
      <c r="D22" s="55" t="s">
        <v>6</v>
      </c>
      <c r="E22" s="55" t="s">
        <v>19</v>
      </c>
      <c r="F22" s="228">
        <f>0.408024952022409*Days</f>
        <v>148.92910748817928</v>
      </c>
      <c r="G22" s="370">
        <f>44.7574817268314*365/100</f>
        <v>163.36480830293462</v>
      </c>
      <c r="H22" s="228">
        <f>(0.10800791613312)*1000</f>
        <v>108.00791613311999</v>
      </c>
      <c r="I22" s="228">
        <f>0.116999923689255*1000</f>
        <v>116.99992368925501</v>
      </c>
      <c r="J22" s="254">
        <v>26.89</v>
      </c>
      <c r="K22" s="254">
        <v>27.54</v>
      </c>
      <c r="L22" s="425" t="s">
        <v>301</v>
      </c>
      <c r="M22" s="425" t="s">
        <v>288</v>
      </c>
      <c r="N22" s="425" t="s">
        <v>302</v>
      </c>
      <c r="O22" s="425" t="s">
        <v>289</v>
      </c>
      <c r="P22" s="55" t="s">
        <v>307</v>
      </c>
    </row>
    <row r="23" spans="1:16" x14ac:dyDescent="0.25">
      <c r="A23" s="55"/>
      <c r="B23" s="120" t="s">
        <v>182</v>
      </c>
      <c r="C23" s="55" t="s">
        <v>2</v>
      </c>
      <c r="D23" s="55" t="s">
        <v>6</v>
      </c>
      <c r="E23" s="55" t="s">
        <v>14</v>
      </c>
      <c r="F23" s="228">
        <f>0.0124750896188649*Days</f>
        <v>4.553407710885689</v>
      </c>
      <c r="G23" s="228">
        <f>1.48416141195636*365/100</f>
        <v>5.4171891536407131</v>
      </c>
      <c r="H23" s="228">
        <f>(0.024870292)*1000</f>
        <v>24.870291999999999</v>
      </c>
      <c r="I23" s="228">
        <f>0.026827289528063*1000</f>
        <v>26.827289528063002</v>
      </c>
      <c r="J23" s="228">
        <v>8.8000000000000007</v>
      </c>
      <c r="K23" s="228">
        <v>9.01</v>
      </c>
      <c r="L23" s="425" t="s">
        <v>301</v>
      </c>
      <c r="M23" s="425" t="s">
        <v>288</v>
      </c>
      <c r="N23" s="425" t="s">
        <v>302</v>
      </c>
      <c r="O23" s="425" t="s">
        <v>289</v>
      </c>
      <c r="P23" s="55" t="s">
        <v>308</v>
      </c>
    </row>
    <row r="24" spans="1:16" x14ac:dyDescent="0.25">
      <c r="A24" s="55"/>
      <c r="B24" s="120" t="s">
        <v>183</v>
      </c>
      <c r="C24" s="55" t="s">
        <v>2</v>
      </c>
      <c r="D24" s="55" t="s">
        <v>6</v>
      </c>
      <c r="E24" s="55" t="s">
        <v>15</v>
      </c>
      <c r="F24" s="228">
        <f>0.057969293936267*Days</f>
        <v>21.158792286737455</v>
      </c>
      <c r="G24" s="228">
        <f>5.21723645426403*365/100</f>
        <v>19.042913058063711</v>
      </c>
      <c r="H24" s="228">
        <f>(0.0464166975640797)*1000</f>
        <v>46.416697564079698</v>
      </c>
      <c r="I24" s="228">
        <f>0.0509853172253282*1000</f>
        <v>50.985317225328203</v>
      </c>
      <c r="J24" s="228">
        <v>8.8000000000000007</v>
      </c>
      <c r="K24" s="228">
        <v>9.01</v>
      </c>
      <c r="L24" s="425" t="s">
        <v>301</v>
      </c>
      <c r="M24" s="425" t="s">
        <v>288</v>
      </c>
      <c r="N24" s="425" t="s">
        <v>302</v>
      </c>
      <c r="O24" s="425" t="s">
        <v>289</v>
      </c>
      <c r="P24" s="55" t="s">
        <v>309</v>
      </c>
    </row>
    <row r="25" spans="1:16" s="95" customFormat="1" x14ac:dyDescent="0.25">
      <c r="A25" s="55"/>
      <c r="B25" s="168" t="s">
        <v>184</v>
      </c>
      <c r="C25" s="172" t="s">
        <v>2</v>
      </c>
      <c r="D25" s="172" t="s">
        <v>13</v>
      </c>
      <c r="E25" s="172" t="s">
        <v>19</v>
      </c>
      <c r="F25" s="229">
        <f>1.69466058822097*Days</f>
        <v>618.55111470065401</v>
      </c>
      <c r="G25" s="229">
        <f>186.587251456284*365/100</f>
        <v>681.04346781543654</v>
      </c>
      <c r="H25" s="229">
        <f>(0.094072702443248)*1000</f>
        <v>94.072702443248005</v>
      </c>
      <c r="I25" s="229">
        <f>0.102928570306495*1000</f>
        <v>102.92857030649499</v>
      </c>
      <c r="J25" s="229">
        <v>37.26</v>
      </c>
      <c r="K25" s="229">
        <v>38.159999999999997</v>
      </c>
      <c r="L25" s="426" t="s">
        <v>301</v>
      </c>
      <c r="M25" s="426" t="s">
        <v>288</v>
      </c>
      <c r="N25" s="426" t="s">
        <v>302</v>
      </c>
      <c r="O25" s="426" t="s">
        <v>289</v>
      </c>
      <c r="P25" s="172" t="s">
        <v>310</v>
      </c>
    </row>
    <row r="26" spans="1:16" x14ac:dyDescent="0.25">
      <c r="A26" s="55"/>
      <c r="B26" s="120" t="s">
        <v>173</v>
      </c>
      <c r="C26" s="55" t="s">
        <v>4</v>
      </c>
      <c r="D26" s="55" t="s">
        <v>6</v>
      </c>
      <c r="E26" s="55" t="s">
        <v>19</v>
      </c>
      <c r="F26" s="228">
        <f>0.5213*Days</f>
        <v>190.27449999999999</v>
      </c>
      <c r="G26" s="228">
        <f>59.66*365/100</f>
        <v>217.75899999999999</v>
      </c>
      <c r="H26" s="228">
        <f>0.100529*1000</f>
        <v>100.529</v>
      </c>
      <c r="I26" s="228">
        <f>0.108173*1000</f>
        <v>108.173</v>
      </c>
      <c r="J26" s="228">
        <v>12.419129999999999</v>
      </c>
      <c r="K26" s="228">
        <v>12.65455</v>
      </c>
      <c r="L26" s="425" t="s">
        <v>303</v>
      </c>
      <c r="M26" s="425" t="s">
        <v>290</v>
      </c>
      <c r="N26" s="425" t="s">
        <v>304</v>
      </c>
      <c r="O26" s="425" t="s">
        <v>291</v>
      </c>
      <c r="P26" s="55" t="s">
        <v>311</v>
      </c>
    </row>
    <row r="27" spans="1:16" x14ac:dyDescent="0.25">
      <c r="A27" s="55"/>
      <c r="B27" s="120" t="s">
        <v>174</v>
      </c>
      <c r="C27" s="55" t="s">
        <v>4</v>
      </c>
      <c r="D27" s="55" t="s">
        <v>6</v>
      </c>
      <c r="E27" s="55" t="s">
        <v>14</v>
      </c>
      <c r="F27" s="228">
        <f>0.062*Days</f>
        <v>22.63</v>
      </c>
      <c r="G27" s="228">
        <f>7.25*365/100</f>
        <v>26.462499999999999</v>
      </c>
      <c r="H27" s="228">
        <f>0.033819*1000</f>
        <v>33.819000000000003</v>
      </c>
      <c r="I27" s="228">
        <f>0.043002*1000</f>
        <v>43.001999999999995</v>
      </c>
      <c r="J27" s="228">
        <v>12.419129999999999</v>
      </c>
      <c r="K27" s="228">
        <v>12.65455</v>
      </c>
      <c r="L27" s="425" t="s">
        <v>303</v>
      </c>
      <c r="M27" s="425" t="s">
        <v>290</v>
      </c>
      <c r="N27" s="425" t="s">
        <v>304</v>
      </c>
      <c r="O27" s="425" t="s">
        <v>291</v>
      </c>
      <c r="P27" s="55" t="s">
        <v>312</v>
      </c>
    </row>
    <row r="28" spans="1:16" x14ac:dyDescent="0.25">
      <c r="A28" s="55"/>
      <c r="B28" s="120" t="s">
        <v>175</v>
      </c>
      <c r="C28" s="55" t="s">
        <v>4</v>
      </c>
      <c r="D28" s="55" t="s">
        <v>6</v>
      </c>
      <c r="E28" s="55" t="s">
        <v>15</v>
      </c>
      <c r="F28" s="228">
        <f>0.062*Days</f>
        <v>22.63</v>
      </c>
      <c r="G28" s="228">
        <f>7.25*365/100</f>
        <v>26.462499999999999</v>
      </c>
      <c r="H28" s="228">
        <f>0.053552*1000</f>
        <v>53.552</v>
      </c>
      <c r="I28" s="228">
        <f>0.065861*1000</f>
        <v>65.861000000000004</v>
      </c>
      <c r="J28" s="228">
        <v>12.419129999999999</v>
      </c>
      <c r="K28" s="228">
        <v>12.65455</v>
      </c>
      <c r="L28" s="425" t="s">
        <v>303</v>
      </c>
      <c r="M28" s="425" t="s">
        <v>290</v>
      </c>
      <c r="N28" s="425" t="s">
        <v>304</v>
      </c>
      <c r="O28" s="425" t="s">
        <v>291</v>
      </c>
      <c r="P28" s="55" t="s">
        <v>313</v>
      </c>
    </row>
    <row r="29" spans="1:16" s="95" customFormat="1" x14ac:dyDescent="0.25">
      <c r="A29" s="55"/>
      <c r="B29" s="168" t="s">
        <v>176</v>
      </c>
      <c r="C29" s="172" t="s">
        <v>4</v>
      </c>
      <c r="D29" s="172" t="s">
        <v>13</v>
      </c>
      <c r="E29" s="172" t="s">
        <v>19</v>
      </c>
      <c r="F29" s="229">
        <f>0.7461*Days</f>
        <v>272.32650000000001</v>
      </c>
      <c r="G29" s="229">
        <f>85.38*365/100</f>
        <v>311.63699999999994</v>
      </c>
      <c r="H29" s="229">
        <f>0.103703*1000</f>
        <v>103.703</v>
      </c>
      <c r="I29" s="229">
        <f>0.112803*1000</f>
        <v>112.803</v>
      </c>
      <c r="J29" s="229">
        <v>12.419129999999999</v>
      </c>
      <c r="K29" s="229">
        <v>12.65455</v>
      </c>
      <c r="L29" s="426" t="s">
        <v>303</v>
      </c>
      <c r="M29" s="426" t="s">
        <v>290</v>
      </c>
      <c r="N29" s="426" t="s">
        <v>304</v>
      </c>
      <c r="O29" s="426" t="s">
        <v>291</v>
      </c>
      <c r="P29" s="172" t="s">
        <v>314</v>
      </c>
    </row>
    <row r="30" spans="1:16" x14ac:dyDescent="0.25">
      <c r="A30" s="55"/>
      <c r="B30" s="120" t="s">
        <v>177</v>
      </c>
      <c r="C30" s="55" t="s">
        <v>3</v>
      </c>
      <c r="D30" s="55" t="s">
        <v>6</v>
      </c>
      <c r="E30" s="55" t="s">
        <v>19</v>
      </c>
      <c r="F30" s="228">
        <v>406.15737690164713</v>
      </c>
      <c r="G30" s="228">
        <v>440.68497988884502</v>
      </c>
      <c r="H30" s="228">
        <f>0.126807541209969*1000</f>
        <v>126.80754120996902</v>
      </c>
      <c r="I30" s="228">
        <f>0.137527253661571*1000</f>
        <v>137.527253661571</v>
      </c>
      <c r="J30" s="228">
        <v>60.608802470000001</v>
      </c>
      <c r="K30" s="228">
        <v>62.126803217101561</v>
      </c>
      <c r="L30" s="425" t="s">
        <v>298</v>
      </c>
      <c r="M30" s="425" t="s">
        <v>293</v>
      </c>
      <c r="N30" s="425" t="s">
        <v>299</v>
      </c>
      <c r="O30" s="425" t="s">
        <v>292</v>
      </c>
      <c r="P30" s="55" t="s">
        <v>315</v>
      </c>
    </row>
    <row r="31" spans="1:16" x14ac:dyDescent="0.25">
      <c r="A31" s="55"/>
      <c r="B31" s="120" t="s">
        <v>178</v>
      </c>
      <c r="C31" s="55" t="s">
        <v>3</v>
      </c>
      <c r="D31" s="55" t="s">
        <v>6</v>
      </c>
      <c r="E31" s="55" t="s">
        <v>14</v>
      </c>
      <c r="F31" s="228">
        <v>41.912270287858028</v>
      </c>
      <c r="G31" s="228">
        <v>45.475249347430072</v>
      </c>
      <c r="H31" s="228">
        <f>0.027129983855611*1000</f>
        <v>27.129983855610998</v>
      </c>
      <c r="I31" s="228">
        <f>0.0306707343973988*1000</f>
        <v>30.6707343973988</v>
      </c>
      <c r="J31" s="228">
        <v>0</v>
      </c>
      <c r="K31" s="228">
        <v>0</v>
      </c>
      <c r="L31" s="425" t="s">
        <v>298</v>
      </c>
      <c r="M31" s="425" t="s">
        <v>293</v>
      </c>
      <c r="N31" s="425" t="s">
        <v>299</v>
      </c>
      <c r="O31" s="425" t="s">
        <v>292</v>
      </c>
      <c r="P31" s="55" t="s">
        <v>316</v>
      </c>
    </row>
    <row r="32" spans="1:16" x14ac:dyDescent="0.25">
      <c r="A32" s="55"/>
      <c r="B32" s="120" t="s">
        <v>179</v>
      </c>
      <c r="C32" s="55" t="s">
        <v>3</v>
      </c>
      <c r="D32" s="55" t="s">
        <v>6</v>
      </c>
      <c r="E32" s="55" t="s">
        <v>15</v>
      </c>
      <c r="F32" s="228">
        <v>41.912270287858028</v>
      </c>
      <c r="G32" s="228">
        <v>45.475249347430072</v>
      </c>
      <c r="H32" s="228">
        <f>0.0577479788371083*1000</f>
        <v>57.747978837108299</v>
      </c>
      <c r="I32" s="228">
        <f>0.0638265372348628*1000</f>
        <v>63.826537234862798</v>
      </c>
      <c r="J32" s="228">
        <v>0</v>
      </c>
      <c r="K32" s="228">
        <v>0</v>
      </c>
      <c r="L32" s="425" t="s">
        <v>298</v>
      </c>
      <c r="M32" s="425" t="s">
        <v>293</v>
      </c>
      <c r="N32" s="425" t="s">
        <v>299</v>
      </c>
      <c r="O32" s="425" t="s">
        <v>292</v>
      </c>
      <c r="P32" s="55" t="s">
        <v>317</v>
      </c>
    </row>
    <row r="33" spans="1:16" s="95" customFormat="1" x14ac:dyDescent="0.25">
      <c r="A33" s="55"/>
      <c r="B33" s="168" t="s">
        <v>180</v>
      </c>
      <c r="C33" s="172" t="s">
        <v>3</v>
      </c>
      <c r="D33" s="172" t="s">
        <v>13</v>
      </c>
      <c r="E33" s="172" t="s">
        <v>19</v>
      </c>
      <c r="F33" s="229">
        <v>690.52416625922547</v>
      </c>
      <c r="G33" s="229">
        <v>749.22590509637962</v>
      </c>
      <c r="H33" s="229">
        <f>0.174230594407018*1000</f>
        <v>174.230594407018</v>
      </c>
      <c r="I33" s="229">
        <f>0.187877861460184*1000</f>
        <v>187.87786146018402</v>
      </c>
      <c r="J33" s="229">
        <v>60.608802470000001</v>
      </c>
      <c r="K33" s="229">
        <v>62.126803217101561</v>
      </c>
      <c r="L33" s="426" t="s">
        <v>298</v>
      </c>
      <c r="M33" s="426" t="s">
        <v>293</v>
      </c>
      <c r="N33" s="426" t="s">
        <v>299</v>
      </c>
      <c r="O33" s="426" t="s">
        <v>292</v>
      </c>
      <c r="P33" s="172" t="s">
        <v>318</v>
      </c>
    </row>
    <row r="34" spans="1:16" x14ac:dyDescent="0.25">
      <c r="A34" s="55"/>
      <c r="B34" s="120">
        <v>8400</v>
      </c>
      <c r="C34" s="55" t="s">
        <v>0</v>
      </c>
      <c r="D34" s="55" t="s">
        <v>6</v>
      </c>
      <c r="E34" s="55" t="s">
        <v>19</v>
      </c>
      <c r="F34" s="228">
        <f>0.575*Days</f>
        <v>209.87499999999997</v>
      </c>
      <c r="G34" s="228">
        <f>0.694*Days</f>
        <v>253.30999999999997</v>
      </c>
      <c r="H34" s="228">
        <f>0.09648*1000</f>
        <v>96.47999999999999</v>
      </c>
      <c r="I34" s="228">
        <f>0.08918*1000</f>
        <v>89.179999999999993</v>
      </c>
      <c r="J34" s="228">
        <f>30.11+14.12</f>
        <v>44.23</v>
      </c>
      <c r="K34" s="228">
        <v>44.143306369334965</v>
      </c>
      <c r="L34" s="425" t="s">
        <v>286</v>
      </c>
      <c r="M34" s="425" t="s">
        <v>294</v>
      </c>
      <c r="N34" s="425" t="s">
        <v>287</v>
      </c>
      <c r="O34" s="425" t="s">
        <v>295</v>
      </c>
      <c r="P34" s="55" t="s">
        <v>319</v>
      </c>
    </row>
    <row r="35" spans="1:16" x14ac:dyDescent="0.25">
      <c r="A35" s="55"/>
      <c r="B35" s="120">
        <v>9000</v>
      </c>
      <c r="C35" s="55" t="s">
        <v>0</v>
      </c>
      <c r="D35" s="55" t="s">
        <v>6</v>
      </c>
      <c r="E35" s="55" t="s">
        <v>14</v>
      </c>
      <c r="F35" s="228">
        <v>0</v>
      </c>
      <c r="G35" s="228">
        <v>0</v>
      </c>
      <c r="H35" s="228">
        <f>0.04463*1000</f>
        <v>44.63</v>
      </c>
      <c r="I35" s="228">
        <f>0.025*1000</f>
        <v>25</v>
      </c>
      <c r="J35" s="228">
        <v>12.89</v>
      </c>
      <c r="K35" s="228">
        <v>0</v>
      </c>
      <c r="L35" s="425" t="s">
        <v>286</v>
      </c>
      <c r="M35" s="425" t="s">
        <v>294</v>
      </c>
      <c r="N35" s="425" t="s">
        <v>287</v>
      </c>
      <c r="O35" s="425" t="s">
        <v>295</v>
      </c>
      <c r="P35" s="55" t="s">
        <v>320</v>
      </c>
    </row>
    <row r="36" spans="1:16" x14ac:dyDescent="0.25">
      <c r="A36" s="55"/>
      <c r="B36" s="120">
        <v>9100</v>
      </c>
      <c r="C36" s="55" t="s">
        <v>0</v>
      </c>
      <c r="D36" s="55" t="s">
        <v>6</v>
      </c>
      <c r="E36" s="55" t="s">
        <v>15</v>
      </c>
      <c r="F36" s="228">
        <v>0</v>
      </c>
      <c r="G36" s="228">
        <v>0</v>
      </c>
      <c r="H36" s="228">
        <f>0.05564*1000</f>
        <v>55.64</v>
      </c>
      <c r="I36" s="228">
        <f>0.025*1000</f>
        <v>25</v>
      </c>
      <c r="J36" s="228">
        <v>12.89</v>
      </c>
      <c r="K36" s="228">
        <v>0</v>
      </c>
      <c r="L36" s="425" t="s">
        <v>286</v>
      </c>
      <c r="M36" s="425" t="s">
        <v>294</v>
      </c>
      <c r="N36" s="425" t="s">
        <v>287</v>
      </c>
      <c r="O36" s="425" t="s">
        <v>295</v>
      </c>
      <c r="P36" s="55" t="s">
        <v>321</v>
      </c>
    </row>
    <row r="37" spans="1:16" s="95" customFormat="1" x14ac:dyDescent="0.25">
      <c r="A37" s="55"/>
      <c r="B37" s="168">
        <v>8500</v>
      </c>
      <c r="C37" s="172" t="s">
        <v>0</v>
      </c>
      <c r="D37" s="172" t="s">
        <v>13</v>
      </c>
      <c r="E37" s="172" t="s">
        <v>19</v>
      </c>
      <c r="F37" s="229">
        <f>0.759*Days</f>
        <v>277.03500000000003</v>
      </c>
      <c r="G37" s="229">
        <f>0.929*Days</f>
        <v>339.08500000000004</v>
      </c>
      <c r="H37" s="229">
        <f>0.102*1000</f>
        <v>102</v>
      </c>
      <c r="I37" s="229">
        <f>0.09862*1000</f>
        <v>98.62</v>
      </c>
      <c r="J37" s="229">
        <f>30.11+14.12</f>
        <v>44.23</v>
      </c>
      <c r="K37" s="229">
        <v>44.143306369334965</v>
      </c>
      <c r="L37" s="426" t="s">
        <v>286</v>
      </c>
      <c r="M37" s="426" t="s">
        <v>294</v>
      </c>
      <c r="N37" s="426" t="s">
        <v>287</v>
      </c>
      <c r="O37" s="426" t="s">
        <v>295</v>
      </c>
      <c r="P37" s="172" t="s">
        <v>322</v>
      </c>
    </row>
    <row r="38" spans="1:16" x14ac:dyDescent="0.25">
      <c r="A38" s="55"/>
      <c r="B38" s="120" t="s">
        <v>186</v>
      </c>
      <c r="C38" s="55" t="s">
        <v>5</v>
      </c>
      <c r="D38" s="55" t="s">
        <v>6</v>
      </c>
      <c r="E38" s="55" t="s">
        <v>19</v>
      </c>
      <c r="F38" s="228">
        <f>0.5753*Days</f>
        <v>209.98450000000003</v>
      </c>
      <c r="G38" s="228">
        <f>0.618495803170281*Days</f>
        <v>225.75096815715256</v>
      </c>
      <c r="H38" s="228">
        <f>0.1504*1000</f>
        <v>150.4</v>
      </c>
      <c r="I38" s="228">
        <f>0.1451*1000</f>
        <v>145.1</v>
      </c>
      <c r="J38" s="228">
        <f t="shared" ref="J38:J40" si="0">10.77+16.14</f>
        <v>26.91</v>
      </c>
      <c r="K38" s="228">
        <v>9.2957536593661754</v>
      </c>
      <c r="L38" s="425" t="s">
        <v>300</v>
      </c>
      <c r="M38" s="425" t="s">
        <v>296</v>
      </c>
      <c r="N38" s="425" t="s">
        <v>305</v>
      </c>
      <c r="O38" s="425" t="s">
        <v>297</v>
      </c>
      <c r="P38" s="55" t="s">
        <v>209</v>
      </c>
    </row>
    <row r="39" spans="1:16" x14ac:dyDescent="0.25">
      <c r="A39" s="55"/>
      <c r="B39" s="120" t="s">
        <v>186</v>
      </c>
      <c r="C39" s="55" t="s">
        <v>5</v>
      </c>
      <c r="D39" s="55" t="s">
        <v>6</v>
      </c>
      <c r="E39" s="55" t="s">
        <v>14</v>
      </c>
      <c r="F39" s="228">
        <v>0</v>
      </c>
      <c r="G39" s="228">
        <v>0</v>
      </c>
      <c r="H39" s="228">
        <f>0.0756*1000</f>
        <v>75.599999999999994</v>
      </c>
      <c r="I39" s="228">
        <f>0.0726*1000</f>
        <v>72.599999999999994</v>
      </c>
      <c r="J39" s="228">
        <v>0</v>
      </c>
      <c r="K39" s="228">
        <v>0</v>
      </c>
      <c r="L39" s="425" t="s">
        <v>300</v>
      </c>
      <c r="M39" s="425" t="s">
        <v>296</v>
      </c>
      <c r="N39" s="425" t="s">
        <v>305</v>
      </c>
      <c r="O39" s="425" t="s">
        <v>297</v>
      </c>
      <c r="P39" s="55" t="s">
        <v>282</v>
      </c>
    </row>
    <row r="40" spans="1:16" x14ac:dyDescent="0.25">
      <c r="A40" s="55"/>
      <c r="B40" s="120" t="s">
        <v>181</v>
      </c>
      <c r="C40" s="55" t="s">
        <v>5</v>
      </c>
      <c r="D40" s="55" t="s">
        <v>13</v>
      </c>
      <c r="E40" s="55" t="s">
        <v>19</v>
      </c>
      <c r="F40" s="228">
        <f>0.7259*Days</f>
        <v>264.95350000000002</v>
      </c>
      <c r="G40" s="228">
        <f>0.636241779375918*Days</f>
        <v>232.22824947221005</v>
      </c>
      <c r="H40" s="228">
        <f>0.1714*1000</f>
        <v>171.4</v>
      </c>
      <c r="I40" s="228">
        <f>0.1833*1000</f>
        <v>183.29999999999998</v>
      </c>
      <c r="J40" s="228">
        <f t="shared" si="0"/>
        <v>26.91</v>
      </c>
      <c r="K40" s="228">
        <v>9.2957536593661754</v>
      </c>
      <c r="L40" s="425" t="s">
        <v>300</v>
      </c>
      <c r="M40" s="425" t="s">
        <v>296</v>
      </c>
      <c r="N40" s="425" t="s">
        <v>305</v>
      </c>
      <c r="O40" s="425" t="s">
        <v>297</v>
      </c>
      <c r="P40" s="55" t="s">
        <v>323</v>
      </c>
    </row>
    <row r="41" spans="1:16" x14ac:dyDescent="0.25">
      <c r="A41" s="55"/>
      <c r="E41" s="3"/>
      <c r="F41" s="306"/>
      <c r="G41" s="306"/>
      <c r="H41" s="306"/>
      <c r="I41" s="306"/>
    </row>
    <row r="42" spans="1:16" x14ac:dyDescent="0.25">
      <c r="A42" s="55"/>
      <c r="E42" s="3"/>
      <c r="F42" s="3"/>
      <c r="G42" s="3"/>
      <c r="H42" s="3"/>
    </row>
    <row r="43" spans="1:16" x14ac:dyDescent="0.25">
      <c r="A43" s="55"/>
      <c r="B43" s="5"/>
      <c r="E43" s="3"/>
      <c r="F43" s="3"/>
      <c r="G43" s="3"/>
      <c r="H43" s="3"/>
    </row>
    <row r="44" spans="1:16" x14ac:dyDescent="0.25">
      <c r="A44" s="55"/>
      <c r="E44" s="3"/>
      <c r="F44" s="3"/>
      <c r="G44" s="3"/>
      <c r="H44" s="3"/>
    </row>
    <row r="45" spans="1:16" x14ac:dyDescent="0.25">
      <c r="E45" s="3"/>
      <c r="F45" s="3"/>
      <c r="G45" s="3"/>
      <c r="H45" s="3"/>
    </row>
    <row r="46" spans="1:16" x14ac:dyDescent="0.25">
      <c r="E46" s="3"/>
      <c r="F46" s="3"/>
      <c r="G46" s="3"/>
      <c r="H46" s="3"/>
    </row>
    <row r="47" spans="1:16" x14ac:dyDescent="0.25">
      <c r="E47" s="3"/>
      <c r="F47" s="3"/>
      <c r="G47" s="3"/>
      <c r="H47" s="3"/>
    </row>
    <row r="48" spans="1:16" x14ac:dyDescent="0.25">
      <c r="E48" s="3"/>
      <c r="F48" s="3"/>
      <c r="G48" s="3"/>
      <c r="H48" s="3"/>
    </row>
    <row r="49" spans="5:37" x14ac:dyDescent="0.25">
      <c r="E49" s="63"/>
      <c r="F49" s="63"/>
      <c r="G49" s="63"/>
      <c r="H49" s="63"/>
      <c r="I49" s="63"/>
      <c r="J49" s="63"/>
      <c r="K49" s="63"/>
      <c r="L49" s="63"/>
      <c r="M49" s="63"/>
      <c r="N49" s="63"/>
      <c r="O49" s="27"/>
      <c r="P49" s="63"/>
      <c r="Q49" s="63"/>
      <c r="R49" s="63"/>
      <c r="S49" s="63"/>
      <c r="T49" s="63"/>
      <c r="U49" s="63"/>
      <c r="V49" s="63"/>
      <c r="W49" s="63"/>
      <c r="X49" s="63"/>
      <c r="Y49" s="63"/>
      <c r="Z49" s="63"/>
      <c r="AA49" s="63"/>
      <c r="AB49" s="27"/>
      <c r="AC49" s="63"/>
      <c r="AD49" s="63"/>
      <c r="AE49" s="63"/>
      <c r="AF49" s="63"/>
      <c r="AG49" s="63"/>
      <c r="AH49" s="63"/>
      <c r="AI49" s="63"/>
      <c r="AJ49" s="27"/>
      <c r="AK49" s="63"/>
    </row>
    <row r="50" spans="5:37" x14ac:dyDescent="0.25">
      <c r="E50" s="63"/>
      <c r="F50" s="63"/>
      <c r="G50" s="63"/>
      <c r="H50" s="63"/>
      <c r="I50" s="63"/>
      <c r="J50" s="63"/>
      <c r="K50" s="63"/>
      <c r="L50" s="63"/>
      <c r="M50" s="63"/>
      <c r="N50" s="63"/>
      <c r="O50" s="27"/>
      <c r="P50" s="63"/>
      <c r="Q50" s="63"/>
      <c r="R50" s="63"/>
      <c r="S50" s="63"/>
      <c r="T50" s="63"/>
      <c r="U50" s="63"/>
      <c r="V50" s="63"/>
      <c r="W50" s="63"/>
      <c r="X50" s="63"/>
      <c r="Y50" s="63"/>
      <c r="Z50" s="63"/>
      <c r="AA50" s="63"/>
      <c r="AB50" s="27"/>
      <c r="AC50" s="63"/>
      <c r="AD50" s="63"/>
      <c r="AE50" s="63"/>
      <c r="AF50" s="63"/>
      <c r="AG50" s="63"/>
      <c r="AH50" s="63"/>
      <c r="AI50" s="63"/>
      <c r="AJ50" s="27"/>
      <c r="AK50" s="63"/>
    </row>
    <row r="51" spans="5:37" x14ac:dyDescent="0.25">
      <c r="E51" s="63"/>
      <c r="F51" s="63"/>
      <c r="G51" s="63"/>
      <c r="H51" s="63"/>
      <c r="I51" s="63"/>
      <c r="J51" s="63"/>
      <c r="K51" s="63"/>
      <c r="L51" s="63"/>
      <c r="M51" s="63"/>
      <c r="N51" s="63"/>
      <c r="O51" s="27"/>
      <c r="P51" s="63"/>
      <c r="Q51" s="63"/>
      <c r="R51" s="63"/>
      <c r="S51" s="63"/>
      <c r="T51" s="63"/>
      <c r="U51" s="63"/>
      <c r="V51" s="63"/>
      <c r="W51" s="63"/>
      <c r="X51" s="63"/>
      <c r="Y51" s="63"/>
      <c r="Z51" s="63"/>
      <c r="AA51" s="63"/>
      <c r="AB51" s="27"/>
      <c r="AC51" s="63"/>
      <c r="AD51" s="63"/>
      <c r="AE51" s="63"/>
      <c r="AF51" s="63"/>
      <c r="AG51" s="63"/>
      <c r="AH51" s="63"/>
      <c r="AI51" s="63"/>
      <c r="AJ51" s="27"/>
      <c r="AK51" s="63"/>
    </row>
    <row r="52" spans="5:37" x14ac:dyDescent="0.25">
      <c r="E52" s="63"/>
      <c r="F52" s="63"/>
      <c r="G52" s="63"/>
      <c r="H52" s="63"/>
      <c r="I52" s="63"/>
      <c r="J52" s="63"/>
      <c r="K52" s="63"/>
      <c r="L52" s="63"/>
      <c r="M52" s="63"/>
      <c r="N52" s="63"/>
      <c r="O52" s="27"/>
      <c r="P52" s="63"/>
      <c r="Q52" s="63"/>
      <c r="R52" s="63"/>
      <c r="S52" s="63"/>
      <c r="T52" s="63"/>
      <c r="U52" s="63"/>
      <c r="V52" s="63"/>
      <c r="W52" s="63"/>
      <c r="X52" s="63"/>
      <c r="Y52" s="63"/>
      <c r="Z52" s="63"/>
      <c r="AA52" s="63"/>
      <c r="AB52" s="27"/>
      <c r="AC52" s="63"/>
      <c r="AD52" s="63"/>
      <c r="AE52" s="63"/>
      <c r="AF52" s="63"/>
      <c r="AG52" s="63"/>
      <c r="AH52" s="63"/>
      <c r="AI52" s="63"/>
      <c r="AJ52" s="27"/>
      <c r="AK52" s="63"/>
    </row>
    <row r="53" spans="5:37" x14ac:dyDescent="0.25">
      <c r="E53" s="63"/>
      <c r="F53" s="63"/>
      <c r="G53" s="63"/>
      <c r="H53" s="63"/>
      <c r="I53" s="63"/>
      <c r="J53" s="63"/>
      <c r="K53" s="63"/>
      <c r="L53" s="63"/>
      <c r="M53" s="63"/>
      <c r="N53" s="63"/>
      <c r="O53" s="27"/>
      <c r="P53" s="63"/>
      <c r="Q53" s="63"/>
      <c r="R53" s="63"/>
      <c r="S53" s="63"/>
      <c r="T53" s="63"/>
      <c r="U53" s="63"/>
      <c r="V53" s="63"/>
      <c r="W53" s="63"/>
      <c r="X53" s="63"/>
      <c r="Y53" s="63"/>
      <c r="Z53" s="63"/>
      <c r="AA53" s="63"/>
      <c r="AB53" s="27"/>
      <c r="AC53" s="63"/>
      <c r="AD53" s="63"/>
      <c r="AE53" s="63"/>
      <c r="AF53" s="63"/>
      <c r="AG53" s="63"/>
      <c r="AH53" s="63"/>
      <c r="AI53" s="63"/>
      <c r="AJ53" s="27"/>
      <c r="AK53" s="63"/>
    </row>
    <row r="54" spans="5:37" x14ac:dyDescent="0.25">
      <c r="E54" s="63"/>
      <c r="F54" s="63"/>
      <c r="G54" s="63"/>
      <c r="H54" s="63"/>
      <c r="I54" s="63"/>
      <c r="J54" s="63"/>
      <c r="K54" s="63"/>
      <c r="L54" s="63"/>
      <c r="M54" s="63"/>
      <c r="N54" s="63"/>
      <c r="O54" s="27"/>
      <c r="P54" s="63"/>
      <c r="Q54" s="63"/>
      <c r="R54" s="63"/>
      <c r="S54" s="63"/>
      <c r="T54" s="63"/>
      <c r="U54" s="63"/>
      <c r="V54" s="63"/>
      <c r="W54" s="63"/>
      <c r="X54" s="63"/>
      <c r="Y54" s="63"/>
      <c r="Z54" s="63"/>
      <c r="AA54" s="63"/>
      <c r="AB54" s="27"/>
      <c r="AC54" s="63"/>
      <c r="AD54" s="63"/>
      <c r="AE54" s="63"/>
      <c r="AF54" s="63"/>
      <c r="AG54" s="63"/>
      <c r="AH54" s="63"/>
      <c r="AI54" s="63"/>
      <c r="AJ54" s="27"/>
      <c r="AK54" s="63"/>
    </row>
    <row r="55" spans="5:37" x14ac:dyDescent="0.25">
      <c r="E55" s="63"/>
      <c r="F55" s="63"/>
      <c r="G55" s="63"/>
      <c r="H55" s="63"/>
      <c r="I55" s="63"/>
      <c r="J55" s="63"/>
      <c r="K55" s="63"/>
      <c r="L55" s="63"/>
      <c r="M55" s="63"/>
      <c r="N55" s="63"/>
      <c r="O55" s="27"/>
      <c r="P55" s="63"/>
      <c r="Q55" s="63"/>
      <c r="R55" s="63"/>
      <c r="S55" s="63"/>
      <c r="T55" s="63"/>
      <c r="U55" s="63"/>
      <c r="V55" s="63"/>
      <c r="W55" s="63"/>
      <c r="X55" s="63"/>
      <c r="Y55" s="63"/>
      <c r="Z55" s="63"/>
      <c r="AA55" s="63"/>
      <c r="AB55" s="27"/>
      <c r="AC55" s="63"/>
      <c r="AD55" s="63"/>
      <c r="AE55" s="63"/>
      <c r="AF55" s="63"/>
      <c r="AG55" s="63"/>
      <c r="AH55" s="63"/>
      <c r="AI55" s="63"/>
      <c r="AJ55" s="27"/>
      <c r="AK55" s="63"/>
    </row>
    <row r="56" spans="5:37" x14ac:dyDescent="0.25">
      <c r="E56" s="63"/>
      <c r="F56" s="63"/>
      <c r="G56" s="63"/>
      <c r="H56" s="63"/>
      <c r="I56" s="63"/>
      <c r="J56" s="63"/>
      <c r="K56" s="63"/>
      <c r="L56" s="63"/>
      <c r="M56" s="63"/>
      <c r="N56" s="63"/>
      <c r="O56" s="27"/>
      <c r="P56" s="63"/>
      <c r="Q56" s="63"/>
      <c r="R56" s="63"/>
      <c r="S56" s="63"/>
      <c r="T56" s="63"/>
      <c r="U56" s="63"/>
      <c r="V56" s="63"/>
      <c r="W56" s="63"/>
      <c r="X56" s="63"/>
      <c r="Y56" s="63"/>
      <c r="Z56" s="63"/>
      <c r="AA56" s="63"/>
      <c r="AB56" s="27"/>
      <c r="AC56" s="63"/>
      <c r="AD56" s="63"/>
      <c r="AE56" s="63"/>
      <c r="AF56" s="63"/>
      <c r="AG56" s="63"/>
      <c r="AH56" s="63"/>
      <c r="AI56" s="63"/>
      <c r="AJ56" s="27"/>
      <c r="AK56" s="63"/>
    </row>
    <row r="57" spans="5:37" x14ac:dyDescent="0.25">
      <c r="E57" s="63"/>
      <c r="F57" s="63"/>
      <c r="G57" s="63"/>
      <c r="H57" s="63"/>
      <c r="I57" s="63"/>
      <c r="J57" s="63"/>
      <c r="K57" s="63"/>
      <c r="L57" s="63"/>
      <c r="M57" s="63"/>
      <c r="N57" s="63"/>
      <c r="O57" s="27"/>
      <c r="P57" s="63"/>
      <c r="Q57" s="63"/>
      <c r="R57" s="63"/>
      <c r="S57" s="63"/>
      <c r="T57" s="63"/>
      <c r="U57" s="63"/>
      <c r="V57" s="63"/>
      <c r="W57" s="63"/>
      <c r="X57" s="63"/>
      <c r="Y57" s="63"/>
      <c r="Z57" s="63"/>
      <c r="AA57" s="63"/>
      <c r="AB57" s="27"/>
      <c r="AC57" s="63"/>
      <c r="AD57" s="63"/>
      <c r="AE57" s="63"/>
      <c r="AF57" s="63"/>
      <c r="AG57" s="63"/>
      <c r="AH57" s="63"/>
      <c r="AI57" s="63"/>
      <c r="AJ57" s="27"/>
      <c r="AK57" s="63"/>
    </row>
    <row r="67" spans="6:11" x14ac:dyDescent="0.25">
      <c r="F67" s="307"/>
      <c r="H67" s="307"/>
      <c r="I67" s="307"/>
      <c r="J67" s="307"/>
      <c r="K67" s="307"/>
    </row>
    <row r="68" spans="6:11" x14ac:dyDescent="0.25">
      <c r="F68" s="307"/>
      <c r="G68" s="307"/>
      <c r="H68" s="307"/>
      <c r="I68" s="307"/>
      <c r="J68" s="307"/>
      <c r="K68" s="307"/>
    </row>
    <row r="69" spans="6:11" x14ac:dyDescent="0.25">
      <c r="F69" s="307"/>
      <c r="G69" s="307"/>
      <c r="H69" s="307"/>
      <c r="I69" s="307"/>
      <c r="J69" s="307"/>
      <c r="K69" s="307"/>
    </row>
    <row r="70" spans="6:11" x14ac:dyDescent="0.25">
      <c r="F70" s="307"/>
      <c r="G70" s="307"/>
      <c r="H70" s="307"/>
      <c r="I70" s="307"/>
      <c r="J70" s="307"/>
      <c r="K70" s="307"/>
    </row>
    <row r="71" spans="6:11" x14ac:dyDescent="0.25">
      <c r="F71" s="307"/>
      <c r="G71" s="307"/>
      <c r="H71" s="307"/>
      <c r="I71" s="307"/>
      <c r="J71" s="307"/>
      <c r="K71" s="307"/>
    </row>
    <row r="72" spans="6:11" x14ac:dyDescent="0.25">
      <c r="F72" s="307"/>
      <c r="G72" s="307"/>
      <c r="H72" s="307"/>
      <c r="I72" s="307"/>
      <c r="J72" s="307"/>
      <c r="K72" s="307"/>
    </row>
    <row r="73" spans="6:11" x14ac:dyDescent="0.25">
      <c r="F73" s="307"/>
      <c r="G73" s="307"/>
      <c r="H73" s="307"/>
      <c r="I73" s="307"/>
      <c r="J73" s="307"/>
      <c r="K73" s="307"/>
    </row>
    <row r="74" spans="6:11" x14ac:dyDescent="0.25">
      <c r="F74" s="307"/>
      <c r="G74" s="307"/>
      <c r="H74" s="307"/>
      <c r="I74" s="307"/>
      <c r="J74" s="307"/>
      <c r="K74" s="307"/>
    </row>
    <row r="75" spans="6:11" x14ac:dyDescent="0.25">
      <c r="F75" s="307"/>
      <c r="G75" s="307"/>
      <c r="H75" s="307"/>
      <c r="I75" s="307"/>
      <c r="J75" s="307"/>
      <c r="K75" s="307"/>
    </row>
    <row r="76" spans="6:11" x14ac:dyDescent="0.25">
      <c r="F76" s="307"/>
      <c r="G76" s="307"/>
      <c r="H76" s="307"/>
      <c r="I76" s="307"/>
      <c r="J76" s="307"/>
      <c r="K76" s="307"/>
    </row>
    <row r="77" spans="6:11" x14ac:dyDescent="0.25">
      <c r="F77" s="307"/>
      <c r="G77" s="307"/>
      <c r="H77" s="307"/>
      <c r="I77" s="307"/>
      <c r="J77" s="307"/>
      <c r="K77" s="307"/>
    </row>
    <row r="78" spans="6:11" x14ac:dyDescent="0.25">
      <c r="F78" s="307"/>
      <c r="G78" s="307"/>
      <c r="H78" s="307"/>
      <c r="I78" s="307"/>
      <c r="J78" s="307"/>
      <c r="K78" s="307"/>
    </row>
    <row r="79" spans="6:11" x14ac:dyDescent="0.25">
      <c r="F79" s="307"/>
      <c r="G79" s="307"/>
      <c r="H79" s="307"/>
      <c r="I79" s="307"/>
      <c r="J79" s="307"/>
      <c r="K79" s="307"/>
    </row>
    <row r="80" spans="6:11" x14ac:dyDescent="0.25">
      <c r="F80" s="307"/>
      <c r="G80" s="307"/>
      <c r="H80" s="307"/>
      <c r="I80" s="307"/>
      <c r="J80" s="307"/>
      <c r="K80" s="307"/>
    </row>
    <row r="81" spans="6:11" x14ac:dyDescent="0.25">
      <c r="F81" s="307"/>
      <c r="G81" s="307"/>
      <c r="H81" s="307"/>
      <c r="I81" s="307"/>
      <c r="J81" s="307"/>
      <c r="K81" s="307"/>
    </row>
    <row r="82" spans="6:11" x14ac:dyDescent="0.25">
      <c r="F82" s="307"/>
      <c r="G82" s="307"/>
      <c r="H82" s="307"/>
      <c r="I82" s="307"/>
      <c r="J82" s="307"/>
      <c r="K82" s="307"/>
    </row>
    <row r="83" spans="6:11" x14ac:dyDescent="0.25">
      <c r="F83" s="307"/>
      <c r="G83" s="307"/>
      <c r="H83" s="307"/>
      <c r="I83" s="307"/>
      <c r="J83" s="307"/>
      <c r="K83" s="307"/>
    </row>
    <row r="84" spans="6:11" x14ac:dyDescent="0.25">
      <c r="F84" s="307"/>
      <c r="G84" s="307"/>
      <c r="H84" s="307"/>
      <c r="I84" s="307"/>
      <c r="J84" s="307"/>
      <c r="K84" s="307"/>
    </row>
    <row r="85" spans="6:11" x14ac:dyDescent="0.25">
      <c r="F85" s="307"/>
      <c r="G85" s="307"/>
      <c r="H85" s="307"/>
      <c r="I85" s="307"/>
      <c r="J85" s="307"/>
      <c r="K85" s="307"/>
    </row>
  </sheetData>
  <sheetProtection algorithmName="SHA-256" hashValue="0Fe2gH7DXb0uMkO9DISwSmqAJNIFXCORVkV3zkvn/S8=" saltValue="/QkoZw/mqJl2U7HLD7l3Gw==" spinCount="100000" sheet="1" formatCells="0" formatColumns="0" formatRows="0" insertColumns="0" insertRows="0" insertHyperlinks="0" deleteColumns="0" deleteRows="0" sort="0" autoFilter="0" pivotTables="0"/>
  <mergeCells count="8">
    <mergeCell ref="A1:B1"/>
    <mergeCell ref="P17:P21"/>
    <mergeCell ref="L17:L21"/>
    <mergeCell ref="M17:M21"/>
    <mergeCell ref="N17:N21"/>
    <mergeCell ref="O17:O21"/>
    <mergeCell ref="F17:I17"/>
    <mergeCell ref="J17:K17"/>
  </mergeCells>
  <phoneticPr fontId="53" type="noConversion"/>
  <conditionalFormatting sqref="B22:O40">
    <cfRule type="expression" dxfId="14" priority="1">
      <formula>MOD(ROW(),2)=0</formula>
    </cfRule>
  </conditionalFormatting>
  <dataValidations disablePrompts="1" count="1">
    <dataValidation type="list" allowBlank="1" showInputMessage="1" showErrorMessage="1" sqref="D14" xr:uid="{00000000-0002-0000-1500-000000000000}">
      <formula1>"Yes,No"</formula1>
    </dataValidation>
  </dataValidations>
  <hyperlinks>
    <hyperlink ref="A1" location="Index!A1" display="&lt;&lt;Back to Index" xr:uid="{FD37C3C1-50B6-4414-9076-B7307024F7B2}"/>
    <hyperlink ref="E10" r:id="rId1" xr:uid="{9B3AEC89-B360-4E5E-AD07-D3CD0A4CDA95}"/>
    <hyperlink ref="E9" r:id="rId2" display="RBA Feb 2024 forecast for the two years ending Jun 2025 (Feb-2024)" xr:uid="{EC51DF2A-274A-428A-A692-2DD6F605675B}"/>
  </hyperlinks>
  <pageMargins left="0.7" right="0.7" top="0.75" bottom="0.75" header="0.3" footer="0.3"/>
  <pageSetup paperSize="9" orientation="portrait" r:id="rId3"/>
  <headerFooter>
    <oddHeader>&amp;C&amp;"Calibri"&amp;10&amp;KFF0000 OFFICIAL SENSITIVE&amp;1#_x000D_</oddHeader>
  </headerFooter>
  <ignoredErrors>
    <ignoredError sqref="G19:K19 K18"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theme="0" tint="-0.249977111117893"/>
  </sheetPr>
  <dimension ref="A1:V223"/>
  <sheetViews>
    <sheetView zoomScale="85" zoomScaleNormal="85" workbookViewId="0">
      <pane xSplit="3" ySplit="3" topLeftCell="D4" activePane="bottomRight" state="frozen"/>
      <selection pane="topRight" activeCell="D1" sqref="D1"/>
      <selection pane="bottomLeft" activeCell="A4" sqref="A4"/>
      <selection pane="bottomRight" sqref="A1:B1"/>
    </sheetView>
  </sheetViews>
  <sheetFormatPr defaultColWidth="8.85546875" defaultRowHeight="15" x14ac:dyDescent="0.25"/>
  <cols>
    <col min="1" max="1" width="1.85546875" style="3" customWidth="1"/>
    <col min="2" max="2" width="18.5703125" style="21" bestFit="1" customWidth="1"/>
    <col min="3" max="3" width="24.28515625" style="21" bestFit="1" customWidth="1"/>
    <col min="4" max="4" width="13.42578125" style="21" customWidth="1"/>
    <col min="5" max="5" width="17.140625" style="21" customWidth="1"/>
    <col min="6" max="6" width="13.42578125" style="21" customWidth="1"/>
    <col min="7" max="7" width="24.28515625" style="21" bestFit="1" customWidth="1"/>
    <col min="8" max="8" width="14.28515625" style="21" bestFit="1" customWidth="1"/>
    <col min="9" max="9" width="9.85546875" style="3" bestFit="1" customWidth="1"/>
    <col min="10" max="10" width="40.42578125" style="3" customWidth="1"/>
    <col min="11" max="11" width="10" style="3" bestFit="1" customWidth="1"/>
    <col min="12" max="12" width="47.28515625" style="21" customWidth="1"/>
    <col min="13" max="13" width="72.5703125" style="21" customWidth="1"/>
    <col min="14" max="14" width="12.5703125" style="3" customWidth="1"/>
    <col min="15" max="15" width="11.140625" style="3" customWidth="1"/>
    <col min="16" max="16384" width="8.85546875" style="3"/>
  </cols>
  <sheetData>
    <row r="1" spans="1:16" ht="10.35" customHeight="1" x14ac:dyDescent="0.25">
      <c r="A1" s="430" t="s">
        <v>18</v>
      </c>
      <c r="B1" s="431"/>
      <c r="C1" s="21" t="s">
        <v>188</v>
      </c>
    </row>
    <row r="2" spans="1:16" s="14" customFormat="1" ht="22.5" customHeight="1" x14ac:dyDescent="0.25">
      <c r="A2" s="15" t="s">
        <v>92</v>
      </c>
      <c r="B2" s="22"/>
      <c r="C2" s="22"/>
      <c r="D2" s="26"/>
      <c r="E2" s="22"/>
      <c r="F2" s="22"/>
      <c r="G2" s="22"/>
      <c r="H2" s="173"/>
      <c r="J2" s="257"/>
      <c r="P2" s="201"/>
    </row>
    <row r="3" spans="1:16" s="5" customFormat="1" x14ac:dyDescent="0.25">
      <c r="B3" s="23" t="s">
        <v>1</v>
      </c>
      <c r="C3" s="23" t="s">
        <v>10</v>
      </c>
      <c r="D3" s="23" t="s">
        <v>85</v>
      </c>
      <c r="E3" s="23" t="s">
        <v>86</v>
      </c>
      <c r="F3" s="23" t="s">
        <v>87</v>
      </c>
      <c r="G3" s="23" t="s">
        <v>32</v>
      </c>
      <c r="H3" s="23" t="s">
        <v>66</v>
      </c>
      <c r="I3" s="23" t="s">
        <v>204</v>
      </c>
      <c r="J3" s="23" t="s">
        <v>237</v>
      </c>
      <c r="K3" s="12" t="s">
        <v>26</v>
      </c>
      <c r="L3" s="23" t="str">
        <f>"Source for "&amp;PY</f>
        <v>Source for 2024-25</v>
      </c>
      <c r="M3" s="23" t="str">
        <f>"Source for "&amp;FY</f>
        <v>Source for 2025-26</v>
      </c>
      <c r="N3" s="23" t="s">
        <v>54</v>
      </c>
    </row>
    <row r="4" spans="1:16" s="55" customFormat="1" x14ac:dyDescent="0.25">
      <c r="B4" s="120" t="s">
        <v>2</v>
      </c>
      <c r="C4" s="120" t="str">
        <f t="shared" ref="C4:C5" si="0">IF(D4="","All",D4&amp;" "&amp;E4)</f>
        <v>Residential without CL</v>
      </c>
      <c r="D4" s="120" t="s">
        <v>6</v>
      </c>
      <c r="E4" s="120" t="s">
        <v>127</v>
      </c>
      <c r="F4" s="120" t="s">
        <v>19</v>
      </c>
      <c r="G4" s="120" t="s">
        <v>70</v>
      </c>
      <c r="H4" s="120" t="s">
        <v>47</v>
      </c>
      <c r="I4" s="228">
        <v>152.72999999999999</v>
      </c>
      <c r="J4" s="228">
        <v>161.0675</v>
      </c>
      <c r="K4" s="121" t="s">
        <v>44</v>
      </c>
      <c r="L4" s="122" t="s">
        <v>253</v>
      </c>
      <c r="M4" s="122" t="s">
        <v>306</v>
      </c>
      <c r="N4" s="139">
        <f t="shared" ref="N4:N115" si="1">IFERROR(IF(K4="%",J4-I4,J4/I4-1),"")</f>
        <v>5.4589798991684813E-2</v>
      </c>
      <c r="O4" s="248"/>
      <c r="P4" s="247"/>
    </row>
    <row r="5" spans="1:16" s="55" customFormat="1" x14ac:dyDescent="0.25">
      <c r="B5" s="120" t="s">
        <v>2</v>
      </c>
      <c r="C5" s="120" t="str">
        <f t="shared" si="0"/>
        <v>Residential with CL</v>
      </c>
      <c r="D5" s="120" t="s">
        <v>6</v>
      </c>
      <c r="E5" s="120" t="s">
        <v>128</v>
      </c>
      <c r="F5" s="120" t="s">
        <v>14</v>
      </c>
      <c r="G5" s="120" t="s">
        <v>70</v>
      </c>
      <c r="H5" s="120" t="s">
        <v>47</v>
      </c>
      <c r="I5" s="228">
        <v>98.37</v>
      </c>
      <c r="J5" s="228">
        <v>115.48249999999999</v>
      </c>
      <c r="K5" s="121" t="s">
        <v>44</v>
      </c>
      <c r="L5" s="122" t="s">
        <v>253</v>
      </c>
      <c r="M5" s="122" t="s">
        <v>306</v>
      </c>
      <c r="N5" s="139">
        <f t="shared" si="1"/>
        <v>0.17396055708041058</v>
      </c>
      <c r="O5" s="248"/>
      <c r="P5" s="247"/>
    </row>
    <row r="6" spans="1:16" s="55" customFormat="1" x14ac:dyDescent="0.25">
      <c r="B6" s="120" t="s">
        <v>2</v>
      </c>
      <c r="C6" s="120" t="str">
        <f t="shared" ref="C6:C116" si="2">IF(D6="","All",D6&amp;" "&amp;E6)</f>
        <v>Residential with CL</v>
      </c>
      <c r="D6" s="120" t="s">
        <v>6</v>
      </c>
      <c r="E6" s="120" t="s">
        <v>128</v>
      </c>
      <c r="F6" s="120" t="s">
        <v>15</v>
      </c>
      <c r="G6" s="120" t="s">
        <v>70</v>
      </c>
      <c r="H6" s="120" t="s">
        <v>47</v>
      </c>
      <c r="I6" s="228">
        <v>98.23</v>
      </c>
      <c r="J6" s="228">
        <v>113.69499999999999</v>
      </c>
      <c r="K6" s="121" t="s">
        <v>44</v>
      </c>
      <c r="L6" s="122" t="s">
        <v>253</v>
      </c>
      <c r="M6" s="122" t="s">
        <v>306</v>
      </c>
      <c r="N6" s="139">
        <f t="shared" si="1"/>
        <v>0.15743662832128669</v>
      </c>
      <c r="O6" s="248"/>
      <c r="P6" s="247"/>
    </row>
    <row r="7" spans="1:16" s="55" customFormat="1" x14ac:dyDescent="0.25">
      <c r="B7" s="120" t="s">
        <v>2</v>
      </c>
      <c r="C7" s="120" t="str">
        <f t="shared" si="2"/>
        <v>Small business without CL</v>
      </c>
      <c r="D7" s="120" t="s">
        <v>13</v>
      </c>
      <c r="E7" s="120" t="s">
        <v>127</v>
      </c>
      <c r="F7" s="120" t="s">
        <v>19</v>
      </c>
      <c r="G7" s="120" t="s">
        <v>70</v>
      </c>
      <c r="H7" s="120" t="s">
        <v>47</v>
      </c>
      <c r="I7" s="236">
        <v>152.72999999999999</v>
      </c>
      <c r="J7" s="228">
        <v>161.0675</v>
      </c>
      <c r="K7" s="121" t="s">
        <v>44</v>
      </c>
      <c r="L7" s="122" t="s">
        <v>253</v>
      </c>
      <c r="M7" s="122" t="s">
        <v>306</v>
      </c>
      <c r="N7" s="139">
        <f t="shared" si="1"/>
        <v>5.4589798991684813E-2</v>
      </c>
      <c r="O7" s="248"/>
      <c r="P7" s="247"/>
    </row>
    <row r="8" spans="1:16" s="55" customFormat="1" x14ac:dyDescent="0.25">
      <c r="B8" s="120" t="s">
        <v>2</v>
      </c>
      <c r="C8" s="120" t="str">
        <f t="shared" si="2"/>
        <v>All</v>
      </c>
      <c r="D8" s="120"/>
      <c r="E8" s="120"/>
      <c r="F8" s="120"/>
      <c r="G8" s="120" t="s">
        <v>71</v>
      </c>
      <c r="H8" s="120" t="s">
        <v>47</v>
      </c>
      <c r="I8" s="228">
        <v>0.25</v>
      </c>
      <c r="J8" s="228">
        <v>0.15378802592718904</v>
      </c>
      <c r="K8" s="121" t="s">
        <v>44</v>
      </c>
      <c r="L8" s="122" t="s">
        <v>259</v>
      </c>
      <c r="M8" s="122" t="s">
        <v>324</v>
      </c>
      <c r="N8" s="139">
        <f t="shared" si="1"/>
        <v>-0.38484789629124383</v>
      </c>
      <c r="O8" s="248"/>
      <c r="P8" s="247"/>
    </row>
    <row r="9" spans="1:16" s="55" customFormat="1" x14ac:dyDescent="0.25">
      <c r="B9" s="120" t="s">
        <v>2</v>
      </c>
      <c r="C9" s="120" t="str">
        <f t="shared" si="2"/>
        <v>All</v>
      </c>
      <c r="D9" s="120"/>
      <c r="E9" s="120"/>
      <c r="F9" s="120"/>
      <c r="G9" s="120" t="s">
        <v>78</v>
      </c>
      <c r="H9" s="120" t="s">
        <v>47</v>
      </c>
      <c r="I9" s="228">
        <v>0.50409000000000004</v>
      </c>
      <c r="J9" s="228">
        <v>0.57443</v>
      </c>
      <c r="K9" s="121" t="s">
        <v>44</v>
      </c>
      <c r="L9" s="122" t="s">
        <v>258</v>
      </c>
      <c r="M9" s="122" t="s">
        <v>325</v>
      </c>
      <c r="N9" s="139">
        <f t="shared" si="1"/>
        <v>0.13953857446090967</v>
      </c>
      <c r="O9" s="248"/>
      <c r="P9" s="247"/>
    </row>
    <row r="10" spans="1:16" s="55" customFormat="1" x14ac:dyDescent="0.25">
      <c r="B10" s="120" t="s">
        <v>2</v>
      </c>
      <c r="C10" s="120" t="str">
        <f t="shared" si="2"/>
        <v>All</v>
      </c>
      <c r="D10" s="120"/>
      <c r="E10" s="120"/>
      <c r="F10" s="120"/>
      <c r="G10" s="120" t="s">
        <v>78</v>
      </c>
      <c r="H10" s="120" t="s">
        <v>46</v>
      </c>
      <c r="I10" s="228">
        <v>0.22833000000000001</v>
      </c>
      <c r="J10" s="228">
        <v>0.26533344915475288</v>
      </c>
      <c r="K10" s="121" t="s">
        <v>45</v>
      </c>
      <c r="L10" s="122" t="s">
        <v>258</v>
      </c>
      <c r="M10" s="122" t="s">
        <v>325</v>
      </c>
      <c r="N10" s="139">
        <f t="shared" ref="N10:N13" si="3">IFERROR(IF(K10="%",J10-I10,J10/I10-1),"")</f>
        <v>0.162061267265593</v>
      </c>
      <c r="O10" s="248"/>
      <c r="P10" s="247"/>
    </row>
    <row r="11" spans="1:16" s="55" customFormat="1" x14ac:dyDescent="0.25">
      <c r="B11" s="120" t="s">
        <v>2</v>
      </c>
      <c r="C11" s="120" t="str">
        <f t="shared" si="2"/>
        <v>All</v>
      </c>
      <c r="D11" s="120"/>
      <c r="E11" s="120"/>
      <c r="F11" s="120"/>
      <c r="G11" s="120" t="s">
        <v>72</v>
      </c>
      <c r="H11" s="120" t="s">
        <v>47</v>
      </c>
      <c r="I11" s="228">
        <v>0</v>
      </c>
      <c r="J11" s="228">
        <v>5.2786233739509421E-2</v>
      </c>
      <c r="K11" s="121" t="s">
        <v>44</v>
      </c>
      <c r="L11" s="122" t="s">
        <v>261</v>
      </c>
      <c r="M11" s="122" t="s">
        <v>326</v>
      </c>
      <c r="N11" s="139" t="str">
        <f t="shared" si="3"/>
        <v/>
      </c>
      <c r="O11" s="248"/>
      <c r="P11" s="247"/>
    </row>
    <row r="12" spans="1:16" s="55" customFormat="1" x14ac:dyDescent="0.25">
      <c r="B12" s="120" t="s">
        <v>2</v>
      </c>
      <c r="C12" s="120" t="str">
        <f t="shared" ref="C12" si="4">IF(D12="","All",D12&amp;" "&amp;E12)</f>
        <v>All</v>
      </c>
      <c r="D12" s="120"/>
      <c r="E12" s="120"/>
      <c r="F12" s="120"/>
      <c r="G12" s="120" t="s">
        <v>189</v>
      </c>
      <c r="H12" s="120" t="s">
        <v>47</v>
      </c>
      <c r="I12" s="228">
        <v>0</v>
      </c>
      <c r="J12" s="228">
        <v>0.11507709849820914</v>
      </c>
      <c r="K12" s="121" t="s">
        <v>44</v>
      </c>
      <c r="L12" s="122" t="s">
        <v>261</v>
      </c>
      <c r="M12" s="122" t="s">
        <v>326</v>
      </c>
      <c r="N12" s="139" t="str">
        <f t="shared" si="3"/>
        <v/>
      </c>
      <c r="O12" s="248"/>
      <c r="P12" s="247"/>
    </row>
    <row r="13" spans="1:16" s="55" customFormat="1" x14ac:dyDescent="0.25">
      <c r="B13" s="120" t="s">
        <v>2</v>
      </c>
      <c r="C13" s="120" t="str">
        <f t="shared" si="2"/>
        <v>All</v>
      </c>
      <c r="D13" s="120"/>
      <c r="E13" s="120"/>
      <c r="F13" s="120"/>
      <c r="G13" s="120" t="s">
        <v>135</v>
      </c>
      <c r="H13" s="120" t="s">
        <v>47</v>
      </c>
      <c r="I13" s="228">
        <v>2.64</v>
      </c>
      <c r="J13" s="228">
        <v>2.8625958258186368</v>
      </c>
      <c r="K13" s="121" t="s">
        <v>44</v>
      </c>
      <c r="L13" s="122" t="s">
        <v>260</v>
      </c>
      <c r="M13" s="122" t="s">
        <v>327</v>
      </c>
      <c r="N13" s="139">
        <f t="shared" si="3"/>
        <v>8.4316600688877585E-2</v>
      </c>
      <c r="O13" s="248"/>
      <c r="P13" s="247"/>
    </row>
    <row r="14" spans="1:16" s="55" customFormat="1" x14ac:dyDescent="0.25">
      <c r="B14" s="120" t="s">
        <v>2</v>
      </c>
      <c r="C14" s="120" t="str">
        <f t="shared" si="2"/>
        <v>All</v>
      </c>
      <c r="D14" s="120"/>
      <c r="E14" s="120"/>
      <c r="F14" s="120"/>
      <c r="G14" s="120" t="s">
        <v>74</v>
      </c>
      <c r="H14" s="120" t="s">
        <v>47</v>
      </c>
      <c r="I14" s="228">
        <v>7.54</v>
      </c>
      <c r="J14" s="228">
        <v>6.1170426505850894</v>
      </c>
      <c r="K14" s="121" t="s">
        <v>44</v>
      </c>
      <c r="L14" s="122" t="s">
        <v>254</v>
      </c>
      <c r="M14" s="122" t="s">
        <v>328</v>
      </c>
      <c r="N14" s="139">
        <f t="shared" si="1"/>
        <v>-0.18872113387465661</v>
      </c>
      <c r="O14" s="248"/>
      <c r="P14" s="247"/>
    </row>
    <row r="15" spans="1:16" s="55" customFormat="1" x14ac:dyDescent="0.25">
      <c r="B15" s="120" t="s">
        <v>2</v>
      </c>
      <c r="C15" s="120" t="str">
        <f t="shared" si="2"/>
        <v>All</v>
      </c>
      <c r="D15" s="120"/>
      <c r="E15" s="120"/>
      <c r="F15" s="120"/>
      <c r="G15" s="120" t="s">
        <v>75</v>
      </c>
      <c r="H15" s="120" t="s">
        <v>47</v>
      </c>
      <c r="I15" s="228">
        <v>7.85</v>
      </c>
      <c r="J15" s="228">
        <v>5.1359999999999992</v>
      </c>
      <c r="K15" s="121" t="s">
        <v>44</v>
      </c>
      <c r="L15" s="122" t="s">
        <v>255</v>
      </c>
      <c r="M15" s="122" t="s">
        <v>328</v>
      </c>
      <c r="N15" s="139">
        <f t="shared" si="1"/>
        <v>-0.3457324840764332</v>
      </c>
      <c r="O15" s="248"/>
      <c r="P15" s="247"/>
    </row>
    <row r="16" spans="1:16" s="55" customFormat="1" x14ac:dyDescent="0.25">
      <c r="B16" s="120" t="s">
        <v>2</v>
      </c>
      <c r="C16" s="120" t="str">
        <f t="shared" si="2"/>
        <v>All</v>
      </c>
      <c r="D16" s="120"/>
      <c r="E16" s="120"/>
      <c r="F16" s="120"/>
      <c r="G16" s="120" t="s">
        <v>76</v>
      </c>
      <c r="H16" s="120" t="s">
        <v>47</v>
      </c>
      <c r="I16" s="228">
        <v>2.71</v>
      </c>
      <c r="J16" s="228">
        <v>2.1292191637289464</v>
      </c>
      <c r="K16" s="121" t="s">
        <v>44</v>
      </c>
      <c r="L16" s="122" t="s">
        <v>256</v>
      </c>
      <c r="M16" s="122" t="s">
        <v>329</v>
      </c>
      <c r="N16" s="139">
        <f t="shared" si="1"/>
        <v>-0.21431027168673566</v>
      </c>
      <c r="O16" s="248"/>
      <c r="P16" s="247"/>
    </row>
    <row r="17" spans="2:16" s="55" customFormat="1" x14ac:dyDescent="0.25">
      <c r="B17" s="120" t="s">
        <v>2</v>
      </c>
      <c r="C17" s="120" t="str">
        <f t="shared" ref="C17" si="5">IF(D17="","All",D17&amp;" "&amp;E17)</f>
        <v>All</v>
      </c>
      <c r="D17" s="120"/>
      <c r="E17" s="120"/>
      <c r="F17" s="120"/>
      <c r="G17" s="120" t="s">
        <v>164</v>
      </c>
      <c r="H17" s="120" t="s">
        <v>47</v>
      </c>
      <c r="I17" s="228">
        <v>0.71</v>
      </c>
      <c r="J17" s="228">
        <v>1.8634456011480964</v>
      </c>
      <c r="K17" s="121" t="s">
        <v>44</v>
      </c>
      <c r="L17" s="122" t="s">
        <v>257</v>
      </c>
      <c r="M17" s="122" t="s">
        <v>335</v>
      </c>
      <c r="N17" s="139">
        <f t="shared" ref="N17" si="6">IFERROR(IF(K17="%",J17-I17,J17/I17-1),"")</f>
        <v>1.6245712692226713</v>
      </c>
      <c r="O17" s="248"/>
      <c r="P17" s="247"/>
    </row>
    <row r="18" spans="2:16" s="55" customFormat="1" x14ac:dyDescent="0.25">
      <c r="B18" s="120" t="s">
        <v>2</v>
      </c>
      <c r="C18" s="120" t="str">
        <f t="shared" si="2"/>
        <v>Residential without CL</v>
      </c>
      <c r="D18" s="120" t="s">
        <v>6</v>
      </c>
      <c r="E18" s="120" t="s">
        <v>127</v>
      </c>
      <c r="F18" s="120" t="s">
        <v>19</v>
      </c>
      <c r="G18" s="120" t="s">
        <v>73</v>
      </c>
      <c r="H18" s="120" t="s">
        <v>47</v>
      </c>
      <c r="I18" s="313">
        <v>4.3999999999999997E-2</v>
      </c>
      <c r="J18" s="313">
        <v>4.4759199666666305E-2</v>
      </c>
      <c r="K18" s="121" t="s">
        <v>27</v>
      </c>
      <c r="L18" s="122" t="s">
        <v>266</v>
      </c>
      <c r="M18" s="122" t="s">
        <v>330</v>
      </c>
      <c r="N18" s="139">
        <f t="shared" si="1"/>
        <v>7.5919966666630756E-4</v>
      </c>
      <c r="O18" s="248"/>
      <c r="P18" s="247"/>
    </row>
    <row r="19" spans="2:16" s="55" customFormat="1" x14ac:dyDescent="0.25">
      <c r="B19" s="120" t="s">
        <v>2</v>
      </c>
      <c r="C19" s="120" t="str">
        <f t="shared" si="2"/>
        <v>Residential with CL</v>
      </c>
      <c r="D19" s="120" t="s">
        <v>6</v>
      </c>
      <c r="E19" s="120" t="s">
        <v>128</v>
      </c>
      <c r="F19" s="120" t="s">
        <v>14</v>
      </c>
      <c r="G19" s="120" t="s">
        <v>73</v>
      </c>
      <c r="H19" s="120" t="s">
        <v>47</v>
      </c>
      <c r="I19" s="313">
        <v>0.05</v>
      </c>
      <c r="J19" s="313">
        <v>4.4759199666666305E-2</v>
      </c>
      <c r="K19" s="121" t="s">
        <v>27</v>
      </c>
      <c r="L19" s="122" t="s">
        <v>266</v>
      </c>
      <c r="M19" s="122" t="s">
        <v>330</v>
      </c>
      <c r="N19" s="139">
        <f t="shared" si="1"/>
        <v>-5.2408003333336978E-3</v>
      </c>
      <c r="O19" s="248"/>
      <c r="P19" s="247"/>
    </row>
    <row r="20" spans="2:16" s="55" customFormat="1" x14ac:dyDescent="0.25">
      <c r="B20" s="120" t="s">
        <v>2</v>
      </c>
      <c r="C20" s="120" t="str">
        <f>IF(D20="","All",D20&amp;" "&amp;E20)</f>
        <v>Residential with CL</v>
      </c>
      <c r="D20" s="120" t="s">
        <v>6</v>
      </c>
      <c r="E20" s="120" t="s">
        <v>128</v>
      </c>
      <c r="F20" s="120" t="s">
        <v>15</v>
      </c>
      <c r="G20" s="120" t="s">
        <v>73</v>
      </c>
      <c r="H20" s="120" t="s">
        <v>47</v>
      </c>
      <c r="I20" s="313">
        <v>0.05</v>
      </c>
      <c r="J20" s="313">
        <v>4.4759199666666305E-2</v>
      </c>
      <c r="K20" s="121" t="s">
        <v>27</v>
      </c>
      <c r="L20" s="122" t="s">
        <v>266</v>
      </c>
      <c r="M20" s="122" t="s">
        <v>330</v>
      </c>
      <c r="N20" s="139">
        <f t="shared" si="1"/>
        <v>-5.2408003333336978E-3</v>
      </c>
      <c r="O20" s="248"/>
      <c r="P20" s="247"/>
    </row>
    <row r="21" spans="2:16" s="55" customFormat="1" x14ac:dyDescent="0.25">
      <c r="B21" s="120" t="s">
        <v>2</v>
      </c>
      <c r="C21" s="120" t="str">
        <f>IF(D21="","All",D21&amp;" "&amp;E21)</f>
        <v>Small business without CL</v>
      </c>
      <c r="D21" s="120" t="s">
        <v>13</v>
      </c>
      <c r="E21" s="120" t="s">
        <v>127</v>
      </c>
      <c r="F21" s="120" t="s">
        <v>19</v>
      </c>
      <c r="G21" s="120" t="s">
        <v>73</v>
      </c>
      <c r="H21" s="120" t="s">
        <v>47</v>
      </c>
      <c r="I21" s="313">
        <v>4.3999999999999997E-2</v>
      </c>
      <c r="J21" s="313">
        <v>4.4759199666666305E-2</v>
      </c>
      <c r="K21" s="121" t="s">
        <v>27</v>
      </c>
      <c r="L21" s="122" t="s">
        <v>266</v>
      </c>
      <c r="M21" s="122" t="s">
        <v>330</v>
      </c>
      <c r="N21" s="139">
        <f t="shared" si="1"/>
        <v>7.5919966666630756E-4</v>
      </c>
      <c r="O21" s="248"/>
      <c r="P21" s="247"/>
    </row>
    <row r="22" spans="2:16" s="55" customFormat="1" x14ac:dyDescent="0.25">
      <c r="B22" s="120" t="s">
        <v>2</v>
      </c>
      <c r="C22" s="120" t="s">
        <v>138</v>
      </c>
      <c r="D22" s="120" t="s">
        <v>6</v>
      </c>
      <c r="E22" s="120"/>
      <c r="F22" s="120"/>
      <c r="G22" s="120" t="s">
        <v>270</v>
      </c>
      <c r="H22" s="120" t="s">
        <v>46</v>
      </c>
      <c r="I22" s="228">
        <v>142</v>
      </c>
      <c r="J22" s="228">
        <v>186.09139457871049</v>
      </c>
      <c r="K22" s="121" t="s">
        <v>68</v>
      </c>
      <c r="L22" s="369" t="s">
        <v>244</v>
      </c>
      <c r="M22" s="380" t="s">
        <v>247</v>
      </c>
      <c r="N22" s="139">
        <f t="shared" ref="N22:N31" si="7">IFERROR(IF(K22="%",J22-I22,J22/I22-1),"")</f>
        <v>0.31050277872331322</v>
      </c>
      <c r="O22" s="248"/>
      <c r="P22" s="247"/>
    </row>
    <row r="23" spans="2:16" s="55" customFormat="1" x14ac:dyDescent="0.25">
      <c r="B23" s="120" t="s">
        <v>2</v>
      </c>
      <c r="C23" s="120" t="s">
        <v>139</v>
      </c>
      <c r="D23" s="120" t="s">
        <v>6</v>
      </c>
      <c r="E23" s="120"/>
      <c r="F23" s="120"/>
      <c r="G23" s="120" t="s">
        <v>270</v>
      </c>
      <c r="H23" s="120" t="s">
        <v>46</v>
      </c>
      <c r="I23" s="228">
        <v>142</v>
      </c>
      <c r="J23" s="228">
        <v>186.09139457871049</v>
      </c>
      <c r="K23" s="121" t="s">
        <v>68</v>
      </c>
      <c r="L23" s="369" t="s">
        <v>244</v>
      </c>
      <c r="M23" s="122" t="s">
        <v>247</v>
      </c>
      <c r="N23" s="139">
        <f t="shared" ref="N23:N26" si="8">IFERROR(IF(K23="%",J23-I23,J23/I23-1),"")</f>
        <v>0.31050277872331322</v>
      </c>
      <c r="O23" s="248"/>
      <c r="P23" s="247"/>
    </row>
    <row r="24" spans="2:16" s="55" customFormat="1" ht="15" customHeight="1" x14ac:dyDescent="0.25">
      <c r="B24" s="120" t="s">
        <v>2</v>
      </c>
      <c r="C24" s="120" t="s">
        <v>140</v>
      </c>
      <c r="D24" s="120" t="s">
        <v>13</v>
      </c>
      <c r="E24" s="120"/>
      <c r="F24" s="120"/>
      <c r="G24" s="120" t="s">
        <v>270</v>
      </c>
      <c r="H24" s="120" t="s">
        <v>46</v>
      </c>
      <c r="I24" s="228">
        <v>183</v>
      </c>
      <c r="J24" s="228">
        <v>252.45618972980961</v>
      </c>
      <c r="K24" s="121" t="s">
        <v>68</v>
      </c>
      <c r="L24" s="369" t="s">
        <v>245</v>
      </c>
      <c r="M24" s="122" t="s">
        <v>247</v>
      </c>
      <c r="N24" s="139">
        <f t="shared" si="8"/>
        <v>0.37954202038147322</v>
      </c>
      <c r="O24" s="248"/>
      <c r="P24" s="251"/>
    </row>
    <row r="25" spans="2:16" s="55" customFormat="1" x14ac:dyDescent="0.25">
      <c r="B25" s="120" t="s">
        <v>2</v>
      </c>
      <c r="C25" s="120" t="s">
        <v>138</v>
      </c>
      <c r="D25" s="120" t="s">
        <v>6</v>
      </c>
      <c r="E25" s="120"/>
      <c r="F25" s="120"/>
      <c r="G25" s="120" t="s">
        <v>277</v>
      </c>
      <c r="H25" s="120" t="s">
        <v>46</v>
      </c>
      <c r="I25" s="228">
        <v>37.950000000000003</v>
      </c>
      <c r="J25" s="228">
        <v>45.577390441413243</v>
      </c>
      <c r="K25" s="121" t="s">
        <v>68</v>
      </c>
      <c r="L25" s="122" t="s">
        <v>284</v>
      </c>
      <c r="M25" s="122" t="s">
        <v>285</v>
      </c>
      <c r="N25" s="139">
        <f t="shared" ref="N25" si="9">IFERROR(IF(K25="%",J25-I25,J25/I25-1),"")</f>
        <v>0.20098525537320788</v>
      </c>
      <c r="O25" s="248"/>
      <c r="P25" s="251"/>
    </row>
    <row r="26" spans="2:16" s="55" customFormat="1" x14ac:dyDescent="0.25">
      <c r="B26" s="120" t="s">
        <v>2</v>
      </c>
      <c r="C26" s="120" t="s">
        <v>139</v>
      </c>
      <c r="D26" s="120" t="s">
        <v>6</v>
      </c>
      <c r="E26" s="120"/>
      <c r="F26" s="120"/>
      <c r="G26" s="120" t="s">
        <v>277</v>
      </c>
      <c r="H26" s="120" t="s">
        <v>46</v>
      </c>
      <c r="I26" s="228">
        <v>37.950000000000003</v>
      </c>
      <c r="J26" s="228">
        <v>45.577390441413243</v>
      </c>
      <c r="K26" s="121" t="s">
        <v>68</v>
      </c>
      <c r="L26" s="122" t="s">
        <v>284</v>
      </c>
      <c r="M26" s="122" t="s">
        <v>285</v>
      </c>
      <c r="N26" s="139">
        <f t="shared" si="8"/>
        <v>0.20098525537320788</v>
      </c>
      <c r="O26" s="248"/>
      <c r="P26" s="251"/>
    </row>
    <row r="27" spans="2:16" s="55" customFormat="1" x14ac:dyDescent="0.25">
      <c r="B27" s="120" t="s">
        <v>2</v>
      </c>
      <c r="C27" s="120" t="s">
        <v>140</v>
      </c>
      <c r="D27" s="120" t="s">
        <v>13</v>
      </c>
      <c r="E27" s="120"/>
      <c r="F27" s="120"/>
      <c r="G27" s="120" t="s">
        <v>277</v>
      </c>
      <c r="H27" s="120" t="s">
        <v>46</v>
      </c>
      <c r="I27" s="228">
        <v>28.58</v>
      </c>
      <c r="J27" s="228">
        <v>28.10061422123151</v>
      </c>
      <c r="K27" s="121" t="s">
        <v>68</v>
      </c>
      <c r="L27" s="122" t="s">
        <v>284</v>
      </c>
      <c r="M27" s="122" t="s">
        <v>285</v>
      </c>
      <c r="N27" s="139">
        <f t="shared" si="7"/>
        <v>-1.6773470215832309E-2</v>
      </c>
      <c r="O27" s="248"/>
      <c r="P27" s="251"/>
    </row>
    <row r="28" spans="2:16" s="55" customFormat="1" x14ac:dyDescent="0.25">
      <c r="B28" s="120" t="s">
        <v>2</v>
      </c>
      <c r="C28" s="120" t="str">
        <f t="shared" ref="C28:C29" si="10">IF(D28="","All",D28&amp;" "&amp;E28)</f>
        <v xml:space="preserve">Residential </v>
      </c>
      <c r="D28" s="120" t="s">
        <v>6</v>
      </c>
      <c r="E28" s="120"/>
      <c r="F28" s="120"/>
      <c r="G28" s="120" t="s">
        <v>207</v>
      </c>
      <c r="H28" s="120" t="s">
        <v>46</v>
      </c>
      <c r="I28" s="228">
        <v>0.66</v>
      </c>
      <c r="J28" s="228">
        <v>1.6463360479383711</v>
      </c>
      <c r="K28" s="121" t="s">
        <v>68</v>
      </c>
      <c r="L28" s="122" t="s">
        <v>284</v>
      </c>
      <c r="M28" s="122" t="s">
        <v>285</v>
      </c>
      <c r="N28" s="139">
        <f t="shared" si="7"/>
        <v>1.4944485574823805</v>
      </c>
      <c r="O28" s="248"/>
      <c r="P28" s="251"/>
    </row>
    <row r="29" spans="2:16" s="55" customFormat="1" x14ac:dyDescent="0.25">
      <c r="B29" s="120" t="s">
        <v>2</v>
      </c>
      <c r="C29" s="120" t="str">
        <f t="shared" si="10"/>
        <v xml:space="preserve">Small business </v>
      </c>
      <c r="D29" s="120" t="s">
        <v>13</v>
      </c>
      <c r="E29" s="120"/>
      <c r="F29" s="120"/>
      <c r="G29" s="120" t="s">
        <v>207</v>
      </c>
      <c r="H29" s="120" t="s">
        <v>46</v>
      </c>
      <c r="I29" s="228">
        <v>0.33</v>
      </c>
      <c r="J29" s="228">
        <v>1.944522213723721</v>
      </c>
      <c r="K29" s="121" t="s">
        <v>68</v>
      </c>
      <c r="L29" s="122" t="s">
        <v>284</v>
      </c>
      <c r="M29" s="122" t="s">
        <v>285</v>
      </c>
      <c r="N29" s="139">
        <f t="shared" si="7"/>
        <v>4.8924915567385483</v>
      </c>
      <c r="O29" s="248"/>
      <c r="P29" s="251"/>
    </row>
    <row r="30" spans="2:16" s="55" customFormat="1" x14ac:dyDescent="0.25">
      <c r="B30" s="120" t="s">
        <v>2</v>
      </c>
      <c r="C30" s="120" t="str">
        <f t="shared" ref="C30:C31" si="11">IF(D30="","All",D30&amp;" "&amp;E30)</f>
        <v xml:space="preserve">Residential </v>
      </c>
      <c r="D30" s="120" t="s">
        <v>6</v>
      </c>
      <c r="E30" s="120"/>
      <c r="F30" s="120"/>
      <c r="G30" s="120" t="s">
        <v>167</v>
      </c>
      <c r="H30" s="120" t="s">
        <v>46</v>
      </c>
      <c r="I30" s="228">
        <v>30</v>
      </c>
      <c r="J30" s="228">
        <v>35.525753173047072</v>
      </c>
      <c r="K30" s="121" t="s">
        <v>68</v>
      </c>
      <c r="L30" s="122" t="s">
        <v>250</v>
      </c>
      <c r="M30" s="381" t="s">
        <v>247</v>
      </c>
      <c r="N30" s="139">
        <f t="shared" si="7"/>
        <v>0.18419177243490248</v>
      </c>
      <c r="O30" s="248"/>
      <c r="P30" s="251"/>
    </row>
    <row r="31" spans="2:16" s="172" customFormat="1" x14ac:dyDescent="0.25">
      <c r="B31" s="168" t="s">
        <v>2</v>
      </c>
      <c r="C31" s="168" t="str">
        <f t="shared" si="11"/>
        <v xml:space="preserve">Small business </v>
      </c>
      <c r="D31" s="168" t="s">
        <v>13</v>
      </c>
      <c r="E31" s="168"/>
      <c r="F31" s="168"/>
      <c r="G31" s="168" t="s">
        <v>167</v>
      </c>
      <c r="H31" s="168" t="s">
        <v>46</v>
      </c>
      <c r="I31" s="229">
        <v>65</v>
      </c>
      <c r="J31" s="229">
        <v>80.485123659685812</v>
      </c>
      <c r="K31" s="169" t="s">
        <v>68</v>
      </c>
      <c r="L31" s="170" t="s">
        <v>250</v>
      </c>
      <c r="M31" s="382" t="s">
        <v>247</v>
      </c>
      <c r="N31" s="171">
        <f t="shared" si="7"/>
        <v>0.23823267168747408</v>
      </c>
      <c r="O31" s="250"/>
      <c r="P31" s="252"/>
    </row>
    <row r="32" spans="2:16" s="55" customFormat="1" x14ac:dyDescent="0.25">
      <c r="B32" s="120" t="s">
        <v>4</v>
      </c>
      <c r="C32" s="120" t="str">
        <f t="shared" si="2"/>
        <v>Residential without CL</v>
      </c>
      <c r="D32" s="120" t="s">
        <v>6</v>
      </c>
      <c r="E32" s="120" t="s">
        <v>127</v>
      </c>
      <c r="F32" s="120" t="s">
        <v>19</v>
      </c>
      <c r="G32" s="120" t="s">
        <v>70</v>
      </c>
      <c r="H32" s="120" t="s">
        <v>47</v>
      </c>
      <c r="I32" s="228">
        <v>161.28</v>
      </c>
      <c r="J32" s="228">
        <v>167.4675</v>
      </c>
      <c r="K32" s="121" t="s">
        <v>44</v>
      </c>
      <c r="L32" s="122" t="s">
        <v>253</v>
      </c>
      <c r="M32" s="122" t="s">
        <v>306</v>
      </c>
      <c r="N32" s="139">
        <f t="shared" si="1"/>
        <v>3.8364955357142794E-2</v>
      </c>
      <c r="P32" s="247"/>
    </row>
    <row r="33" spans="2:16" s="55" customFormat="1" x14ac:dyDescent="0.25">
      <c r="B33" s="120" t="s">
        <v>4</v>
      </c>
      <c r="C33" s="120" t="str">
        <f t="shared" si="2"/>
        <v>Residential with CL</v>
      </c>
      <c r="D33" s="120" t="s">
        <v>6</v>
      </c>
      <c r="E33" s="120" t="s">
        <v>128</v>
      </c>
      <c r="F33" s="120" t="s">
        <v>14</v>
      </c>
      <c r="G33" s="120" t="s">
        <v>70</v>
      </c>
      <c r="H33" s="120" t="s">
        <v>47</v>
      </c>
      <c r="I33" s="228">
        <v>99.07</v>
      </c>
      <c r="J33" s="228">
        <v>118.46</v>
      </c>
      <c r="K33" s="121" t="s">
        <v>44</v>
      </c>
      <c r="L33" s="122" t="s">
        <v>253</v>
      </c>
      <c r="M33" s="122" t="s">
        <v>306</v>
      </c>
      <c r="N33" s="139">
        <f t="shared" si="1"/>
        <v>0.19572019783991124</v>
      </c>
      <c r="P33" s="247"/>
    </row>
    <row r="34" spans="2:16" s="55" customFormat="1" x14ac:dyDescent="0.25">
      <c r="B34" s="120" t="s">
        <v>4</v>
      </c>
      <c r="C34" s="120" t="str">
        <f t="shared" si="2"/>
        <v>Residential with CL</v>
      </c>
      <c r="D34" s="120" t="s">
        <v>6</v>
      </c>
      <c r="E34" s="120" t="s">
        <v>128</v>
      </c>
      <c r="F34" s="120" t="s">
        <v>15</v>
      </c>
      <c r="G34" s="120" t="s">
        <v>70</v>
      </c>
      <c r="H34" s="120" t="s">
        <v>47</v>
      </c>
      <c r="I34" s="228">
        <v>99.07</v>
      </c>
      <c r="J34" s="228">
        <v>118.46</v>
      </c>
      <c r="K34" s="121" t="s">
        <v>44</v>
      </c>
      <c r="L34" s="122" t="s">
        <v>253</v>
      </c>
      <c r="M34" s="122" t="s">
        <v>306</v>
      </c>
      <c r="N34" s="139">
        <f t="shared" si="1"/>
        <v>0.19572019783991124</v>
      </c>
      <c r="P34" s="247"/>
    </row>
    <row r="35" spans="2:16" s="55" customFormat="1" x14ac:dyDescent="0.25">
      <c r="B35" s="120" t="s">
        <v>4</v>
      </c>
      <c r="C35" s="120" t="str">
        <f t="shared" si="2"/>
        <v>Small business without CL</v>
      </c>
      <c r="D35" s="120" t="s">
        <v>13</v>
      </c>
      <c r="E35" s="120" t="s">
        <v>127</v>
      </c>
      <c r="F35" s="120" t="s">
        <v>19</v>
      </c>
      <c r="G35" s="120" t="s">
        <v>70</v>
      </c>
      <c r="H35" s="120" t="s">
        <v>47</v>
      </c>
      <c r="I35" s="228">
        <v>161.28</v>
      </c>
      <c r="J35" s="228">
        <v>167.4675</v>
      </c>
      <c r="K35" s="121" t="s">
        <v>44</v>
      </c>
      <c r="L35" s="122" t="s">
        <v>253</v>
      </c>
      <c r="M35" s="122" t="s">
        <v>306</v>
      </c>
      <c r="N35" s="139">
        <f t="shared" si="1"/>
        <v>3.8364955357142794E-2</v>
      </c>
      <c r="P35" s="247"/>
    </row>
    <row r="36" spans="2:16" s="55" customFormat="1" x14ac:dyDescent="0.25">
      <c r="B36" s="120" t="s">
        <v>4</v>
      </c>
      <c r="C36" s="120" t="str">
        <f t="shared" si="2"/>
        <v>All</v>
      </c>
      <c r="D36" s="120"/>
      <c r="E36" s="120"/>
      <c r="F36" s="120"/>
      <c r="G36" s="120" t="s">
        <v>71</v>
      </c>
      <c r="H36" s="120" t="s">
        <v>47</v>
      </c>
      <c r="I36" s="228">
        <v>0.25</v>
      </c>
      <c r="J36" s="228">
        <v>0.15378802592718904</v>
      </c>
      <c r="K36" s="121" t="s">
        <v>44</v>
      </c>
      <c r="L36" s="122" t="s">
        <v>259</v>
      </c>
      <c r="M36" s="122" t="s">
        <v>324</v>
      </c>
      <c r="N36" s="139">
        <f t="shared" si="1"/>
        <v>-0.38484789629124383</v>
      </c>
      <c r="P36" s="247"/>
    </row>
    <row r="37" spans="2:16" s="55" customFormat="1" x14ac:dyDescent="0.25">
      <c r="B37" s="120" t="s">
        <v>4</v>
      </c>
      <c r="C37" s="120" t="str">
        <f t="shared" si="2"/>
        <v>All</v>
      </c>
      <c r="D37" s="120"/>
      <c r="E37" s="120"/>
      <c r="F37" s="120"/>
      <c r="G37" s="120" t="s">
        <v>78</v>
      </c>
      <c r="H37" s="120" t="s">
        <v>47</v>
      </c>
      <c r="I37" s="228">
        <v>0.50409000000000004</v>
      </c>
      <c r="J37" s="228">
        <v>0.57443</v>
      </c>
      <c r="K37" s="121" t="s">
        <v>44</v>
      </c>
      <c r="L37" s="122" t="s">
        <v>258</v>
      </c>
      <c r="M37" s="122" t="s">
        <v>325</v>
      </c>
      <c r="N37" s="139">
        <f t="shared" si="1"/>
        <v>0.13953857446090967</v>
      </c>
      <c r="P37" s="247"/>
    </row>
    <row r="38" spans="2:16" s="55" customFormat="1" x14ac:dyDescent="0.25">
      <c r="B38" s="120" t="str">
        <f>+B37</f>
        <v>Endeavour</v>
      </c>
      <c r="C38" s="120" t="str">
        <f t="shared" ref="C38" si="12">IF(D38="","All",D38&amp;" "&amp;E38)</f>
        <v>All</v>
      </c>
      <c r="D38" s="120"/>
      <c r="E38" s="120"/>
      <c r="F38" s="120"/>
      <c r="G38" s="120" t="s">
        <v>78</v>
      </c>
      <c r="H38" s="120" t="s">
        <v>46</v>
      </c>
      <c r="I38" s="228">
        <v>0.22833000000000001</v>
      </c>
      <c r="J38" s="228">
        <v>0.26533344915475288</v>
      </c>
      <c r="K38" s="121" t="s">
        <v>45</v>
      </c>
      <c r="L38" s="122" t="s">
        <v>258</v>
      </c>
      <c r="M38" s="122" t="s">
        <v>325</v>
      </c>
      <c r="N38" s="139">
        <f t="shared" ref="N38:N40" si="13">IFERROR(IF(K38="%",J38-I38,J38/I38-1),"")</f>
        <v>0.162061267265593</v>
      </c>
      <c r="O38" s="248"/>
      <c r="P38" s="247"/>
    </row>
    <row r="39" spans="2:16" s="55" customFormat="1" x14ac:dyDescent="0.25">
      <c r="B39" s="120" t="s">
        <v>4</v>
      </c>
      <c r="C39" s="120" t="str">
        <f t="shared" si="2"/>
        <v>All</v>
      </c>
      <c r="D39" s="120"/>
      <c r="E39" s="120"/>
      <c r="F39" s="120"/>
      <c r="G39" s="120" t="s">
        <v>72</v>
      </c>
      <c r="H39" s="120" t="s">
        <v>47</v>
      </c>
      <c r="I39" s="228">
        <v>0</v>
      </c>
      <c r="J39" s="228">
        <v>5.2786233739509421E-2</v>
      </c>
      <c r="K39" s="121" t="s">
        <v>44</v>
      </c>
      <c r="L39" s="122" t="s">
        <v>262</v>
      </c>
      <c r="M39" s="122" t="s">
        <v>331</v>
      </c>
      <c r="N39" s="139" t="str">
        <f t="shared" si="13"/>
        <v/>
      </c>
      <c r="P39" s="247"/>
    </row>
    <row r="40" spans="2:16" s="55" customFormat="1" x14ac:dyDescent="0.25">
      <c r="B40" s="120" t="s">
        <v>4</v>
      </c>
      <c r="C40" s="120" t="str">
        <f t="shared" si="2"/>
        <v>All</v>
      </c>
      <c r="D40" s="120"/>
      <c r="E40" s="120"/>
      <c r="F40" s="120"/>
      <c r="G40" s="120" t="s">
        <v>189</v>
      </c>
      <c r="H40" s="120" t="s">
        <v>47</v>
      </c>
      <c r="I40" s="228">
        <v>0</v>
      </c>
      <c r="J40" s="228">
        <v>0.11507709849820914</v>
      </c>
      <c r="K40" s="121" t="s">
        <v>44</v>
      </c>
      <c r="L40" s="122" t="s">
        <v>262</v>
      </c>
      <c r="M40" s="122" t="s">
        <v>331</v>
      </c>
      <c r="N40" s="139" t="str">
        <f t="shared" si="13"/>
        <v/>
      </c>
      <c r="P40" s="247"/>
    </row>
    <row r="41" spans="2:16" s="55" customFormat="1" x14ac:dyDescent="0.25">
      <c r="B41" s="120" t="s">
        <v>4</v>
      </c>
      <c r="C41" s="120" t="str">
        <f t="shared" si="2"/>
        <v>All</v>
      </c>
      <c r="D41" s="120"/>
      <c r="E41" s="120"/>
      <c r="F41" s="120"/>
      <c r="G41" s="120" t="s">
        <v>135</v>
      </c>
      <c r="H41" s="120" t="s">
        <v>47</v>
      </c>
      <c r="I41" s="228">
        <v>2.93</v>
      </c>
      <c r="J41" s="228">
        <v>3.1348835402205433</v>
      </c>
      <c r="K41" s="121" t="s">
        <v>44</v>
      </c>
      <c r="L41" s="122" t="s">
        <v>260</v>
      </c>
      <c r="M41" s="122" t="s">
        <v>327</v>
      </c>
      <c r="N41" s="139">
        <f t="shared" si="1"/>
        <v>6.9926122942164826E-2</v>
      </c>
      <c r="P41" s="247"/>
    </row>
    <row r="42" spans="2:16" s="55" customFormat="1" x14ac:dyDescent="0.25">
      <c r="B42" s="120" t="s">
        <v>4</v>
      </c>
      <c r="C42" s="120" t="str">
        <f t="shared" si="2"/>
        <v>All</v>
      </c>
      <c r="D42" s="120"/>
      <c r="E42" s="120"/>
      <c r="F42" s="120"/>
      <c r="G42" s="120" t="s">
        <v>74</v>
      </c>
      <c r="H42" s="120" t="s">
        <v>47</v>
      </c>
      <c r="I42" s="228">
        <v>7.54</v>
      </c>
      <c r="J42" s="228">
        <v>6.1170426505850894</v>
      </c>
      <c r="K42" s="121" t="s">
        <v>44</v>
      </c>
      <c r="L42" s="122" t="s">
        <v>254</v>
      </c>
      <c r="M42" s="122" t="s">
        <v>328</v>
      </c>
      <c r="N42" s="139">
        <f t="shared" si="1"/>
        <v>-0.18872113387465661</v>
      </c>
      <c r="P42" s="247"/>
    </row>
    <row r="43" spans="2:16" s="55" customFormat="1" x14ac:dyDescent="0.25">
      <c r="B43" s="120" t="s">
        <v>4</v>
      </c>
      <c r="C43" s="120" t="str">
        <f t="shared" si="2"/>
        <v>All</v>
      </c>
      <c r="D43" s="120"/>
      <c r="E43" s="120"/>
      <c r="F43" s="120"/>
      <c r="G43" s="120" t="s">
        <v>75</v>
      </c>
      <c r="H43" s="120" t="s">
        <v>47</v>
      </c>
      <c r="I43" s="228">
        <v>7.85</v>
      </c>
      <c r="J43" s="228">
        <v>5.1359999999999992</v>
      </c>
      <c r="K43" s="121" t="s">
        <v>44</v>
      </c>
      <c r="L43" s="122" t="s">
        <v>255</v>
      </c>
      <c r="M43" s="122" t="s">
        <v>328</v>
      </c>
      <c r="N43" s="139">
        <f t="shared" si="1"/>
        <v>-0.3457324840764332</v>
      </c>
      <c r="P43" s="247"/>
    </row>
    <row r="44" spans="2:16" s="55" customFormat="1" x14ac:dyDescent="0.25">
      <c r="B44" s="120" t="s">
        <v>4</v>
      </c>
      <c r="C44" s="120" t="str">
        <f t="shared" si="2"/>
        <v>All</v>
      </c>
      <c r="D44" s="120"/>
      <c r="E44" s="120"/>
      <c r="F44" s="120"/>
      <c r="G44" s="120" t="s">
        <v>76</v>
      </c>
      <c r="H44" s="120" t="s">
        <v>47</v>
      </c>
      <c r="I44" s="228">
        <v>2.71</v>
      </c>
      <c r="J44" s="228">
        <v>2.1292191637289464</v>
      </c>
      <c r="K44" s="121" t="s">
        <v>44</v>
      </c>
      <c r="L44" s="122" t="s">
        <v>256</v>
      </c>
      <c r="M44" s="122" t="s">
        <v>329</v>
      </c>
      <c r="N44" s="139">
        <f t="shared" si="1"/>
        <v>-0.21431027168673566</v>
      </c>
      <c r="P44" s="247"/>
    </row>
    <row r="45" spans="2:16" s="55" customFormat="1" x14ac:dyDescent="0.25">
      <c r="B45" s="120" t="s">
        <v>4</v>
      </c>
      <c r="C45" s="120" t="str">
        <f t="shared" ref="C45" si="14">IF(D45="","All",D45&amp;" "&amp;E45)</f>
        <v>All</v>
      </c>
      <c r="D45" s="120"/>
      <c r="E45" s="120"/>
      <c r="F45" s="120"/>
      <c r="G45" s="120" t="s">
        <v>164</v>
      </c>
      <c r="H45" s="120" t="s">
        <v>47</v>
      </c>
      <c r="I45" s="228">
        <v>0.71</v>
      </c>
      <c r="J45" s="228">
        <v>1.8634456011480964</v>
      </c>
      <c r="K45" s="121" t="s">
        <v>44</v>
      </c>
      <c r="L45" s="122" t="s">
        <v>257</v>
      </c>
      <c r="M45" s="122" t="s">
        <v>335</v>
      </c>
      <c r="N45" s="139">
        <f t="shared" ref="N45" si="15">IFERROR(IF(K45="%",J45-I45,J45/I45-1),"")</f>
        <v>1.6245712692226713</v>
      </c>
      <c r="P45" s="247"/>
    </row>
    <row r="46" spans="2:16" s="55" customFormat="1" x14ac:dyDescent="0.25">
      <c r="B46" s="120" t="s">
        <v>4</v>
      </c>
      <c r="C46" s="120" t="str">
        <f t="shared" si="2"/>
        <v>Residential without CL</v>
      </c>
      <c r="D46" s="120" t="s">
        <v>6</v>
      </c>
      <c r="E46" s="120" t="s">
        <v>127</v>
      </c>
      <c r="F46" s="120" t="s">
        <v>19</v>
      </c>
      <c r="G46" s="120" t="s">
        <v>73</v>
      </c>
      <c r="H46" s="120" t="s">
        <v>47</v>
      </c>
      <c r="I46" s="313">
        <v>5.2999999999999999E-2</v>
      </c>
      <c r="J46" s="313">
        <v>6.3681200000000215E-2</v>
      </c>
      <c r="K46" s="121" t="s">
        <v>27</v>
      </c>
      <c r="L46" s="122" t="s">
        <v>266</v>
      </c>
      <c r="M46" s="122" t="s">
        <v>330</v>
      </c>
      <c r="N46" s="139">
        <f t="shared" si="1"/>
        <v>1.0681200000000217E-2</v>
      </c>
      <c r="P46" s="247"/>
    </row>
    <row r="47" spans="2:16" s="55" customFormat="1" x14ac:dyDescent="0.25">
      <c r="B47" s="120" t="s">
        <v>4</v>
      </c>
      <c r="C47" s="120" t="str">
        <f>IF(D47="","All",D47&amp;" "&amp;E47)</f>
        <v>Residential with CL</v>
      </c>
      <c r="D47" s="120" t="s">
        <v>6</v>
      </c>
      <c r="E47" s="120" t="s">
        <v>128</v>
      </c>
      <c r="F47" s="120" t="s">
        <v>14</v>
      </c>
      <c r="G47" s="120" t="s">
        <v>73</v>
      </c>
      <c r="H47" s="120" t="s">
        <v>47</v>
      </c>
      <c r="I47" s="313">
        <v>5.2999999999999999E-2</v>
      </c>
      <c r="J47" s="313">
        <v>6.3681200000000215E-2</v>
      </c>
      <c r="K47" s="121" t="s">
        <v>27</v>
      </c>
      <c r="L47" s="122" t="s">
        <v>266</v>
      </c>
      <c r="M47" s="122" t="s">
        <v>330</v>
      </c>
      <c r="N47" s="139">
        <f t="shared" si="1"/>
        <v>1.0681200000000217E-2</v>
      </c>
      <c r="P47" s="247"/>
    </row>
    <row r="48" spans="2:16" s="55" customFormat="1" x14ac:dyDescent="0.25">
      <c r="B48" s="120" t="s">
        <v>4</v>
      </c>
      <c r="C48" s="120" t="str">
        <f>IF(D48="","All",D48&amp;" "&amp;E48)</f>
        <v>Residential with CL</v>
      </c>
      <c r="D48" s="120" t="s">
        <v>6</v>
      </c>
      <c r="E48" s="120" t="s">
        <v>128</v>
      </c>
      <c r="F48" s="120" t="s">
        <v>15</v>
      </c>
      <c r="G48" s="120" t="s">
        <v>73</v>
      </c>
      <c r="H48" s="120" t="s">
        <v>47</v>
      </c>
      <c r="I48" s="313">
        <v>5.2999999999999999E-2</v>
      </c>
      <c r="J48" s="313">
        <v>6.3681200000000215E-2</v>
      </c>
      <c r="K48" s="121" t="s">
        <v>27</v>
      </c>
      <c r="L48" s="122" t="s">
        <v>266</v>
      </c>
      <c r="M48" s="122" t="s">
        <v>330</v>
      </c>
      <c r="N48" s="139">
        <f t="shared" si="1"/>
        <v>1.0681200000000217E-2</v>
      </c>
      <c r="P48" s="247"/>
    </row>
    <row r="49" spans="2:17" s="55" customFormat="1" x14ac:dyDescent="0.25">
      <c r="B49" s="120" t="s">
        <v>4</v>
      </c>
      <c r="C49" s="120" t="str">
        <f>IF(D49="","All",D49&amp;" "&amp;E49)</f>
        <v>Small business without CL</v>
      </c>
      <c r="D49" s="120" t="s">
        <v>13</v>
      </c>
      <c r="E49" s="120" t="s">
        <v>127</v>
      </c>
      <c r="F49" s="120" t="s">
        <v>19</v>
      </c>
      <c r="G49" s="120" t="s">
        <v>73</v>
      </c>
      <c r="H49" s="120" t="s">
        <v>47</v>
      </c>
      <c r="I49" s="313">
        <v>5.2999999999999999E-2</v>
      </c>
      <c r="J49" s="313">
        <v>6.3681200000000215E-2</v>
      </c>
      <c r="K49" s="121" t="s">
        <v>27</v>
      </c>
      <c r="L49" s="122" t="s">
        <v>266</v>
      </c>
      <c r="M49" s="122" t="s">
        <v>330</v>
      </c>
      <c r="N49" s="139">
        <f t="shared" si="1"/>
        <v>1.0681200000000217E-2</v>
      </c>
      <c r="P49" s="247"/>
    </row>
    <row r="50" spans="2:17" s="55" customFormat="1" x14ac:dyDescent="0.25">
      <c r="B50" s="120" t="s">
        <v>4</v>
      </c>
      <c r="C50" s="120" t="s">
        <v>138</v>
      </c>
      <c r="D50" s="120" t="s">
        <v>6</v>
      </c>
      <c r="E50" s="120"/>
      <c r="F50" s="120"/>
      <c r="G50" s="120" t="s">
        <v>270</v>
      </c>
      <c r="H50" s="120" t="s">
        <v>46</v>
      </c>
      <c r="I50" s="228">
        <v>142</v>
      </c>
      <c r="J50" s="228">
        <v>186.09139457871049</v>
      </c>
      <c r="K50" s="121" t="s">
        <v>68</v>
      </c>
      <c r="L50" s="369" t="s">
        <v>244</v>
      </c>
      <c r="M50" s="122" t="s">
        <v>247</v>
      </c>
      <c r="N50" s="139">
        <f t="shared" si="1"/>
        <v>0.31050277872331322</v>
      </c>
    </row>
    <row r="51" spans="2:17" s="55" customFormat="1" x14ac:dyDescent="0.25">
      <c r="B51" s="120" t="s">
        <v>4</v>
      </c>
      <c r="C51" s="120" t="s">
        <v>139</v>
      </c>
      <c r="D51" s="120" t="s">
        <v>6</v>
      </c>
      <c r="E51" s="120"/>
      <c r="F51" s="120"/>
      <c r="G51" s="120" t="s">
        <v>270</v>
      </c>
      <c r="H51" s="120" t="s">
        <v>46</v>
      </c>
      <c r="I51" s="228">
        <v>142</v>
      </c>
      <c r="J51" s="228">
        <v>186.09139457871049</v>
      </c>
      <c r="K51" s="121" t="s">
        <v>68</v>
      </c>
      <c r="L51" s="369" t="s">
        <v>244</v>
      </c>
      <c r="M51" s="122" t="s">
        <v>247</v>
      </c>
      <c r="N51" s="139">
        <f t="shared" si="1"/>
        <v>0.31050277872331322</v>
      </c>
    </row>
    <row r="52" spans="2:17" s="55" customFormat="1" x14ac:dyDescent="0.25">
      <c r="B52" s="120" t="s">
        <v>4</v>
      </c>
      <c r="C52" s="120" t="s">
        <v>140</v>
      </c>
      <c r="D52" s="120" t="s">
        <v>13</v>
      </c>
      <c r="E52" s="120"/>
      <c r="F52" s="120"/>
      <c r="G52" s="120" t="s">
        <v>270</v>
      </c>
      <c r="H52" s="120" t="s">
        <v>46</v>
      </c>
      <c r="I52" s="228">
        <v>183</v>
      </c>
      <c r="J52" s="228">
        <v>252.45618972980961</v>
      </c>
      <c r="K52" s="121" t="s">
        <v>68</v>
      </c>
      <c r="L52" s="369" t="s">
        <v>246</v>
      </c>
      <c r="M52" s="122" t="s">
        <v>248</v>
      </c>
      <c r="N52" s="139">
        <f t="shared" si="1"/>
        <v>0.37954202038147322</v>
      </c>
    </row>
    <row r="53" spans="2:17" s="55" customFormat="1" x14ac:dyDescent="0.25">
      <c r="B53" s="120" t="s">
        <v>4</v>
      </c>
      <c r="C53" s="120" t="s">
        <v>138</v>
      </c>
      <c r="D53" s="120" t="s">
        <v>6</v>
      </c>
      <c r="E53" s="120"/>
      <c r="F53" s="120"/>
      <c r="G53" s="120" t="s">
        <v>277</v>
      </c>
      <c r="H53" s="120" t="s">
        <v>46</v>
      </c>
      <c r="I53" s="228">
        <v>55.61</v>
      </c>
      <c r="J53" s="228">
        <v>72.359052830514813</v>
      </c>
      <c r="K53" s="121" t="s">
        <v>68</v>
      </c>
      <c r="L53" s="122" t="s">
        <v>284</v>
      </c>
      <c r="M53" s="122" t="s">
        <v>285</v>
      </c>
      <c r="N53" s="139">
        <f t="shared" si="1"/>
        <v>0.30118778691808701</v>
      </c>
    </row>
    <row r="54" spans="2:17" s="55" customFormat="1" x14ac:dyDescent="0.25">
      <c r="B54" s="120" t="s">
        <v>4</v>
      </c>
      <c r="C54" s="120" t="s">
        <v>139</v>
      </c>
      <c r="D54" s="120" t="s">
        <v>6</v>
      </c>
      <c r="E54" s="120"/>
      <c r="F54" s="120"/>
      <c r="G54" s="120" t="s">
        <v>277</v>
      </c>
      <c r="H54" s="120" t="s">
        <v>46</v>
      </c>
      <c r="I54" s="228">
        <v>55.61</v>
      </c>
      <c r="J54" s="228">
        <v>72.359052830514813</v>
      </c>
      <c r="K54" s="121" t="s">
        <v>68</v>
      </c>
      <c r="L54" s="122" t="s">
        <v>284</v>
      </c>
      <c r="M54" s="122" t="s">
        <v>285</v>
      </c>
      <c r="N54" s="139">
        <f t="shared" si="1"/>
        <v>0.30118778691808701</v>
      </c>
    </row>
    <row r="55" spans="2:17" s="55" customFormat="1" x14ac:dyDescent="0.25">
      <c r="B55" s="120" t="s">
        <v>4</v>
      </c>
      <c r="C55" s="120" t="s">
        <v>140</v>
      </c>
      <c r="D55" s="120" t="s">
        <v>13</v>
      </c>
      <c r="E55" s="120"/>
      <c r="F55" s="120"/>
      <c r="G55" s="120" t="s">
        <v>277</v>
      </c>
      <c r="H55" s="120" t="s">
        <v>46</v>
      </c>
      <c r="I55" s="228">
        <v>39.76</v>
      </c>
      <c r="J55" s="228">
        <v>52.298151831253932</v>
      </c>
      <c r="K55" s="121" t="s">
        <v>68</v>
      </c>
      <c r="L55" s="122" t="s">
        <v>284</v>
      </c>
      <c r="M55" s="122" t="s">
        <v>285</v>
      </c>
      <c r="N55" s="139">
        <f t="shared" si="1"/>
        <v>0.31534587100739264</v>
      </c>
    </row>
    <row r="56" spans="2:17" s="55" customFormat="1" x14ac:dyDescent="0.25">
      <c r="B56" s="120" t="s">
        <v>4</v>
      </c>
      <c r="C56" s="120" t="str">
        <f t="shared" ref="C56:C57" si="16">IF(D56="","All",D56&amp;" "&amp;E56)</f>
        <v xml:space="preserve">Residential </v>
      </c>
      <c r="D56" s="120" t="s">
        <v>6</v>
      </c>
      <c r="E56" s="120"/>
      <c r="F56" s="120"/>
      <c r="G56" s="120" t="s">
        <v>207</v>
      </c>
      <c r="H56" s="120" t="s">
        <v>46</v>
      </c>
      <c r="I56" s="228">
        <v>0.63</v>
      </c>
      <c r="J56" s="228">
        <v>2.2147765876568317</v>
      </c>
      <c r="K56" s="121" t="s">
        <v>68</v>
      </c>
      <c r="L56" s="122" t="s">
        <v>284</v>
      </c>
      <c r="M56" s="122" t="s">
        <v>285</v>
      </c>
      <c r="N56" s="139">
        <f t="shared" si="1"/>
        <v>2.5155183931060821</v>
      </c>
      <c r="O56" s="248"/>
      <c r="P56" s="251"/>
    </row>
    <row r="57" spans="2:17" s="55" customFormat="1" x14ac:dyDescent="0.25">
      <c r="B57" s="120" t="s">
        <v>4</v>
      </c>
      <c r="C57" s="120" t="str">
        <f t="shared" si="16"/>
        <v xml:space="preserve">Small business </v>
      </c>
      <c r="D57" s="120" t="s">
        <v>13</v>
      </c>
      <c r="E57" s="120"/>
      <c r="F57" s="120"/>
      <c r="G57" s="120" t="s">
        <v>207</v>
      </c>
      <c r="H57" s="120" t="s">
        <v>46</v>
      </c>
      <c r="I57" s="228">
        <v>0.49</v>
      </c>
      <c r="J57" s="228">
        <v>3.7592921594354225</v>
      </c>
      <c r="K57" s="121" t="s">
        <v>68</v>
      </c>
      <c r="L57" s="122" t="s">
        <v>284</v>
      </c>
      <c r="M57" s="122" t="s">
        <v>285</v>
      </c>
      <c r="N57" s="139">
        <f t="shared" si="1"/>
        <v>6.672024815174332</v>
      </c>
      <c r="O57" s="248"/>
      <c r="P57" s="251"/>
    </row>
    <row r="58" spans="2:17" s="55" customFormat="1" x14ac:dyDescent="0.25">
      <c r="B58" s="120" t="s">
        <v>4</v>
      </c>
      <c r="C58" s="120" t="str">
        <f t="shared" ref="C58:C59" si="17">IF(D58="","All",D58&amp;" "&amp;E58)</f>
        <v xml:space="preserve">Residential </v>
      </c>
      <c r="D58" s="120" t="s">
        <v>6</v>
      </c>
      <c r="E58" s="120"/>
      <c r="F58" s="120"/>
      <c r="G58" s="120" t="s">
        <v>167</v>
      </c>
      <c r="H58" s="120" t="s">
        <v>46</v>
      </c>
      <c r="I58" s="228">
        <v>30</v>
      </c>
      <c r="J58" s="228">
        <v>35.525753173047072</v>
      </c>
      <c r="K58" s="121" t="s">
        <v>68</v>
      </c>
      <c r="L58" s="122" t="s">
        <v>250</v>
      </c>
      <c r="M58" s="381" t="s">
        <v>247</v>
      </c>
      <c r="N58" s="139">
        <f t="shared" si="1"/>
        <v>0.18419177243490248</v>
      </c>
    </row>
    <row r="59" spans="2:17" s="172" customFormat="1" x14ac:dyDescent="0.25">
      <c r="B59" s="168" t="s">
        <v>4</v>
      </c>
      <c r="C59" s="168" t="str">
        <f t="shared" si="17"/>
        <v xml:space="preserve">Small business </v>
      </c>
      <c r="D59" s="168" t="s">
        <v>13</v>
      </c>
      <c r="E59" s="168"/>
      <c r="F59" s="168"/>
      <c r="G59" s="168" t="s">
        <v>167</v>
      </c>
      <c r="H59" s="168" t="s">
        <v>46</v>
      </c>
      <c r="I59" s="229">
        <v>65</v>
      </c>
      <c r="J59" s="229">
        <v>80.485123659685812</v>
      </c>
      <c r="K59" s="169" t="s">
        <v>68</v>
      </c>
      <c r="L59" s="170" t="s">
        <v>250</v>
      </c>
      <c r="M59" s="382" t="s">
        <v>247</v>
      </c>
      <c r="N59" s="171">
        <f t="shared" si="1"/>
        <v>0.23823267168747408</v>
      </c>
    </row>
    <row r="60" spans="2:17" s="55" customFormat="1" x14ac:dyDescent="0.25">
      <c r="B60" s="120" t="s">
        <v>3</v>
      </c>
      <c r="C60" s="120" t="str">
        <f t="shared" si="2"/>
        <v>Residential without CL</v>
      </c>
      <c r="D60" s="120" t="s">
        <v>6</v>
      </c>
      <c r="E60" s="120" t="s">
        <v>127</v>
      </c>
      <c r="F60" s="120" t="s">
        <v>19</v>
      </c>
      <c r="G60" s="120" t="s">
        <v>70</v>
      </c>
      <c r="H60" s="120" t="s">
        <v>47</v>
      </c>
      <c r="I60" s="228">
        <v>155.41</v>
      </c>
      <c r="J60" s="228">
        <v>165.17</v>
      </c>
      <c r="K60" s="121" t="s">
        <v>44</v>
      </c>
      <c r="L60" s="122" t="s">
        <v>253</v>
      </c>
      <c r="M60" s="122" t="s">
        <v>306</v>
      </c>
      <c r="N60" s="139">
        <f t="shared" si="1"/>
        <v>6.2801621517276862E-2</v>
      </c>
      <c r="Q60" s="247"/>
    </row>
    <row r="61" spans="2:17" s="55" customFormat="1" x14ac:dyDescent="0.25">
      <c r="B61" s="120" t="s">
        <v>3</v>
      </c>
      <c r="C61" s="120" t="str">
        <f t="shared" si="2"/>
        <v>Residential with CL</v>
      </c>
      <c r="D61" s="120" t="s">
        <v>6</v>
      </c>
      <c r="E61" s="120" t="s">
        <v>128</v>
      </c>
      <c r="F61" s="120" t="s">
        <v>14</v>
      </c>
      <c r="G61" s="120" t="s">
        <v>70</v>
      </c>
      <c r="H61" s="120" t="s">
        <v>47</v>
      </c>
      <c r="I61" s="228">
        <v>98.34</v>
      </c>
      <c r="J61" s="228">
        <v>115.47</v>
      </c>
      <c r="K61" s="121" t="s">
        <v>44</v>
      </c>
      <c r="L61" s="122" t="s">
        <v>253</v>
      </c>
      <c r="M61" s="122" t="s">
        <v>306</v>
      </c>
      <c r="N61" s="139">
        <f t="shared" si="1"/>
        <v>0.17419158023184855</v>
      </c>
      <c r="Q61" s="247"/>
    </row>
    <row r="62" spans="2:17" s="55" customFormat="1" x14ac:dyDescent="0.25">
      <c r="B62" s="120" t="s">
        <v>3</v>
      </c>
      <c r="C62" s="120" t="str">
        <f t="shared" si="2"/>
        <v>Residential with CL</v>
      </c>
      <c r="D62" s="120" t="s">
        <v>6</v>
      </c>
      <c r="E62" s="120" t="s">
        <v>128</v>
      </c>
      <c r="F62" s="120" t="s">
        <v>15</v>
      </c>
      <c r="G62" s="120" t="s">
        <v>70</v>
      </c>
      <c r="H62" s="120" t="s">
        <v>47</v>
      </c>
      <c r="I62" s="228">
        <v>98.34</v>
      </c>
      <c r="J62" s="228">
        <v>115.47</v>
      </c>
      <c r="K62" s="121" t="s">
        <v>44</v>
      </c>
      <c r="L62" s="122" t="s">
        <v>253</v>
      </c>
      <c r="M62" s="122" t="s">
        <v>306</v>
      </c>
      <c r="N62" s="139">
        <f t="shared" si="1"/>
        <v>0.17419158023184855</v>
      </c>
      <c r="Q62" s="247"/>
    </row>
    <row r="63" spans="2:17" s="55" customFormat="1" x14ac:dyDescent="0.25">
      <c r="B63" s="120" t="s">
        <v>3</v>
      </c>
      <c r="C63" s="120" t="str">
        <f t="shared" si="2"/>
        <v>Small business without CL</v>
      </c>
      <c r="D63" s="120" t="s">
        <v>13</v>
      </c>
      <c r="E63" s="120" t="s">
        <v>127</v>
      </c>
      <c r="F63" s="120" t="s">
        <v>19</v>
      </c>
      <c r="G63" s="120" t="s">
        <v>70</v>
      </c>
      <c r="H63" s="120" t="s">
        <v>47</v>
      </c>
      <c r="I63" s="228">
        <v>155.41</v>
      </c>
      <c r="J63" s="228">
        <v>165.17</v>
      </c>
      <c r="K63" s="121" t="s">
        <v>44</v>
      </c>
      <c r="L63" s="122" t="s">
        <v>253</v>
      </c>
      <c r="M63" s="122" t="s">
        <v>306</v>
      </c>
      <c r="N63" s="139">
        <f t="shared" si="1"/>
        <v>6.2801621517276862E-2</v>
      </c>
      <c r="Q63" s="247"/>
    </row>
    <row r="64" spans="2:17" s="55" customFormat="1" x14ac:dyDescent="0.25">
      <c r="B64" s="120" t="s">
        <v>3</v>
      </c>
      <c r="C64" s="120" t="str">
        <f t="shared" si="2"/>
        <v>All</v>
      </c>
      <c r="D64" s="120"/>
      <c r="E64" s="120"/>
      <c r="F64" s="120"/>
      <c r="G64" s="120" t="s">
        <v>71</v>
      </c>
      <c r="H64" s="120" t="s">
        <v>47</v>
      </c>
      <c r="I64" s="228">
        <v>0.25</v>
      </c>
      <c r="J64" s="228">
        <v>0.15378802592718904</v>
      </c>
      <c r="K64" s="121" t="s">
        <v>44</v>
      </c>
      <c r="L64" s="122" t="s">
        <v>259</v>
      </c>
      <c r="M64" s="122" t="s">
        <v>324</v>
      </c>
      <c r="N64" s="139">
        <f t="shared" si="1"/>
        <v>-0.38484789629124383</v>
      </c>
      <c r="Q64" s="247"/>
    </row>
    <row r="65" spans="2:17" s="55" customFormat="1" x14ac:dyDescent="0.25">
      <c r="B65" s="120" t="s">
        <v>3</v>
      </c>
      <c r="C65" s="120" t="str">
        <f t="shared" si="2"/>
        <v>All</v>
      </c>
      <c r="D65" s="120"/>
      <c r="E65" s="120"/>
      <c r="F65" s="120"/>
      <c r="G65" s="120" t="s">
        <v>78</v>
      </c>
      <c r="H65" s="120" t="s">
        <v>47</v>
      </c>
      <c r="I65" s="228">
        <v>0.50409000000000004</v>
      </c>
      <c r="J65" s="228">
        <v>0.57443</v>
      </c>
      <c r="K65" s="121" t="s">
        <v>44</v>
      </c>
      <c r="L65" s="122" t="s">
        <v>258</v>
      </c>
      <c r="M65" s="122" t="s">
        <v>325</v>
      </c>
      <c r="N65" s="139">
        <f t="shared" si="1"/>
        <v>0.13953857446090967</v>
      </c>
      <c r="Q65" s="247"/>
    </row>
    <row r="66" spans="2:17" s="55" customFormat="1" x14ac:dyDescent="0.25">
      <c r="B66" s="120" t="str">
        <f>+B65</f>
        <v>Essential</v>
      </c>
      <c r="C66" s="120" t="str">
        <f t="shared" si="2"/>
        <v>All</v>
      </c>
      <c r="D66" s="120"/>
      <c r="E66" s="120"/>
      <c r="F66" s="120"/>
      <c r="G66" s="120" t="s">
        <v>78</v>
      </c>
      <c r="H66" s="120" t="s">
        <v>46</v>
      </c>
      <c r="I66" s="228">
        <v>0.22833000000000001</v>
      </c>
      <c r="J66" s="228">
        <v>0.26533344915475288</v>
      </c>
      <c r="K66" s="121" t="s">
        <v>45</v>
      </c>
      <c r="L66" s="122" t="s">
        <v>258</v>
      </c>
      <c r="M66" s="122" t="s">
        <v>325</v>
      </c>
      <c r="N66" s="139">
        <f t="shared" ref="N66:N67" si="18">IFERROR(IF(K66="%",J66-I66,J66/I66-1),"")</f>
        <v>0.162061267265593</v>
      </c>
      <c r="P66" s="247"/>
    </row>
    <row r="67" spans="2:17" s="55" customFormat="1" x14ac:dyDescent="0.25">
      <c r="B67" s="120" t="s">
        <v>3</v>
      </c>
      <c r="C67" s="120" t="str">
        <f t="shared" si="2"/>
        <v>All</v>
      </c>
      <c r="D67" s="120"/>
      <c r="E67" s="120"/>
      <c r="F67" s="120"/>
      <c r="G67" s="120" t="s">
        <v>72</v>
      </c>
      <c r="H67" s="120" t="s">
        <v>47</v>
      </c>
      <c r="I67" s="228">
        <v>0</v>
      </c>
      <c r="J67" s="228">
        <v>5.2786233739509421E-2</v>
      </c>
      <c r="K67" s="121" t="s">
        <v>44</v>
      </c>
      <c r="L67" s="122" t="s">
        <v>263</v>
      </c>
      <c r="M67" s="122" t="s">
        <v>332</v>
      </c>
      <c r="N67" s="139" t="str">
        <f t="shared" si="18"/>
        <v/>
      </c>
      <c r="Q67" s="247"/>
    </row>
    <row r="68" spans="2:17" s="55" customFormat="1" x14ac:dyDescent="0.25">
      <c r="B68" s="120" t="s">
        <v>3</v>
      </c>
      <c r="C68" s="120" t="str">
        <f t="shared" ref="C68" si="19">IF(D68="","All",D68&amp;" "&amp;E68)</f>
        <v>All</v>
      </c>
      <c r="D68" s="120"/>
      <c r="E68" s="120"/>
      <c r="F68" s="120"/>
      <c r="G68" s="120" t="str">
        <f>+G40</f>
        <v>June 2022 Event Cost</v>
      </c>
      <c r="H68" s="120" t="s">
        <v>47</v>
      </c>
      <c r="I68" s="228">
        <v>0</v>
      </c>
      <c r="J68" s="228">
        <v>0.11507709849820914</v>
      </c>
      <c r="K68" s="121" t="s">
        <v>44</v>
      </c>
      <c r="L68" s="122" t="s">
        <v>263</v>
      </c>
      <c r="M68" s="122" t="s">
        <v>332</v>
      </c>
      <c r="N68" s="139" t="str">
        <f t="shared" ref="N68" si="20">IFERROR(IF(K68="%",J68-I68,J68/I68-1),"")</f>
        <v/>
      </c>
      <c r="Q68" s="247"/>
    </row>
    <row r="69" spans="2:17" s="55" customFormat="1" x14ac:dyDescent="0.25">
      <c r="B69" s="120" t="s">
        <v>3</v>
      </c>
      <c r="C69" s="120" t="str">
        <f t="shared" si="2"/>
        <v>All</v>
      </c>
      <c r="D69" s="120"/>
      <c r="E69" s="120"/>
      <c r="F69" s="120"/>
      <c r="G69" s="120" t="s">
        <v>135</v>
      </c>
      <c r="H69" s="120" t="s">
        <v>47</v>
      </c>
      <c r="I69" s="228">
        <v>2.58</v>
      </c>
      <c r="J69" s="228">
        <v>2.8459749804305119</v>
      </c>
      <c r="K69" s="121" t="s">
        <v>44</v>
      </c>
      <c r="L69" s="122" t="s">
        <v>260</v>
      </c>
      <c r="M69" s="122" t="s">
        <v>327</v>
      </c>
      <c r="N69" s="139">
        <f t="shared" si="1"/>
        <v>0.10309107768624481</v>
      </c>
      <c r="Q69" s="247"/>
    </row>
    <row r="70" spans="2:17" s="55" customFormat="1" x14ac:dyDescent="0.25">
      <c r="B70" s="120" t="s">
        <v>3</v>
      </c>
      <c r="C70" s="120" t="str">
        <f t="shared" si="2"/>
        <v>All</v>
      </c>
      <c r="D70" s="120"/>
      <c r="E70" s="120"/>
      <c r="F70" s="120"/>
      <c r="G70" s="120" t="s">
        <v>74</v>
      </c>
      <c r="H70" s="120" t="s">
        <v>47</v>
      </c>
      <c r="I70" s="228">
        <v>7.54</v>
      </c>
      <c r="J70" s="228">
        <v>6.1170426505850894</v>
      </c>
      <c r="K70" s="121" t="s">
        <v>44</v>
      </c>
      <c r="L70" s="122" t="s">
        <v>254</v>
      </c>
      <c r="M70" s="122" t="s">
        <v>328</v>
      </c>
      <c r="N70" s="139">
        <f t="shared" si="1"/>
        <v>-0.18872113387465661</v>
      </c>
      <c r="Q70" s="247"/>
    </row>
    <row r="71" spans="2:17" s="55" customFormat="1" x14ac:dyDescent="0.25">
      <c r="B71" s="120" t="s">
        <v>3</v>
      </c>
      <c r="C71" s="120" t="str">
        <f t="shared" si="2"/>
        <v>All</v>
      </c>
      <c r="D71" s="120"/>
      <c r="E71" s="120"/>
      <c r="F71" s="120"/>
      <c r="G71" s="120" t="s">
        <v>75</v>
      </c>
      <c r="H71" s="120" t="s">
        <v>47</v>
      </c>
      <c r="I71" s="228">
        <v>7.85</v>
      </c>
      <c r="J71" s="228">
        <v>5.1359999999999992</v>
      </c>
      <c r="K71" s="121" t="s">
        <v>44</v>
      </c>
      <c r="L71" s="122" t="s">
        <v>255</v>
      </c>
      <c r="M71" s="122" t="s">
        <v>328</v>
      </c>
      <c r="N71" s="139">
        <f t="shared" si="1"/>
        <v>-0.3457324840764332</v>
      </c>
      <c r="Q71" s="247"/>
    </row>
    <row r="72" spans="2:17" s="55" customFormat="1" x14ac:dyDescent="0.25">
      <c r="B72" s="120" t="s">
        <v>3</v>
      </c>
      <c r="C72" s="120" t="str">
        <f t="shared" si="2"/>
        <v>All</v>
      </c>
      <c r="D72" s="120"/>
      <c r="E72" s="120"/>
      <c r="F72" s="120"/>
      <c r="G72" s="120" t="s">
        <v>76</v>
      </c>
      <c r="H72" s="120" t="s">
        <v>47</v>
      </c>
      <c r="I72" s="228">
        <v>2.71</v>
      </c>
      <c r="J72" s="228">
        <v>2.1292191637289464</v>
      </c>
      <c r="K72" s="121" t="s">
        <v>44</v>
      </c>
      <c r="L72" s="122" t="s">
        <v>256</v>
      </c>
      <c r="M72" s="122" t="s">
        <v>329</v>
      </c>
      <c r="N72" s="139">
        <f t="shared" si="1"/>
        <v>-0.21431027168673566</v>
      </c>
      <c r="Q72" s="247"/>
    </row>
    <row r="73" spans="2:17" s="55" customFormat="1" x14ac:dyDescent="0.25">
      <c r="B73" s="120" t="s">
        <v>3</v>
      </c>
      <c r="C73" s="120" t="str">
        <f t="shared" ref="C73" si="21">IF(D73="","All",D73&amp;" "&amp;E73)</f>
        <v>All</v>
      </c>
      <c r="D73" s="120"/>
      <c r="E73" s="120"/>
      <c r="F73" s="120"/>
      <c r="G73" s="120" t="s">
        <v>164</v>
      </c>
      <c r="H73" s="120" t="s">
        <v>47</v>
      </c>
      <c r="I73" s="228">
        <v>0.71</v>
      </c>
      <c r="J73" s="228">
        <v>1.8634456011480964</v>
      </c>
      <c r="K73" s="121" t="s">
        <v>44</v>
      </c>
      <c r="L73" s="122" t="s">
        <v>257</v>
      </c>
      <c r="M73" s="122" t="s">
        <v>335</v>
      </c>
      <c r="N73" s="139">
        <f t="shared" si="1"/>
        <v>1.6245712692226713</v>
      </c>
      <c r="Q73" s="247"/>
    </row>
    <row r="74" spans="2:17" s="55" customFormat="1" x14ac:dyDescent="0.25">
      <c r="B74" s="120" t="s">
        <v>3</v>
      </c>
      <c r="C74" s="120" t="str">
        <f t="shared" si="2"/>
        <v>Residential without CL</v>
      </c>
      <c r="D74" s="120" t="s">
        <v>6</v>
      </c>
      <c r="E74" s="120" t="s">
        <v>127</v>
      </c>
      <c r="F74" s="120" t="s">
        <v>19</v>
      </c>
      <c r="G74" s="120" t="s">
        <v>73</v>
      </c>
      <c r="H74" s="120" t="s">
        <v>47</v>
      </c>
      <c r="I74" s="313">
        <v>2.8000000000000001E-2</v>
      </c>
      <c r="J74" s="313">
        <v>3.9240320921052563E-2</v>
      </c>
      <c r="K74" s="121" t="s">
        <v>27</v>
      </c>
      <c r="L74" s="122" t="s">
        <v>266</v>
      </c>
      <c r="M74" s="122" t="s">
        <v>330</v>
      </c>
      <c r="N74" s="139">
        <f t="shared" si="1"/>
        <v>1.1240320921052562E-2</v>
      </c>
      <c r="Q74" s="247"/>
    </row>
    <row r="75" spans="2:17" s="55" customFormat="1" x14ac:dyDescent="0.25">
      <c r="B75" s="120" t="s">
        <v>3</v>
      </c>
      <c r="C75" s="120" t="str">
        <f>IF(D75="","All",D75&amp;" "&amp;E75)</f>
        <v>Residential with CL</v>
      </c>
      <c r="D75" s="120" t="s">
        <v>6</v>
      </c>
      <c r="E75" s="120" t="s">
        <v>128</v>
      </c>
      <c r="F75" s="120" t="s">
        <v>14</v>
      </c>
      <c r="G75" s="120" t="s">
        <v>73</v>
      </c>
      <c r="H75" s="120" t="s">
        <v>47</v>
      </c>
      <c r="I75" s="313">
        <v>2.8000000000000001E-2</v>
      </c>
      <c r="J75" s="313">
        <v>3.9240320921052563E-2</v>
      </c>
      <c r="K75" s="121" t="s">
        <v>27</v>
      </c>
      <c r="L75" s="122" t="s">
        <v>266</v>
      </c>
      <c r="M75" s="122" t="s">
        <v>330</v>
      </c>
      <c r="N75" s="139">
        <f t="shared" si="1"/>
        <v>1.1240320921052562E-2</v>
      </c>
      <c r="Q75" s="247"/>
    </row>
    <row r="76" spans="2:17" s="55" customFormat="1" x14ac:dyDescent="0.25">
      <c r="B76" s="120" t="s">
        <v>3</v>
      </c>
      <c r="C76" s="120" t="str">
        <f>IF(D76="","All",D76&amp;" "&amp;E76)</f>
        <v>Residential with CL</v>
      </c>
      <c r="D76" s="120" t="s">
        <v>6</v>
      </c>
      <c r="E76" s="120" t="s">
        <v>128</v>
      </c>
      <c r="F76" s="120" t="s">
        <v>15</v>
      </c>
      <c r="G76" s="120" t="s">
        <v>73</v>
      </c>
      <c r="H76" s="120" t="s">
        <v>47</v>
      </c>
      <c r="I76" s="313">
        <v>2.8000000000000001E-2</v>
      </c>
      <c r="J76" s="313">
        <v>3.9240320921052563E-2</v>
      </c>
      <c r="K76" s="121" t="s">
        <v>27</v>
      </c>
      <c r="L76" s="122" t="s">
        <v>266</v>
      </c>
      <c r="M76" s="122" t="s">
        <v>330</v>
      </c>
      <c r="N76" s="139">
        <f t="shared" si="1"/>
        <v>1.1240320921052562E-2</v>
      </c>
      <c r="Q76" s="247"/>
    </row>
    <row r="77" spans="2:17" s="55" customFormat="1" x14ac:dyDescent="0.25">
      <c r="B77" s="120" t="s">
        <v>3</v>
      </c>
      <c r="C77" s="120" t="str">
        <f>IF(D77="","All",D77&amp;" "&amp;E77)</f>
        <v>Small business without CL</v>
      </c>
      <c r="D77" s="120" t="s">
        <v>13</v>
      </c>
      <c r="E77" s="120" t="s">
        <v>127</v>
      </c>
      <c r="F77" s="120" t="s">
        <v>19</v>
      </c>
      <c r="G77" s="120" t="s">
        <v>73</v>
      </c>
      <c r="H77" s="120" t="s">
        <v>47</v>
      </c>
      <c r="I77" s="313">
        <v>2.8000000000000001E-2</v>
      </c>
      <c r="J77" s="313">
        <v>3.9240320921052563E-2</v>
      </c>
      <c r="K77" s="121" t="s">
        <v>27</v>
      </c>
      <c r="L77" s="122" t="s">
        <v>266</v>
      </c>
      <c r="M77" s="122" t="s">
        <v>330</v>
      </c>
      <c r="N77" s="139">
        <f t="shared" si="1"/>
        <v>1.1240320921052562E-2</v>
      </c>
      <c r="Q77" s="247"/>
    </row>
    <row r="78" spans="2:17" s="55" customFormat="1" x14ac:dyDescent="0.25">
      <c r="B78" s="120" t="s">
        <v>3</v>
      </c>
      <c r="C78" s="120" t="s">
        <v>138</v>
      </c>
      <c r="D78" s="120" t="s">
        <v>6</v>
      </c>
      <c r="E78" s="120"/>
      <c r="F78" s="120"/>
      <c r="G78" s="120" t="s">
        <v>270</v>
      </c>
      <c r="H78" s="120" t="s">
        <v>46</v>
      </c>
      <c r="I78" s="228">
        <v>142</v>
      </c>
      <c r="J78" s="228">
        <v>186.09139457871049</v>
      </c>
      <c r="K78" s="121" t="s">
        <v>68</v>
      </c>
      <c r="L78" s="369" t="s">
        <v>244</v>
      </c>
      <c r="M78" s="122" t="s">
        <v>247</v>
      </c>
      <c r="N78" s="139">
        <f t="shared" si="1"/>
        <v>0.31050277872331322</v>
      </c>
    </row>
    <row r="79" spans="2:17" s="55" customFormat="1" x14ac:dyDescent="0.25">
      <c r="B79" s="120" t="s">
        <v>3</v>
      </c>
      <c r="C79" s="120" t="s">
        <v>139</v>
      </c>
      <c r="D79" s="120" t="s">
        <v>6</v>
      </c>
      <c r="E79" s="120"/>
      <c r="F79" s="120"/>
      <c r="G79" s="120" t="s">
        <v>270</v>
      </c>
      <c r="H79" s="120" t="s">
        <v>46</v>
      </c>
      <c r="I79" s="228">
        <v>142</v>
      </c>
      <c r="J79" s="228">
        <v>186.09139457871049</v>
      </c>
      <c r="K79" s="121" t="s">
        <v>68</v>
      </c>
      <c r="L79" s="369" t="s">
        <v>244</v>
      </c>
      <c r="M79" s="122" t="s">
        <v>247</v>
      </c>
      <c r="N79" s="139">
        <f t="shared" si="1"/>
        <v>0.31050277872331322</v>
      </c>
    </row>
    <row r="80" spans="2:17" s="55" customFormat="1" x14ac:dyDescent="0.25">
      <c r="B80" s="120" t="s">
        <v>3</v>
      </c>
      <c r="C80" s="120" t="s">
        <v>140</v>
      </c>
      <c r="D80" s="120" t="s">
        <v>13</v>
      </c>
      <c r="E80" s="120"/>
      <c r="F80" s="120"/>
      <c r="G80" s="120" t="s">
        <v>270</v>
      </c>
      <c r="H80" s="120" t="s">
        <v>46</v>
      </c>
      <c r="I80" s="228">
        <v>183</v>
      </c>
      <c r="J80" s="228">
        <v>252.45618972980961</v>
      </c>
      <c r="K80" s="121" t="s">
        <v>68</v>
      </c>
      <c r="L80" s="369" t="s">
        <v>246</v>
      </c>
      <c r="M80" s="122" t="s">
        <v>247</v>
      </c>
      <c r="N80" s="139">
        <f t="shared" si="1"/>
        <v>0.37954202038147322</v>
      </c>
    </row>
    <row r="81" spans="2:17" s="55" customFormat="1" x14ac:dyDescent="0.25">
      <c r="B81" s="120" t="s">
        <v>3</v>
      </c>
      <c r="C81" s="120" t="s">
        <v>138</v>
      </c>
      <c r="D81" s="120" t="s">
        <v>6</v>
      </c>
      <c r="E81" s="120"/>
      <c r="F81" s="120"/>
      <c r="G81" s="120" t="s">
        <v>277</v>
      </c>
      <c r="H81" s="120" t="s">
        <v>46</v>
      </c>
      <c r="I81" s="228">
        <v>56.19</v>
      </c>
      <c r="J81" s="228">
        <v>71.343035138405909</v>
      </c>
      <c r="K81" s="121" t="s">
        <v>68</v>
      </c>
      <c r="L81" s="122" t="s">
        <v>284</v>
      </c>
      <c r="M81" s="122" t="s">
        <v>285</v>
      </c>
      <c r="N81" s="139">
        <f t="shared" si="1"/>
        <v>0.26967494462370367</v>
      </c>
    </row>
    <row r="82" spans="2:17" s="55" customFormat="1" x14ac:dyDescent="0.25">
      <c r="B82" s="120" t="s">
        <v>3</v>
      </c>
      <c r="C82" s="120" t="s">
        <v>139</v>
      </c>
      <c r="D82" s="120" t="s">
        <v>6</v>
      </c>
      <c r="E82" s="120"/>
      <c r="F82" s="120"/>
      <c r="G82" s="120" t="s">
        <v>277</v>
      </c>
      <c r="H82" s="120" t="s">
        <v>46</v>
      </c>
      <c r="I82" s="228">
        <v>56.19</v>
      </c>
      <c r="J82" s="228">
        <v>71.343035138405909</v>
      </c>
      <c r="K82" s="121" t="s">
        <v>68</v>
      </c>
      <c r="L82" s="122" t="s">
        <v>284</v>
      </c>
      <c r="M82" s="122" t="s">
        <v>285</v>
      </c>
      <c r="N82" s="139">
        <f t="shared" si="1"/>
        <v>0.26967494462370367</v>
      </c>
    </row>
    <row r="83" spans="2:17" s="55" customFormat="1" x14ac:dyDescent="0.25">
      <c r="B83" s="120" t="s">
        <v>3</v>
      </c>
      <c r="C83" s="120" t="s">
        <v>140</v>
      </c>
      <c r="D83" s="120" t="s">
        <v>13</v>
      </c>
      <c r="E83" s="120"/>
      <c r="F83" s="120"/>
      <c r="G83" s="120" t="s">
        <v>277</v>
      </c>
      <c r="H83" s="120" t="s">
        <v>46</v>
      </c>
      <c r="I83" s="228">
        <v>38.880000000000003</v>
      </c>
      <c r="J83" s="228">
        <v>56.74882841442281</v>
      </c>
      <c r="K83" s="121" t="s">
        <v>68</v>
      </c>
      <c r="L83" s="122" t="s">
        <v>284</v>
      </c>
      <c r="M83" s="122" t="s">
        <v>285</v>
      </c>
      <c r="N83" s="139">
        <f t="shared" si="1"/>
        <v>0.45958920818988691</v>
      </c>
    </row>
    <row r="84" spans="2:17" s="55" customFormat="1" x14ac:dyDescent="0.25">
      <c r="B84" s="120" t="s">
        <v>3</v>
      </c>
      <c r="C84" s="120" t="str">
        <f t="shared" ref="C84:C85" si="22">IF(D84="","All",D84&amp;" "&amp;E84)</f>
        <v xml:space="preserve">Residential </v>
      </c>
      <c r="D84" s="120" t="s">
        <v>6</v>
      </c>
      <c r="E84" s="120"/>
      <c r="F84" s="120"/>
      <c r="G84" s="120" t="s">
        <v>207</v>
      </c>
      <c r="H84" s="120" t="s">
        <v>46</v>
      </c>
      <c r="I84" s="228">
        <v>0.97</v>
      </c>
      <c r="J84" s="228">
        <v>2.7626784475128106</v>
      </c>
      <c r="K84" s="121" t="s">
        <v>68</v>
      </c>
      <c r="L84" s="122" t="s">
        <v>284</v>
      </c>
      <c r="M84" s="122" t="s">
        <v>285</v>
      </c>
      <c r="N84" s="139">
        <f t="shared" si="1"/>
        <v>1.8481221108379491</v>
      </c>
      <c r="O84" s="248"/>
      <c r="P84" s="251"/>
    </row>
    <row r="85" spans="2:17" s="55" customFormat="1" x14ac:dyDescent="0.25">
      <c r="B85" s="120" t="s">
        <v>3</v>
      </c>
      <c r="C85" s="120" t="str">
        <f t="shared" si="22"/>
        <v xml:space="preserve">Small business </v>
      </c>
      <c r="D85" s="120" t="s">
        <v>13</v>
      </c>
      <c r="E85" s="120"/>
      <c r="F85" s="120"/>
      <c r="G85" s="120" t="s">
        <v>207</v>
      </c>
      <c r="H85" s="120" t="s">
        <v>46</v>
      </c>
      <c r="I85" s="228">
        <v>0.65</v>
      </c>
      <c r="J85" s="228">
        <v>4.346539572707119</v>
      </c>
      <c r="K85" s="121" t="s">
        <v>68</v>
      </c>
      <c r="L85" s="122" t="s">
        <v>284</v>
      </c>
      <c r="M85" s="122" t="s">
        <v>285</v>
      </c>
      <c r="N85" s="139">
        <f t="shared" si="1"/>
        <v>5.686983958010952</v>
      </c>
      <c r="O85" s="248"/>
      <c r="P85" s="251"/>
    </row>
    <row r="86" spans="2:17" s="55" customFormat="1" x14ac:dyDescent="0.25">
      <c r="B86" s="120" t="s">
        <v>3</v>
      </c>
      <c r="C86" s="120" t="str">
        <f t="shared" ref="C86:C87" si="23">IF(D86="","All",D86&amp;" "&amp;E86)</f>
        <v xml:space="preserve">Residential </v>
      </c>
      <c r="D86" s="120" t="s">
        <v>6</v>
      </c>
      <c r="E86" s="120"/>
      <c r="F86" s="120"/>
      <c r="G86" s="120" t="s">
        <v>167</v>
      </c>
      <c r="H86" s="120" t="s">
        <v>46</v>
      </c>
      <c r="I86" s="228">
        <v>30</v>
      </c>
      <c r="J86" s="228">
        <v>35.525753173047072</v>
      </c>
      <c r="K86" s="121" t="s">
        <v>68</v>
      </c>
      <c r="L86" s="122" t="s">
        <v>250</v>
      </c>
      <c r="M86" s="381" t="s">
        <v>247</v>
      </c>
      <c r="N86" s="139">
        <f t="shared" ref="N86:N87" si="24">IFERROR(IF(K86="%",J86-I86,J86/I86-1),"")</f>
        <v>0.18419177243490248</v>
      </c>
    </row>
    <row r="87" spans="2:17" s="172" customFormat="1" x14ac:dyDescent="0.25">
      <c r="B87" s="168" t="str">
        <f>+B86</f>
        <v>Essential</v>
      </c>
      <c r="C87" s="168" t="str">
        <f t="shared" si="23"/>
        <v xml:space="preserve">Small business </v>
      </c>
      <c r="D87" s="168" t="s">
        <v>13</v>
      </c>
      <c r="E87" s="168"/>
      <c r="F87" s="168"/>
      <c r="G87" s="168" t="s">
        <v>167</v>
      </c>
      <c r="H87" s="168" t="s">
        <v>46</v>
      </c>
      <c r="I87" s="229">
        <v>65</v>
      </c>
      <c r="J87" s="229">
        <v>80.485123659685812</v>
      </c>
      <c r="K87" s="169" t="s">
        <v>68</v>
      </c>
      <c r="L87" s="170" t="s">
        <v>250</v>
      </c>
      <c r="M87" s="382" t="s">
        <v>247</v>
      </c>
      <c r="N87" s="171">
        <f t="shared" si="24"/>
        <v>0.23823267168747408</v>
      </c>
    </row>
    <row r="88" spans="2:17" s="55" customFormat="1" x14ac:dyDescent="0.25">
      <c r="B88" s="120" t="s">
        <v>0</v>
      </c>
      <c r="C88" s="120" t="str">
        <f t="shared" si="2"/>
        <v>Residential without CL</v>
      </c>
      <c r="D88" s="120" t="s">
        <v>6</v>
      </c>
      <c r="E88" s="120" t="s">
        <v>127</v>
      </c>
      <c r="F88" s="120" t="s">
        <v>19</v>
      </c>
      <c r="G88" s="120" t="s">
        <v>70</v>
      </c>
      <c r="H88" s="120" t="s">
        <v>47</v>
      </c>
      <c r="I88" s="228">
        <v>150.59</v>
      </c>
      <c r="J88" s="228">
        <v>150.63</v>
      </c>
      <c r="K88" s="121" t="s">
        <v>44</v>
      </c>
      <c r="L88" s="122" t="s">
        <v>269</v>
      </c>
      <c r="M88" s="122" t="s">
        <v>306</v>
      </c>
      <c r="N88" s="139">
        <f t="shared" si="1"/>
        <v>2.6562188724343905E-4</v>
      </c>
      <c r="Q88" s="247"/>
    </row>
    <row r="89" spans="2:17" s="55" customFormat="1" x14ac:dyDescent="0.25">
      <c r="B89" s="120" t="s">
        <v>0</v>
      </c>
      <c r="C89" s="120" t="str">
        <f t="shared" si="2"/>
        <v>Residential with CL</v>
      </c>
      <c r="D89" s="120" t="s">
        <v>6</v>
      </c>
      <c r="E89" s="120" t="s">
        <v>128</v>
      </c>
      <c r="F89" s="120" t="s">
        <v>14</v>
      </c>
      <c r="G89" s="120" t="s">
        <v>70</v>
      </c>
      <c r="H89" s="120" t="s">
        <v>47</v>
      </c>
      <c r="I89" s="228">
        <v>93.98</v>
      </c>
      <c r="J89" s="228">
        <v>102.21</v>
      </c>
      <c r="K89" s="121" t="s">
        <v>44</v>
      </c>
      <c r="L89" s="122" t="s">
        <v>253</v>
      </c>
      <c r="M89" s="122" t="s">
        <v>306</v>
      </c>
      <c r="N89" s="139">
        <f t="shared" si="1"/>
        <v>8.7571823792296222E-2</v>
      </c>
      <c r="Q89" s="247"/>
    </row>
    <row r="90" spans="2:17" s="55" customFormat="1" x14ac:dyDescent="0.25">
      <c r="B90" s="120" t="s">
        <v>0</v>
      </c>
      <c r="C90" s="120" t="str">
        <f t="shared" si="2"/>
        <v>Residential with CL</v>
      </c>
      <c r="D90" s="120" t="s">
        <v>6</v>
      </c>
      <c r="E90" s="120" t="s">
        <v>128</v>
      </c>
      <c r="F90" s="120" t="s">
        <v>15</v>
      </c>
      <c r="G90" s="120" t="s">
        <v>70</v>
      </c>
      <c r="H90" s="120" t="s">
        <v>47</v>
      </c>
      <c r="I90" s="228">
        <v>101.83</v>
      </c>
      <c r="J90" s="228">
        <v>108.67250000000001</v>
      </c>
      <c r="K90" s="121" t="s">
        <v>44</v>
      </c>
      <c r="L90" s="122" t="s">
        <v>253</v>
      </c>
      <c r="M90" s="122" t="s">
        <v>306</v>
      </c>
      <c r="N90" s="139">
        <f t="shared" si="1"/>
        <v>6.7195325542571016E-2</v>
      </c>
      <c r="Q90" s="247"/>
    </row>
    <row r="91" spans="2:17" s="55" customFormat="1" x14ac:dyDescent="0.25">
      <c r="B91" s="120" t="s">
        <v>0</v>
      </c>
      <c r="C91" s="120" t="str">
        <f t="shared" si="2"/>
        <v>Small business without CL</v>
      </c>
      <c r="D91" s="120" t="s">
        <v>13</v>
      </c>
      <c r="E91" s="120" t="s">
        <v>127</v>
      </c>
      <c r="F91" s="120" t="s">
        <v>19</v>
      </c>
      <c r="G91" s="120" t="s">
        <v>70</v>
      </c>
      <c r="H91" s="120" t="s">
        <v>47</v>
      </c>
      <c r="I91" s="228">
        <v>150.59</v>
      </c>
      <c r="J91" s="228">
        <v>150.63</v>
      </c>
      <c r="K91" s="121" t="s">
        <v>44</v>
      </c>
      <c r="L91" s="122" t="s">
        <v>269</v>
      </c>
      <c r="M91" s="122" t="s">
        <v>306</v>
      </c>
      <c r="N91" s="139">
        <f t="shared" si="1"/>
        <v>2.6562188724343905E-4</v>
      </c>
      <c r="Q91" s="247"/>
    </row>
    <row r="92" spans="2:17" s="55" customFormat="1" x14ac:dyDescent="0.25">
      <c r="B92" s="120" t="s">
        <v>0</v>
      </c>
      <c r="C92" s="120" t="str">
        <f t="shared" si="2"/>
        <v>All</v>
      </c>
      <c r="D92" s="120"/>
      <c r="E92" s="120"/>
      <c r="F92" s="120"/>
      <c r="G92" s="120" t="s">
        <v>71</v>
      </c>
      <c r="H92" s="120" t="s">
        <v>47</v>
      </c>
      <c r="I92" s="228">
        <v>0.21</v>
      </c>
      <c r="J92" s="228">
        <v>0.73511316732430898</v>
      </c>
      <c r="K92" s="121" t="s">
        <v>44</v>
      </c>
      <c r="L92" s="122" t="s">
        <v>259</v>
      </c>
      <c r="M92" s="122" t="s">
        <v>324</v>
      </c>
      <c r="N92" s="139">
        <f t="shared" si="1"/>
        <v>2.5005388920205189</v>
      </c>
      <c r="Q92" s="247"/>
    </row>
    <row r="93" spans="2:17" s="55" customFormat="1" x14ac:dyDescent="0.25">
      <c r="B93" s="120" t="s">
        <v>0</v>
      </c>
      <c r="C93" s="120" t="str">
        <f t="shared" si="2"/>
        <v>All</v>
      </c>
      <c r="D93" s="120"/>
      <c r="E93" s="120"/>
      <c r="F93" s="120"/>
      <c r="G93" s="120" t="s">
        <v>78</v>
      </c>
      <c r="H93" s="120" t="s">
        <v>47</v>
      </c>
      <c r="I93" s="228">
        <v>0.50409000000000004</v>
      </c>
      <c r="J93" s="228">
        <v>0.57443</v>
      </c>
      <c r="K93" s="121" t="s">
        <v>44</v>
      </c>
      <c r="L93" s="122" t="s">
        <v>258</v>
      </c>
      <c r="M93" s="122" t="s">
        <v>325</v>
      </c>
      <c r="N93" s="139">
        <f t="shared" si="1"/>
        <v>0.13953857446090967</v>
      </c>
      <c r="Q93" s="247"/>
    </row>
    <row r="94" spans="2:17" s="55" customFormat="1" x14ac:dyDescent="0.25">
      <c r="B94" s="120" t="str">
        <f>+B93</f>
        <v>Energex</v>
      </c>
      <c r="C94" s="120" t="str">
        <f t="shared" ref="C94" si="25">IF(D94="","All",D94&amp;" "&amp;E94)</f>
        <v>All</v>
      </c>
      <c r="D94" s="120"/>
      <c r="E94" s="120"/>
      <c r="F94" s="120"/>
      <c r="G94" s="120" t="s">
        <v>78</v>
      </c>
      <c r="H94" s="120" t="s">
        <v>46</v>
      </c>
      <c r="I94" s="228">
        <v>0.22833000000000001</v>
      </c>
      <c r="J94" s="228">
        <v>0.26533344915475288</v>
      </c>
      <c r="K94" s="121" t="s">
        <v>45</v>
      </c>
      <c r="L94" s="122" t="s">
        <v>258</v>
      </c>
      <c r="M94" s="122" t="s">
        <v>325</v>
      </c>
      <c r="N94" s="139">
        <f t="shared" ref="N94:N95" si="26">IFERROR(IF(K94="%",J94-I94,J94/I94-1),"")</f>
        <v>0.162061267265593</v>
      </c>
      <c r="P94" s="247"/>
    </row>
    <row r="95" spans="2:17" s="55" customFormat="1" x14ac:dyDescent="0.25">
      <c r="B95" s="120" t="s">
        <v>0</v>
      </c>
      <c r="C95" s="120" t="str">
        <f t="shared" si="2"/>
        <v>All</v>
      </c>
      <c r="D95" s="120"/>
      <c r="E95" s="120"/>
      <c r="F95" s="120"/>
      <c r="G95" s="120" t="s">
        <v>72</v>
      </c>
      <c r="H95" s="120" t="s">
        <v>47</v>
      </c>
      <c r="I95" s="228">
        <v>0</v>
      </c>
      <c r="J95" s="228">
        <v>0</v>
      </c>
      <c r="K95" s="121" t="s">
        <v>44</v>
      </c>
      <c r="L95" s="122" t="s">
        <v>264</v>
      </c>
      <c r="M95" s="122" t="s">
        <v>333</v>
      </c>
      <c r="N95" s="139" t="str">
        <f t="shared" si="26"/>
        <v/>
      </c>
      <c r="Q95" s="247"/>
    </row>
    <row r="96" spans="2:17" s="55" customFormat="1" x14ac:dyDescent="0.25">
      <c r="B96" s="120" t="s">
        <v>0</v>
      </c>
      <c r="C96" s="120" t="str">
        <f t="shared" ref="C96" si="27">IF(D96="","All",D96&amp;" "&amp;E96)</f>
        <v>All</v>
      </c>
      <c r="D96" s="120"/>
      <c r="E96" s="120"/>
      <c r="F96" s="120"/>
      <c r="G96" s="120" t="str">
        <f>+G68</f>
        <v>June 2022 Event Cost</v>
      </c>
      <c r="H96" s="120" t="s">
        <v>47</v>
      </c>
      <c r="I96" s="228">
        <v>0</v>
      </c>
      <c r="J96" s="228">
        <v>0</v>
      </c>
      <c r="K96" s="121" t="s">
        <v>44</v>
      </c>
      <c r="L96" s="122" t="s">
        <v>264</v>
      </c>
      <c r="M96" s="122" t="s">
        <v>333</v>
      </c>
      <c r="N96" s="139" t="str">
        <f t="shared" ref="N96" si="28">IFERROR(IF(K96="%",J96-I96,J96/I96-1),"")</f>
        <v/>
      </c>
      <c r="Q96" s="247"/>
    </row>
    <row r="97" spans="2:17" s="55" customFormat="1" x14ac:dyDescent="0.25">
      <c r="B97" s="120" t="s">
        <v>0</v>
      </c>
      <c r="C97" s="120" t="str">
        <f t="shared" si="2"/>
        <v>All</v>
      </c>
      <c r="D97" s="120"/>
      <c r="E97" s="120"/>
      <c r="F97" s="120"/>
      <c r="G97" s="120" t="s">
        <v>135</v>
      </c>
      <c r="H97" s="120" t="s">
        <v>47</v>
      </c>
      <c r="I97" s="228">
        <v>2.2999999999999998</v>
      </c>
      <c r="J97" s="228">
        <v>3.27335932679709</v>
      </c>
      <c r="K97" s="121" t="s">
        <v>44</v>
      </c>
      <c r="L97" s="122" t="s">
        <v>260</v>
      </c>
      <c r="M97" s="122" t="s">
        <v>327</v>
      </c>
      <c r="N97" s="139">
        <f t="shared" si="1"/>
        <v>0.42319970730308265</v>
      </c>
      <c r="Q97" s="247"/>
    </row>
    <row r="98" spans="2:17" s="55" customFormat="1" x14ac:dyDescent="0.25">
      <c r="B98" s="120" t="s">
        <v>0</v>
      </c>
      <c r="C98" s="120" t="str">
        <f t="shared" si="2"/>
        <v>All</v>
      </c>
      <c r="D98" s="120"/>
      <c r="E98" s="120"/>
      <c r="F98" s="120"/>
      <c r="G98" s="120" t="s">
        <v>74</v>
      </c>
      <c r="H98" s="120" t="s">
        <v>47</v>
      </c>
      <c r="I98" s="228">
        <v>7.54</v>
      </c>
      <c r="J98" s="228">
        <v>6.1170426505850894</v>
      </c>
      <c r="K98" s="121" t="s">
        <v>44</v>
      </c>
      <c r="L98" s="122" t="s">
        <v>254</v>
      </c>
      <c r="M98" s="122" t="s">
        <v>328</v>
      </c>
      <c r="N98" s="139">
        <f t="shared" si="1"/>
        <v>-0.18872113387465661</v>
      </c>
      <c r="Q98" s="247"/>
    </row>
    <row r="99" spans="2:17" s="55" customFormat="1" x14ac:dyDescent="0.25">
      <c r="B99" s="120" t="s">
        <v>0</v>
      </c>
      <c r="C99" s="120" t="str">
        <f t="shared" si="2"/>
        <v>All</v>
      </c>
      <c r="D99" s="120"/>
      <c r="E99" s="120"/>
      <c r="F99" s="120"/>
      <c r="G99" s="120" t="s">
        <v>75</v>
      </c>
      <c r="H99" s="120" t="s">
        <v>47</v>
      </c>
      <c r="I99" s="228">
        <v>7.85</v>
      </c>
      <c r="J99" s="228">
        <v>5.1359999999999992</v>
      </c>
      <c r="K99" s="121" t="s">
        <v>44</v>
      </c>
      <c r="L99" s="122" t="s">
        <v>255</v>
      </c>
      <c r="M99" s="122" t="s">
        <v>328</v>
      </c>
      <c r="N99" s="139">
        <f t="shared" si="1"/>
        <v>-0.3457324840764332</v>
      </c>
      <c r="Q99" s="247"/>
    </row>
    <row r="100" spans="2:17" s="55" customFormat="1" x14ac:dyDescent="0.25">
      <c r="B100" s="120" t="s">
        <v>0</v>
      </c>
      <c r="C100" s="120" t="str">
        <f t="shared" si="2"/>
        <v>Residential without CL</v>
      </c>
      <c r="D100" s="120" t="s">
        <v>6</v>
      </c>
      <c r="E100" s="120" t="s">
        <v>127</v>
      </c>
      <c r="F100" s="120" t="s">
        <v>19</v>
      </c>
      <c r="G100" s="120" t="s">
        <v>73</v>
      </c>
      <c r="H100" s="120" t="s">
        <v>47</v>
      </c>
      <c r="I100" s="313">
        <v>7.3999999999999996E-2</v>
      </c>
      <c r="J100" s="313">
        <v>5.9093767785714402E-2</v>
      </c>
      <c r="K100" s="121" t="s">
        <v>27</v>
      </c>
      <c r="L100" s="122" t="s">
        <v>266</v>
      </c>
      <c r="M100" s="122" t="s">
        <v>330</v>
      </c>
      <c r="N100" s="139">
        <f t="shared" si="1"/>
        <v>-1.4906232214285595E-2</v>
      </c>
      <c r="Q100" s="247"/>
    </row>
    <row r="101" spans="2:17" s="55" customFormat="1" x14ac:dyDescent="0.25">
      <c r="B101" s="120" t="s">
        <v>0</v>
      </c>
      <c r="C101" s="120" t="str">
        <f>IF(D101="","All",D101&amp;" "&amp;E101)</f>
        <v>Residential with CL</v>
      </c>
      <c r="D101" s="120" t="s">
        <v>6</v>
      </c>
      <c r="E101" s="120" t="s">
        <v>128</v>
      </c>
      <c r="F101" s="120" t="s">
        <v>14</v>
      </c>
      <c r="G101" s="120" t="s">
        <v>73</v>
      </c>
      <c r="H101" s="120" t="s">
        <v>47</v>
      </c>
      <c r="I101" s="313">
        <v>7.3999999999999996E-2</v>
      </c>
      <c r="J101" s="313">
        <v>5.9093767785714402E-2</v>
      </c>
      <c r="K101" s="121" t="s">
        <v>27</v>
      </c>
      <c r="L101" s="122" t="s">
        <v>266</v>
      </c>
      <c r="M101" s="122" t="s">
        <v>330</v>
      </c>
      <c r="N101" s="139">
        <f t="shared" si="1"/>
        <v>-1.4906232214285595E-2</v>
      </c>
      <c r="Q101" s="247"/>
    </row>
    <row r="102" spans="2:17" s="55" customFormat="1" x14ac:dyDescent="0.25">
      <c r="B102" s="120" t="s">
        <v>0</v>
      </c>
      <c r="C102" s="120" t="str">
        <f>IF(D102="","All",D102&amp;" "&amp;E102)</f>
        <v>Residential with CL</v>
      </c>
      <c r="D102" s="120" t="s">
        <v>6</v>
      </c>
      <c r="E102" s="120" t="s">
        <v>128</v>
      </c>
      <c r="F102" s="120" t="s">
        <v>15</v>
      </c>
      <c r="G102" s="120" t="s">
        <v>73</v>
      </c>
      <c r="H102" s="120" t="s">
        <v>47</v>
      </c>
      <c r="I102" s="313">
        <v>7.3999999999999996E-2</v>
      </c>
      <c r="J102" s="313">
        <v>5.9093767785714402E-2</v>
      </c>
      <c r="K102" s="121" t="s">
        <v>27</v>
      </c>
      <c r="L102" s="122" t="s">
        <v>266</v>
      </c>
      <c r="M102" s="122" t="s">
        <v>330</v>
      </c>
      <c r="N102" s="139">
        <f t="shared" si="1"/>
        <v>-1.4906232214285595E-2</v>
      </c>
      <c r="Q102" s="247"/>
    </row>
    <row r="103" spans="2:17" s="55" customFormat="1" x14ac:dyDescent="0.25">
      <c r="B103" s="120" t="s">
        <v>0</v>
      </c>
      <c r="C103" s="120" t="str">
        <f>IF(D103="","All",D103&amp;" "&amp;E103)</f>
        <v>Small business without CL</v>
      </c>
      <c r="D103" s="120" t="s">
        <v>13</v>
      </c>
      <c r="E103" s="120" t="s">
        <v>127</v>
      </c>
      <c r="F103" s="120" t="s">
        <v>19</v>
      </c>
      <c r="G103" s="120" t="s">
        <v>73</v>
      </c>
      <c r="H103" s="120" t="s">
        <v>47</v>
      </c>
      <c r="I103" s="313">
        <v>7.3999999999999996E-2</v>
      </c>
      <c r="J103" s="313">
        <v>5.9093767785714402E-2</v>
      </c>
      <c r="K103" s="121" t="s">
        <v>27</v>
      </c>
      <c r="L103" s="122" t="s">
        <v>266</v>
      </c>
      <c r="M103" s="122" t="s">
        <v>330</v>
      </c>
      <c r="N103" s="139">
        <f t="shared" si="1"/>
        <v>-1.4906232214285595E-2</v>
      </c>
      <c r="Q103" s="247"/>
    </row>
    <row r="104" spans="2:17" s="55" customFormat="1" x14ac:dyDescent="0.25">
      <c r="B104" s="120" t="s">
        <v>0</v>
      </c>
      <c r="C104" s="120" t="s">
        <v>138</v>
      </c>
      <c r="D104" s="120" t="s">
        <v>6</v>
      </c>
      <c r="E104" s="120"/>
      <c r="F104" s="120"/>
      <c r="G104" s="120" t="s">
        <v>270</v>
      </c>
      <c r="H104" s="120" t="s">
        <v>46</v>
      </c>
      <c r="I104" s="228">
        <v>142</v>
      </c>
      <c r="J104" s="228">
        <v>181.98637191671125</v>
      </c>
      <c r="K104" s="121" t="s">
        <v>68</v>
      </c>
      <c r="L104" s="369" t="s">
        <v>244</v>
      </c>
      <c r="M104" s="122" t="s">
        <v>247</v>
      </c>
      <c r="N104" s="139">
        <f t="shared" si="1"/>
        <v>0.28159416842754403</v>
      </c>
      <c r="Q104" s="247"/>
    </row>
    <row r="105" spans="2:17" s="55" customFormat="1" x14ac:dyDescent="0.25">
      <c r="B105" s="120" t="s">
        <v>0</v>
      </c>
      <c r="C105" s="120" t="s">
        <v>139</v>
      </c>
      <c r="D105" s="120" t="s">
        <v>6</v>
      </c>
      <c r="E105" s="120"/>
      <c r="F105" s="120"/>
      <c r="G105" s="120" t="s">
        <v>270</v>
      </c>
      <c r="H105" s="120" t="s">
        <v>46</v>
      </c>
      <c r="I105" s="228">
        <v>142</v>
      </c>
      <c r="J105" s="228">
        <v>181.98637191671125</v>
      </c>
      <c r="K105" s="121" t="s">
        <v>68</v>
      </c>
      <c r="L105" s="369" t="s">
        <v>244</v>
      </c>
      <c r="M105" s="122" t="s">
        <v>247</v>
      </c>
      <c r="N105" s="139">
        <f t="shared" si="1"/>
        <v>0.28159416842754403</v>
      </c>
      <c r="Q105" s="247"/>
    </row>
    <row r="106" spans="2:17" s="55" customFormat="1" x14ac:dyDescent="0.25">
      <c r="B106" s="120" t="s">
        <v>0</v>
      </c>
      <c r="C106" s="120" t="s">
        <v>140</v>
      </c>
      <c r="D106" s="120" t="s">
        <v>13</v>
      </c>
      <c r="E106" s="120"/>
      <c r="F106" s="120"/>
      <c r="G106" s="120" t="s">
        <v>270</v>
      </c>
      <c r="H106" s="120" t="s">
        <v>46</v>
      </c>
      <c r="I106" s="228">
        <v>183</v>
      </c>
      <c r="J106" s="228">
        <v>193.19039449943125</v>
      </c>
      <c r="K106" s="121" t="s">
        <v>68</v>
      </c>
      <c r="L106" s="369" t="s">
        <v>246</v>
      </c>
      <c r="M106" s="122" t="s">
        <v>247</v>
      </c>
      <c r="N106" s="139">
        <f t="shared" si="1"/>
        <v>5.5685215843886526E-2</v>
      </c>
    </row>
    <row r="107" spans="2:17" s="55" customFormat="1" x14ac:dyDescent="0.25">
      <c r="B107" s="120" t="s">
        <v>0</v>
      </c>
      <c r="C107" s="120" t="s">
        <v>138</v>
      </c>
      <c r="D107" s="120" t="s">
        <v>6</v>
      </c>
      <c r="E107" s="120"/>
      <c r="F107" s="120"/>
      <c r="G107" s="120" t="s">
        <v>277</v>
      </c>
      <c r="H107" s="120" t="s">
        <v>46</v>
      </c>
      <c r="I107" s="228">
        <v>39.130000000000003</v>
      </c>
      <c r="J107" s="228">
        <v>62.265266157593501</v>
      </c>
      <c r="K107" s="121" t="s">
        <v>68</v>
      </c>
      <c r="L107" s="122" t="s">
        <v>284</v>
      </c>
      <c r="M107" s="122" t="s">
        <v>285</v>
      </c>
      <c r="N107" s="139">
        <f t="shared" si="1"/>
        <v>0.59124114892904411</v>
      </c>
    </row>
    <row r="108" spans="2:17" s="55" customFormat="1" x14ac:dyDescent="0.25">
      <c r="B108" s="120" t="s">
        <v>0</v>
      </c>
      <c r="C108" s="120" t="s">
        <v>139</v>
      </c>
      <c r="D108" s="120" t="s">
        <v>6</v>
      </c>
      <c r="E108" s="120"/>
      <c r="F108" s="120"/>
      <c r="G108" s="120" t="s">
        <v>277</v>
      </c>
      <c r="H108" s="120" t="s">
        <v>46</v>
      </c>
      <c r="I108" s="228">
        <v>39.130000000000003</v>
      </c>
      <c r="J108" s="228">
        <v>62.265266157593501</v>
      </c>
      <c r="K108" s="121" t="s">
        <v>68</v>
      </c>
      <c r="L108" s="122" t="s">
        <v>284</v>
      </c>
      <c r="M108" s="122" t="s">
        <v>285</v>
      </c>
      <c r="N108" s="139">
        <f t="shared" si="1"/>
        <v>0.59124114892904411</v>
      </c>
    </row>
    <row r="109" spans="2:17" s="55" customFormat="1" x14ac:dyDescent="0.25">
      <c r="B109" s="120" t="s">
        <v>0</v>
      </c>
      <c r="C109" s="120" t="s">
        <v>140</v>
      </c>
      <c r="D109" s="120" t="s">
        <v>13</v>
      </c>
      <c r="E109" s="120"/>
      <c r="F109" s="120"/>
      <c r="G109" s="120" t="s">
        <v>277</v>
      </c>
      <c r="H109" s="120" t="s">
        <v>46</v>
      </c>
      <c r="I109" s="228">
        <v>35.020000000000003</v>
      </c>
      <c r="J109" s="228">
        <v>57.463423451720978</v>
      </c>
      <c r="K109" s="121" t="s">
        <v>68</v>
      </c>
      <c r="L109" s="122" t="s">
        <v>284</v>
      </c>
      <c r="M109" s="122" t="s">
        <v>285</v>
      </c>
      <c r="N109" s="139">
        <f t="shared" si="1"/>
        <v>0.64087445607427096</v>
      </c>
    </row>
    <row r="110" spans="2:17" s="55" customFormat="1" x14ac:dyDescent="0.25">
      <c r="B110" s="120" t="s">
        <v>0</v>
      </c>
      <c r="C110" s="120" t="str">
        <f t="shared" ref="C110:C111" si="29">IF(D110="","All",D110&amp;" "&amp;E110)</f>
        <v xml:space="preserve">Residential </v>
      </c>
      <c r="D110" s="120" t="s">
        <v>6</v>
      </c>
      <c r="E110" s="120"/>
      <c r="F110" s="120"/>
      <c r="G110" s="120" t="s">
        <v>207</v>
      </c>
      <c r="H110" s="120" t="s">
        <v>46</v>
      </c>
      <c r="I110" s="228">
        <v>0.63</v>
      </c>
      <c r="J110" s="228">
        <v>2.6417768925456344</v>
      </c>
      <c r="K110" s="121" t="s">
        <v>68</v>
      </c>
      <c r="L110" s="122" t="s">
        <v>284</v>
      </c>
      <c r="M110" s="122" t="s">
        <v>285</v>
      </c>
      <c r="N110" s="139">
        <f t="shared" si="1"/>
        <v>3.1932966548343407</v>
      </c>
      <c r="O110" s="248"/>
      <c r="P110" s="251"/>
    </row>
    <row r="111" spans="2:17" s="55" customFormat="1" x14ac:dyDescent="0.25">
      <c r="B111" s="120" t="s">
        <v>0</v>
      </c>
      <c r="C111" s="120" t="str">
        <f t="shared" si="29"/>
        <v xml:space="preserve">Small business </v>
      </c>
      <c r="D111" s="120" t="s">
        <v>13</v>
      </c>
      <c r="E111" s="120"/>
      <c r="F111" s="120"/>
      <c r="G111" s="120" t="s">
        <v>207</v>
      </c>
      <c r="H111" s="120" t="s">
        <v>46</v>
      </c>
      <c r="I111" s="228">
        <v>0.49</v>
      </c>
      <c r="J111" s="228">
        <v>4.5072864961663361</v>
      </c>
      <c r="K111" s="121" t="s">
        <v>68</v>
      </c>
      <c r="L111" s="122" t="s">
        <v>284</v>
      </c>
      <c r="M111" s="122" t="s">
        <v>285</v>
      </c>
      <c r="N111" s="139">
        <f t="shared" si="1"/>
        <v>8.1985438697272173</v>
      </c>
      <c r="O111" s="248"/>
      <c r="P111" s="251"/>
    </row>
    <row r="112" spans="2:17" s="55" customFormat="1" x14ac:dyDescent="0.25">
      <c r="B112" s="120" t="s">
        <v>0</v>
      </c>
      <c r="C112" s="120" t="str">
        <f t="shared" ref="C112:C113" si="30">IF(D112="","All",D112&amp;" "&amp;E112)</f>
        <v xml:space="preserve">Residential </v>
      </c>
      <c r="D112" s="120" t="s">
        <v>6</v>
      </c>
      <c r="E112" s="120"/>
      <c r="F112" s="120"/>
      <c r="G112" s="120" t="s">
        <v>167</v>
      </c>
      <c r="H112" s="120" t="s">
        <v>46</v>
      </c>
      <c r="I112" s="228">
        <v>24</v>
      </c>
      <c r="J112" s="228">
        <v>35.445506286367262</v>
      </c>
      <c r="K112" s="121" t="s">
        <v>68</v>
      </c>
      <c r="L112" s="122" t="s">
        <v>252</v>
      </c>
      <c r="M112" s="381" t="s">
        <v>247</v>
      </c>
      <c r="N112" s="139">
        <f t="shared" si="1"/>
        <v>0.47689609526530252</v>
      </c>
    </row>
    <row r="113" spans="2:17" s="172" customFormat="1" x14ac:dyDescent="0.25">
      <c r="B113" s="168" t="str">
        <f>+B112</f>
        <v>Energex</v>
      </c>
      <c r="C113" s="168" t="str">
        <f t="shared" si="30"/>
        <v xml:space="preserve">Small business </v>
      </c>
      <c r="D113" s="168" t="s">
        <v>13</v>
      </c>
      <c r="E113" s="168"/>
      <c r="F113" s="168"/>
      <c r="G113" s="168" t="s">
        <v>167</v>
      </c>
      <c r="H113" s="168" t="s">
        <v>46</v>
      </c>
      <c r="I113" s="229">
        <v>42</v>
      </c>
      <c r="J113" s="229">
        <v>55.097708961607353</v>
      </c>
      <c r="K113" s="169" t="s">
        <v>68</v>
      </c>
      <c r="L113" s="170" t="s">
        <v>252</v>
      </c>
      <c r="M113" s="382" t="s">
        <v>247</v>
      </c>
      <c r="N113" s="171">
        <f t="shared" si="1"/>
        <v>0.31185021337160368</v>
      </c>
    </row>
    <row r="114" spans="2:17" s="55" customFormat="1" x14ac:dyDescent="0.25">
      <c r="B114" s="120" t="s">
        <v>5</v>
      </c>
      <c r="C114" s="120" t="str">
        <f t="shared" si="2"/>
        <v>Residential without CL</v>
      </c>
      <c r="D114" s="120" t="s">
        <v>6</v>
      </c>
      <c r="E114" s="120" t="s">
        <v>127</v>
      </c>
      <c r="F114" s="120" t="s">
        <v>19</v>
      </c>
      <c r="G114" s="120" t="s">
        <v>70</v>
      </c>
      <c r="H114" s="120" t="s">
        <v>47</v>
      </c>
      <c r="I114" s="228">
        <v>149.07</v>
      </c>
      <c r="J114" s="228">
        <v>168.155</v>
      </c>
      <c r="K114" s="121" t="s">
        <v>44</v>
      </c>
      <c r="L114" s="122" t="s">
        <v>269</v>
      </c>
      <c r="M114" s="122" t="s">
        <v>306</v>
      </c>
      <c r="N114" s="139">
        <f t="shared" si="1"/>
        <v>0.12802710136177642</v>
      </c>
      <c r="Q114" s="247"/>
    </row>
    <row r="115" spans="2:17" s="55" customFormat="1" x14ac:dyDescent="0.25">
      <c r="B115" s="120" t="s">
        <v>5</v>
      </c>
      <c r="C115" s="120" t="str">
        <f t="shared" si="2"/>
        <v>Residential with CL</v>
      </c>
      <c r="D115" s="120" t="s">
        <v>6</v>
      </c>
      <c r="E115" s="120" t="s">
        <v>128</v>
      </c>
      <c r="F115" s="120" t="s">
        <v>14</v>
      </c>
      <c r="G115" s="120" t="s">
        <v>70</v>
      </c>
      <c r="H115" s="120" t="s">
        <v>47</v>
      </c>
      <c r="I115" s="228">
        <v>89.89</v>
      </c>
      <c r="J115" s="228">
        <v>101.455</v>
      </c>
      <c r="K115" s="121" t="s">
        <v>44</v>
      </c>
      <c r="L115" s="122" t="s">
        <v>253</v>
      </c>
      <c r="M115" s="122" t="s">
        <v>306</v>
      </c>
      <c r="N115" s="139">
        <f t="shared" si="1"/>
        <v>0.12865724774724652</v>
      </c>
      <c r="Q115" s="247"/>
    </row>
    <row r="116" spans="2:17" s="55" customFormat="1" x14ac:dyDescent="0.25">
      <c r="B116" s="120" t="s">
        <v>5</v>
      </c>
      <c r="C116" s="120" t="str">
        <f t="shared" si="2"/>
        <v>Small business without CL</v>
      </c>
      <c r="D116" s="120" t="s">
        <v>13</v>
      </c>
      <c r="E116" s="120" t="s">
        <v>127</v>
      </c>
      <c r="F116" s="120" t="s">
        <v>19</v>
      </c>
      <c r="G116" s="120" t="s">
        <v>70</v>
      </c>
      <c r="H116" s="120" t="s">
        <v>47</v>
      </c>
      <c r="I116" s="228">
        <v>149.07</v>
      </c>
      <c r="J116" s="228">
        <v>168.155</v>
      </c>
      <c r="K116" s="121" t="s">
        <v>44</v>
      </c>
      <c r="L116" s="122" t="s">
        <v>269</v>
      </c>
      <c r="M116" s="122" t="s">
        <v>306</v>
      </c>
      <c r="N116" s="139">
        <f t="shared" ref="N116:N140" si="31">IFERROR(IF(K116="%",J116-I116,J116/I116-1),"")</f>
        <v>0.12802710136177642</v>
      </c>
      <c r="Q116" s="247"/>
    </row>
    <row r="117" spans="2:17" s="55" customFormat="1" x14ac:dyDescent="0.25">
      <c r="B117" s="120" t="s">
        <v>5</v>
      </c>
      <c r="C117" s="120" t="str">
        <f t="shared" ref="C117:C180" si="32">IF(D117="","All",D117&amp;" "&amp;E117)</f>
        <v>All</v>
      </c>
      <c r="D117" s="120"/>
      <c r="E117" s="120"/>
      <c r="F117" s="120"/>
      <c r="G117" s="120" t="s">
        <v>71</v>
      </c>
      <c r="H117" s="120" t="s">
        <v>47</v>
      </c>
      <c r="I117" s="228">
        <v>0.97</v>
      </c>
      <c r="J117" s="228">
        <v>0.58531011875289041</v>
      </c>
      <c r="K117" s="121" t="s">
        <v>44</v>
      </c>
      <c r="L117" s="122" t="s">
        <v>259</v>
      </c>
      <c r="M117" s="122" t="s">
        <v>324</v>
      </c>
      <c r="N117" s="139">
        <f t="shared" si="31"/>
        <v>-0.39658750644031915</v>
      </c>
      <c r="Q117" s="247"/>
    </row>
    <row r="118" spans="2:17" s="55" customFormat="1" x14ac:dyDescent="0.25">
      <c r="B118" s="120" t="s">
        <v>5</v>
      </c>
      <c r="C118" s="120" t="str">
        <f t="shared" si="32"/>
        <v>All</v>
      </c>
      <c r="D118" s="120"/>
      <c r="E118" s="120"/>
      <c r="F118" s="120"/>
      <c r="G118" s="120" t="s">
        <v>78</v>
      </c>
      <c r="H118" s="120" t="s">
        <v>47</v>
      </c>
      <c r="I118" s="228">
        <v>0.50409000000000004</v>
      </c>
      <c r="J118" s="228">
        <v>0.57443</v>
      </c>
      <c r="K118" s="121" t="s">
        <v>44</v>
      </c>
      <c r="L118" s="122" t="s">
        <v>258</v>
      </c>
      <c r="M118" s="122" t="s">
        <v>325</v>
      </c>
      <c r="N118" s="139">
        <f t="shared" si="31"/>
        <v>0.13953857446090967</v>
      </c>
      <c r="Q118" s="247"/>
    </row>
    <row r="119" spans="2:17" s="55" customFormat="1" x14ac:dyDescent="0.25">
      <c r="B119" s="120" t="str">
        <f>+B118</f>
        <v>SAPN</v>
      </c>
      <c r="C119" s="120" t="str">
        <f t="shared" si="32"/>
        <v>All</v>
      </c>
      <c r="D119" s="120"/>
      <c r="E119" s="120"/>
      <c r="F119" s="120"/>
      <c r="G119" s="120" t="s">
        <v>78</v>
      </c>
      <c r="H119" s="120" t="s">
        <v>46</v>
      </c>
      <c r="I119" s="228">
        <v>0.22833000000000001</v>
      </c>
      <c r="J119" s="228">
        <v>0.26533344915475288</v>
      </c>
      <c r="K119" s="121" t="s">
        <v>45</v>
      </c>
      <c r="L119" s="122" t="s">
        <v>258</v>
      </c>
      <c r="M119" s="122" t="s">
        <v>325</v>
      </c>
      <c r="N119" s="139">
        <f t="shared" ref="N119:N121" si="33">IFERROR(IF(K119="%",J119-I119,J119/I119-1),"")</f>
        <v>0.162061267265593</v>
      </c>
      <c r="P119" s="247"/>
    </row>
    <row r="120" spans="2:17" s="55" customFormat="1" x14ac:dyDescent="0.25">
      <c r="B120" s="120" t="s">
        <v>5</v>
      </c>
      <c r="C120" s="120" t="str">
        <f t="shared" si="32"/>
        <v>All</v>
      </c>
      <c r="D120" s="120"/>
      <c r="E120" s="120"/>
      <c r="F120" s="120"/>
      <c r="G120" s="120" t="s">
        <v>72</v>
      </c>
      <c r="H120" s="120" t="s">
        <v>47</v>
      </c>
      <c r="I120" s="228">
        <v>0</v>
      </c>
      <c r="J120" s="228">
        <v>6.7563101629320773E-3</v>
      </c>
      <c r="K120" s="121" t="s">
        <v>44</v>
      </c>
      <c r="L120" s="122" t="s">
        <v>265</v>
      </c>
      <c r="M120" s="122" t="s">
        <v>334</v>
      </c>
      <c r="N120" s="139" t="str">
        <f t="shared" si="33"/>
        <v/>
      </c>
      <c r="Q120" s="247"/>
    </row>
    <row r="121" spans="2:17" s="55" customFormat="1" x14ac:dyDescent="0.25">
      <c r="B121" s="120" t="s">
        <v>5</v>
      </c>
      <c r="C121" s="120" t="str">
        <f t="shared" ref="C121" si="34">IF(D121="","All",D121&amp;" "&amp;E121)</f>
        <v>All</v>
      </c>
      <c r="D121" s="120"/>
      <c r="E121" s="120"/>
      <c r="F121" s="120"/>
      <c r="G121" s="120" t="str">
        <f>+G96</f>
        <v>June 2022 Event Cost</v>
      </c>
      <c r="H121" s="120" t="s">
        <v>47</v>
      </c>
      <c r="I121" s="228">
        <v>0</v>
      </c>
      <c r="J121" s="228">
        <v>5.0625427163511004E-2</v>
      </c>
      <c r="K121" s="121" t="s">
        <v>44</v>
      </c>
      <c r="L121" s="122" t="s">
        <v>265</v>
      </c>
      <c r="M121" s="122" t="s">
        <v>334</v>
      </c>
      <c r="N121" s="139" t="str">
        <f t="shared" si="33"/>
        <v/>
      </c>
      <c r="Q121" s="247"/>
    </row>
    <row r="122" spans="2:17" s="55" customFormat="1" x14ac:dyDescent="0.25">
      <c r="B122" s="120" t="s">
        <v>5</v>
      </c>
      <c r="C122" s="120" t="str">
        <f t="shared" si="32"/>
        <v>All</v>
      </c>
      <c r="D122" s="120"/>
      <c r="E122" s="120"/>
      <c r="F122" s="120"/>
      <c r="G122" s="120" t="s">
        <v>135</v>
      </c>
      <c r="H122" s="120" t="s">
        <v>47</v>
      </c>
      <c r="I122" s="228">
        <v>3.32</v>
      </c>
      <c r="J122" s="228">
        <v>3.6927728105909479</v>
      </c>
      <c r="K122" s="121" t="s">
        <v>44</v>
      </c>
      <c r="L122" s="122" t="s">
        <v>260</v>
      </c>
      <c r="M122" s="122" t="s">
        <v>327</v>
      </c>
      <c r="N122" s="139">
        <f t="shared" si="31"/>
        <v>0.11228096704546631</v>
      </c>
      <c r="Q122" s="247"/>
    </row>
    <row r="123" spans="2:17" s="55" customFormat="1" x14ac:dyDescent="0.25">
      <c r="B123" s="120" t="s">
        <v>5</v>
      </c>
      <c r="C123" s="120" t="str">
        <f t="shared" si="32"/>
        <v>All</v>
      </c>
      <c r="D123" s="120"/>
      <c r="E123" s="120"/>
      <c r="F123" s="120"/>
      <c r="G123" s="120" t="s">
        <v>74</v>
      </c>
      <c r="H123" s="120" t="s">
        <v>47</v>
      </c>
      <c r="I123" s="228">
        <v>7.54</v>
      </c>
      <c r="J123" s="228">
        <v>6.1170426505850894</v>
      </c>
      <c r="K123" s="121" t="s">
        <v>44</v>
      </c>
      <c r="L123" s="122" t="s">
        <v>254</v>
      </c>
      <c r="M123" s="122" t="s">
        <v>328</v>
      </c>
      <c r="N123" s="139">
        <f t="shared" si="31"/>
        <v>-0.18872113387465661</v>
      </c>
      <c r="Q123" s="247"/>
    </row>
    <row r="124" spans="2:17" s="55" customFormat="1" x14ac:dyDescent="0.25">
      <c r="B124" s="120" t="s">
        <v>5</v>
      </c>
      <c r="C124" s="120" t="str">
        <f t="shared" si="32"/>
        <v>All</v>
      </c>
      <c r="D124" s="120"/>
      <c r="E124" s="120"/>
      <c r="F124" s="120"/>
      <c r="G124" s="120" t="s">
        <v>75</v>
      </c>
      <c r="H124" s="120" t="s">
        <v>47</v>
      </c>
      <c r="I124" s="228">
        <v>7.85</v>
      </c>
      <c r="J124" s="228">
        <v>5.1359999999999992</v>
      </c>
      <c r="K124" s="121" t="s">
        <v>44</v>
      </c>
      <c r="L124" s="122" t="s">
        <v>255</v>
      </c>
      <c r="M124" s="122" t="s">
        <v>328</v>
      </c>
      <c r="N124" s="139">
        <f t="shared" si="31"/>
        <v>-0.3457324840764332</v>
      </c>
      <c r="Q124" s="247"/>
    </row>
    <row r="125" spans="2:17" s="55" customFormat="1" x14ac:dyDescent="0.25">
      <c r="B125" s="120" t="s">
        <v>5</v>
      </c>
      <c r="C125" s="120" t="str">
        <f t="shared" si="32"/>
        <v>All</v>
      </c>
      <c r="D125" s="120"/>
      <c r="E125" s="120"/>
      <c r="F125" s="120"/>
      <c r="G125" s="120" t="s">
        <v>79</v>
      </c>
      <c r="H125" s="120" t="s">
        <v>47</v>
      </c>
      <c r="I125" s="228">
        <v>0</v>
      </c>
      <c r="J125" s="228">
        <v>0</v>
      </c>
      <c r="K125" s="121" t="s">
        <v>44</v>
      </c>
      <c r="L125" s="122" t="s">
        <v>268</v>
      </c>
      <c r="M125" s="122" t="s">
        <v>336</v>
      </c>
      <c r="N125" s="139" t="str">
        <f t="shared" si="31"/>
        <v/>
      </c>
      <c r="Q125" s="247"/>
    </row>
    <row r="126" spans="2:17" s="55" customFormat="1" x14ac:dyDescent="0.25">
      <c r="B126" s="120" t="s">
        <v>5</v>
      </c>
      <c r="C126" s="120" t="str">
        <f t="shared" ref="C126" si="35">IF(D126="","All",D126&amp;" "&amp;E126)</f>
        <v>All</v>
      </c>
      <c r="D126" s="120"/>
      <c r="E126" s="120"/>
      <c r="F126" s="120"/>
      <c r="G126" s="120" t="s">
        <v>165</v>
      </c>
      <c r="H126" s="120" t="s">
        <v>47</v>
      </c>
      <c r="I126" s="228">
        <v>4.57</v>
      </c>
      <c r="J126" s="228">
        <v>4.0580163456251253</v>
      </c>
      <c r="K126" s="121" t="s">
        <v>44</v>
      </c>
      <c r="L126" s="122" t="s">
        <v>268</v>
      </c>
      <c r="M126" s="122" t="s">
        <v>336</v>
      </c>
      <c r="N126" s="139">
        <f t="shared" si="31"/>
        <v>-0.1120314342176969</v>
      </c>
      <c r="O126" s="248"/>
      <c r="P126" s="249"/>
      <c r="Q126" s="247"/>
    </row>
    <row r="127" spans="2:17" s="55" customFormat="1" x14ac:dyDescent="0.25">
      <c r="B127" s="120" t="s">
        <v>5</v>
      </c>
      <c r="C127" s="120" t="str">
        <f t="shared" ref="C127" si="36">IF(D127="","All",D127&amp;" "&amp;E127)</f>
        <v>All</v>
      </c>
      <c r="D127" s="120"/>
      <c r="E127" s="120"/>
      <c r="F127" s="120"/>
      <c r="G127" s="120" t="s">
        <v>166</v>
      </c>
      <c r="H127" s="120" t="s">
        <v>47</v>
      </c>
      <c r="I127" s="228">
        <v>8.44</v>
      </c>
      <c r="J127" s="228">
        <v>5.712785518640878</v>
      </c>
      <c r="K127" s="121" t="s">
        <v>44</v>
      </c>
      <c r="L127" s="122" t="s">
        <v>267</v>
      </c>
      <c r="M127" s="122" t="s">
        <v>330</v>
      </c>
      <c r="N127" s="139">
        <f t="shared" si="31"/>
        <v>-0.32312967788615188</v>
      </c>
      <c r="Q127" s="247"/>
    </row>
    <row r="128" spans="2:17" s="55" customFormat="1" x14ac:dyDescent="0.25">
      <c r="B128" s="120" t="s">
        <v>5</v>
      </c>
      <c r="C128" s="120" t="str">
        <f t="shared" si="32"/>
        <v>Residential without CL</v>
      </c>
      <c r="D128" s="120" t="s">
        <v>6</v>
      </c>
      <c r="E128" s="120" t="s">
        <v>127</v>
      </c>
      <c r="F128" s="120" t="s">
        <v>19</v>
      </c>
      <c r="G128" s="120" t="s">
        <v>73</v>
      </c>
      <c r="H128" s="120" t="s">
        <v>47</v>
      </c>
      <c r="I128" s="313">
        <v>0.11</v>
      </c>
      <c r="J128" s="313">
        <v>7.240927979591838E-2</v>
      </c>
      <c r="K128" s="121" t="s">
        <v>27</v>
      </c>
      <c r="L128" s="122" t="s">
        <v>266</v>
      </c>
      <c r="M128" s="122" t="s">
        <v>330</v>
      </c>
      <c r="N128" s="139">
        <f t="shared" si="31"/>
        <v>-3.7590720204081621E-2</v>
      </c>
      <c r="Q128" s="247"/>
    </row>
    <row r="129" spans="2:17" s="55" customFormat="1" x14ac:dyDescent="0.25">
      <c r="B129" s="120" t="s">
        <v>5</v>
      </c>
      <c r="C129" s="120" t="str">
        <f>IF(D129="","All",D129&amp;" "&amp;E129)</f>
        <v>Residential with CL</v>
      </c>
      <c r="D129" s="120" t="s">
        <v>6</v>
      </c>
      <c r="E129" s="120" t="s">
        <v>128</v>
      </c>
      <c r="F129" s="120" t="s">
        <v>14</v>
      </c>
      <c r="G129" s="120" t="s">
        <v>73</v>
      </c>
      <c r="H129" s="120" t="s">
        <v>47</v>
      </c>
      <c r="I129" s="313">
        <v>0.11</v>
      </c>
      <c r="J129" s="313">
        <v>7.240927979591838E-2</v>
      </c>
      <c r="K129" s="121" t="s">
        <v>27</v>
      </c>
      <c r="L129" s="122" t="s">
        <v>266</v>
      </c>
      <c r="M129" s="122" t="s">
        <v>330</v>
      </c>
      <c r="N129" s="139">
        <f t="shared" si="31"/>
        <v>-3.7590720204081621E-2</v>
      </c>
      <c r="Q129" s="247"/>
    </row>
    <row r="130" spans="2:17" s="55" customFormat="1" x14ac:dyDescent="0.25">
      <c r="B130" s="120" t="s">
        <v>5</v>
      </c>
      <c r="C130" s="120" t="str">
        <f>IF(D130="","All",D130&amp;" "&amp;E130)</f>
        <v>Small business without CL</v>
      </c>
      <c r="D130" s="120" t="s">
        <v>13</v>
      </c>
      <c r="E130" s="120" t="s">
        <v>127</v>
      </c>
      <c r="F130" s="120" t="s">
        <v>19</v>
      </c>
      <c r="G130" s="120" t="s">
        <v>73</v>
      </c>
      <c r="H130" s="120" t="s">
        <v>47</v>
      </c>
      <c r="I130" s="313">
        <v>0.11</v>
      </c>
      <c r="J130" s="313">
        <v>7.240927979591838E-2</v>
      </c>
      <c r="K130" s="121" t="s">
        <v>27</v>
      </c>
      <c r="L130" s="122" t="s">
        <v>266</v>
      </c>
      <c r="M130" s="122" t="s">
        <v>330</v>
      </c>
      <c r="N130" s="139">
        <f t="shared" si="31"/>
        <v>-3.7590720204081621E-2</v>
      </c>
      <c r="Q130" s="247"/>
    </row>
    <row r="131" spans="2:17" s="55" customFormat="1" x14ac:dyDescent="0.25">
      <c r="B131" s="120" t="s">
        <v>5</v>
      </c>
      <c r="C131" s="120" t="s">
        <v>138</v>
      </c>
      <c r="D131" s="120" t="s">
        <v>6</v>
      </c>
      <c r="E131" s="120"/>
      <c r="F131" s="120"/>
      <c r="G131" s="120" t="s">
        <v>270</v>
      </c>
      <c r="H131" s="120" t="s">
        <v>46</v>
      </c>
      <c r="I131" s="228">
        <v>146</v>
      </c>
      <c r="J131" s="228">
        <v>183.10232159386237</v>
      </c>
      <c r="K131" s="121" t="s">
        <v>68</v>
      </c>
      <c r="L131" s="369" t="s">
        <v>244</v>
      </c>
      <c r="M131" s="122" t="s">
        <v>247</v>
      </c>
      <c r="N131" s="139">
        <f t="shared" si="31"/>
        <v>0.25412549036892029</v>
      </c>
      <c r="Q131" s="247"/>
    </row>
    <row r="132" spans="2:17" s="55" customFormat="1" x14ac:dyDescent="0.25">
      <c r="B132" s="120" t="s">
        <v>5</v>
      </c>
      <c r="C132" s="120" t="s">
        <v>139</v>
      </c>
      <c r="D132" s="120" t="s">
        <v>6</v>
      </c>
      <c r="E132" s="120"/>
      <c r="F132" s="120"/>
      <c r="G132" s="120" t="s">
        <v>270</v>
      </c>
      <c r="H132" s="120" t="s">
        <v>46</v>
      </c>
      <c r="I132" s="228">
        <v>146</v>
      </c>
      <c r="J132" s="228">
        <v>183.10232159386237</v>
      </c>
      <c r="K132" s="121" t="s">
        <v>68</v>
      </c>
      <c r="L132" s="369" t="s">
        <v>244</v>
      </c>
      <c r="M132" s="122" t="s">
        <v>247</v>
      </c>
      <c r="N132" s="139">
        <f t="shared" si="31"/>
        <v>0.25412549036892029</v>
      </c>
    </row>
    <row r="133" spans="2:17" s="55" customFormat="1" x14ac:dyDescent="0.25">
      <c r="B133" s="120" t="s">
        <v>5</v>
      </c>
      <c r="C133" s="120" t="s">
        <v>140</v>
      </c>
      <c r="D133" s="120" t="s">
        <v>13</v>
      </c>
      <c r="E133" s="120"/>
      <c r="F133" s="120"/>
      <c r="G133" s="120" t="s">
        <v>270</v>
      </c>
      <c r="H133" s="120" t="s">
        <v>46</v>
      </c>
      <c r="I133" s="228">
        <v>183</v>
      </c>
      <c r="J133" s="228">
        <v>196.90647411009246</v>
      </c>
      <c r="K133" s="121" t="s">
        <v>68</v>
      </c>
      <c r="L133" s="369" t="s">
        <v>246</v>
      </c>
      <c r="M133" s="122" t="s">
        <v>247</v>
      </c>
      <c r="N133" s="139">
        <f t="shared" si="31"/>
        <v>7.5991661803783916E-2</v>
      </c>
    </row>
    <row r="134" spans="2:17" s="55" customFormat="1" x14ac:dyDescent="0.25">
      <c r="B134" s="120" t="s">
        <v>5</v>
      </c>
      <c r="C134" s="120" t="s">
        <v>138</v>
      </c>
      <c r="D134" s="120" t="s">
        <v>6</v>
      </c>
      <c r="E134" s="120"/>
      <c r="F134" s="120"/>
      <c r="G134" s="120" t="s">
        <v>277</v>
      </c>
      <c r="H134" s="120" t="s">
        <v>46</v>
      </c>
      <c r="I134" s="228">
        <v>42.94</v>
      </c>
      <c r="J134" s="228">
        <v>63.050983486012669</v>
      </c>
      <c r="K134" s="121" t="s">
        <v>68</v>
      </c>
      <c r="L134" s="122" t="s">
        <v>284</v>
      </c>
      <c r="M134" s="122" t="s">
        <v>285</v>
      </c>
      <c r="N134" s="139">
        <f t="shared" si="31"/>
        <v>0.46835080312092847</v>
      </c>
    </row>
    <row r="135" spans="2:17" s="55" customFormat="1" x14ac:dyDescent="0.25">
      <c r="B135" s="120" t="s">
        <v>5</v>
      </c>
      <c r="C135" s="120" t="s">
        <v>139</v>
      </c>
      <c r="D135" s="120" t="s">
        <v>6</v>
      </c>
      <c r="E135" s="120"/>
      <c r="F135" s="120"/>
      <c r="G135" s="120" t="s">
        <v>277</v>
      </c>
      <c r="H135" s="120" t="s">
        <v>46</v>
      </c>
      <c r="I135" s="228">
        <v>42.94</v>
      </c>
      <c r="J135" s="228">
        <v>63.050983486012669</v>
      </c>
      <c r="K135" s="121" t="s">
        <v>68</v>
      </c>
      <c r="L135" s="122" t="s">
        <v>284</v>
      </c>
      <c r="M135" s="122" t="s">
        <v>285</v>
      </c>
      <c r="N135" s="139">
        <f t="shared" si="31"/>
        <v>0.46835080312092847</v>
      </c>
    </row>
    <row r="136" spans="2:17" s="55" customFormat="1" x14ac:dyDescent="0.25">
      <c r="B136" s="120" t="s">
        <v>5</v>
      </c>
      <c r="C136" s="120" t="s">
        <v>140</v>
      </c>
      <c r="D136" s="120" t="s">
        <v>13</v>
      </c>
      <c r="E136" s="120"/>
      <c r="F136" s="120"/>
      <c r="G136" s="120" t="s">
        <v>277</v>
      </c>
      <c r="H136" s="120" t="s">
        <v>46</v>
      </c>
      <c r="I136" s="228">
        <v>34.61</v>
      </c>
      <c r="J136" s="228">
        <v>51.818256531164756</v>
      </c>
      <c r="K136" s="121" t="s">
        <v>68</v>
      </c>
      <c r="L136" s="122" t="s">
        <v>284</v>
      </c>
      <c r="M136" s="122" t="s">
        <v>285</v>
      </c>
      <c r="N136" s="139">
        <f t="shared" si="31"/>
        <v>0.497204753862027</v>
      </c>
    </row>
    <row r="137" spans="2:17" s="55" customFormat="1" x14ac:dyDescent="0.25">
      <c r="B137" s="120" t="s">
        <v>5</v>
      </c>
      <c r="C137" s="120" t="str">
        <f t="shared" ref="C137:C138" si="37">IF(D137="","All",D137&amp;" "&amp;E137)</f>
        <v xml:space="preserve">Residential </v>
      </c>
      <c r="D137" s="120" t="s">
        <v>6</v>
      </c>
      <c r="E137" s="120"/>
      <c r="F137" s="120"/>
      <c r="G137" s="120" t="s">
        <v>207</v>
      </c>
      <c r="H137" s="120" t="s">
        <v>46</v>
      </c>
      <c r="I137" s="228">
        <v>0.71</v>
      </c>
      <c r="J137" s="228">
        <v>1.9406888057493121</v>
      </c>
      <c r="K137" s="121" t="s">
        <v>68</v>
      </c>
      <c r="L137" s="122" t="s">
        <v>284</v>
      </c>
      <c r="M137" s="122" t="s">
        <v>285</v>
      </c>
      <c r="N137" s="139">
        <f t="shared" si="31"/>
        <v>1.7333645151398764</v>
      </c>
      <c r="O137" s="248"/>
      <c r="P137" s="251"/>
    </row>
    <row r="138" spans="2:17" s="55" customFormat="1" x14ac:dyDescent="0.25">
      <c r="B138" s="120" t="s">
        <v>5</v>
      </c>
      <c r="C138" s="120" t="str">
        <f t="shared" si="37"/>
        <v xml:space="preserve">Small business </v>
      </c>
      <c r="D138" s="120" t="s">
        <v>13</v>
      </c>
      <c r="E138" s="120"/>
      <c r="F138" s="120"/>
      <c r="G138" s="120" t="s">
        <v>207</v>
      </c>
      <c r="H138" s="120" t="s">
        <v>46</v>
      </c>
      <c r="I138" s="228">
        <v>0.49</v>
      </c>
      <c r="J138" s="228">
        <v>2.0238391685145141</v>
      </c>
      <c r="K138" s="121" t="s">
        <v>68</v>
      </c>
      <c r="L138" s="122" t="s">
        <v>284</v>
      </c>
      <c r="M138" s="122" t="s">
        <v>285</v>
      </c>
      <c r="N138" s="139">
        <f t="shared" si="31"/>
        <v>3.1302840173765594</v>
      </c>
      <c r="O138" s="248"/>
      <c r="P138" s="251"/>
    </row>
    <row r="139" spans="2:17" s="55" customFormat="1" x14ac:dyDescent="0.25">
      <c r="B139" s="120" t="s">
        <v>5</v>
      </c>
      <c r="C139" s="120" t="str">
        <f t="shared" ref="C139:C140" si="38">IF(D139="","All",D139&amp;" "&amp;E139)</f>
        <v xml:space="preserve">Residential </v>
      </c>
      <c r="D139" s="120" t="s">
        <v>6</v>
      </c>
      <c r="E139" s="120"/>
      <c r="F139" s="120"/>
      <c r="G139" s="120" t="s">
        <v>167</v>
      </c>
      <c r="H139" s="120" t="s">
        <v>46</v>
      </c>
      <c r="I139" s="228">
        <v>40</v>
      </c>
      <c r="J139" s="228">
        <v>39.639236008489149</v>
      </c>
      <c r="K139" s="121" t="s">
        <v>68</v>
      </c>
      <c r="L139" s="122" t="s">
        <v>251</v>
      </c>
      <c r="M139" s="381" t="s">
        <v>247</v>
      </c>
      <c r="N139" s="139">
        <f t="shared" si="31"/>
        <v>-9.0190997877712675E-3</v>
      </c>
    </row>
    <row r="140" spans="2:17" s="172" customFormat="1" x14ac:dyDescent="0.25">
      <c r="B140" s="168" t="str">
        <f>+B139</f>
        <v>SAPN</v>
      </c>
      <c r="C140" s="168" t="str">
        <f t="shared" si="38"/>
        <v xml:space="preserve">Small business </v>
      </c>
      <c r="D140" s="168" t="s">
        <v>13</v>
      </c>
      <c r="E140" s="168"/>
      <c r="F140" s="168"/>
      <c r="G140" s="168" t="s">
        <v>167</v>
      </c>
      <c r="H140" s="168" t="s">
        <v>46</v>
      </c>
      <c r="I140" s="229">
        <v>52</v>
      </c>
      <c r="J140" s="229">
        <v>45.805818495391733</v>
      </c>
      <c r="K140" s="169" t="s">
        <v>68</v>
      </c>
      <c r="L140" s="170" t="s">
        <v>251</v>
      </c>
      <c r="M140" s="382" t="s">
        <v>247</v>
      </c>
      <c r="N140" s="171">
        <f t="shared" si="31"/>
        <v>-0.11911887508862051</v>
      </c>
    </row>
    <row r="141" spans="2:17" s="55" customFormat="1" x14ac:dyDescent="0.25">
      <c r="B141" s="120" t="s">
        <v>2</v>
      </c>
      <c r="C141" s="120" t="str">
        <f t="shared" si="32"/>
        <v>Residential without CL</v>
      </c>
      <c r="D141" s="120" t="s">
        <v>6</v>
      </c>
      <c r="E141" s="120" t="s">
        <v>127</v>
      </c>
      <c r="F141" s="120" t="s">
        <v>19</v>
      </c>
      <c r="G141" s="120" t="s">
        <v>24</v>
      </c>
      <c r="H141" s="120"/>
      <c r="I141" s="232">
        <v>3900</v>
      </c>
      <c r="J141" s="232">
        <v>3900</v>
      </c>
      <c r="K141" s="121" t="s">
        <v>25</v>
      </c>
      <c r="L141" s="122" t="s">
        <v>242</v>
      </c>
      <c r="M141" s="122" t="s">
        <v>243</v>
      </c>
      <c r="N141" s="139"/>
    </row>
    <row r="142" spans="2:17" s="55" customFormat="1" x14ac:dyDescent="0.25">
      <c r="B142" s="120" t="s">
        <v>4</v>
      </c>
      <c r="C142" s="120" t="str">
        <f t="shared" si="32"/>
        <v>Residential without CL</v>
      </c>
      <c r="D142" s="120" t="s">
        <v>6</v>
      </c>
      <c r="E142" s="120" t="s">
        <v>127</v>
      </c>
      <c r="F142" s="120" t="s">
        <v>19</v>
      </c>
      <c r="G142" s="120" t="s">
        <v>24</v>
      </c>
      <c r="H142" s="120"/>
      <c r="I142" s="232">
        <v>4900</v>
      </c>
      <c r="J142" s="232">
        <v>4900</v>
      </c>
      <c r="K142" s="121" t="s">
        <v>25</v>
      </c>
      <c r="L142" s="122" t="s">
        <v>242</v>
      </c>
      <c r="M142" s="122" t="s">
        <v>243</v>
      </c>
      <c r="N142" s="139"/>
    </row>
    <row r="143" spans="2:17" s="55" customFormat="1" x14ac:dyDescent="0.25">
      <c r="B143" s="120" t="s">
        <v>0</v>
      </c>
      <c r="C143" s="120" t="str">
        <f t="shared" si="32"/>
        <v>Residential without CL</v>
      </c>
      <c r="D143" s="120" t="s">
        <v>6</v>
      </c>
      <c r="E143" s="120" t="s">
        <v>127</v>
      </c>
      <c r="F143" s="120" t="s">
        <v>19</v>
      </c>
      <c r="G143" s="120" t="s">
        <v>24</v>
      </c>
      <c r="H143" s="120"/>
      <c r="I143" s="232">
        <v>4600</v>
      </c>
      <c r="J143" s="232">
        <v>4600</v>
      </c>
      <c r="K143" s="121" t="s">
        <v>25</v>
      </c>
      <c r="L143" s="122" t="s">
        <v>242</v>
      </c>
      <c r="M143" s="122" t="s">
        <v>243</v>
      </c>
      <c r="N143" s="139"/>
    </row>
    <row r="144" spans="2:17" s="55" customFormat="1" x14ac:dyDescent="0.25">
      <c r="B144" s="120" t="s">
        <v>3</v>
      </c>
      <c r="C144" s="120" t="str">
        <f t="shared" si="32"/>
        <v>Residential without CL</v>
      </c>
      <c r="D144" s="120" t="s">
        <v>6</v>
      </c>
      <c r="E144" s="120" t="s">
        <v>127</v>
      </c>
      <c r="F144" s="120" t="s">
        <v>19</v>
      </c>
      <c r="G144" s="120" t="s">
        <v>24</v>
      </c>
      <c r="H144" s="120"/>
      <c r="I144" s="232">
        <v>4600</v>
      </c>
      <c r="J144" s="232">
        <v>4600</v>
      </c>
      <c r="K144" s="121" t="s">
        <v>25</v>
      </c>
      <c r="L144" s="122" t="s">
        <v>242</v>
      </c>
      <c r="M144" s="122" t="s">
        <v>243</v>
      </c>
      <c r="N144" s="139"/>
    </row>
    <row r="145" spans="2:14" s="55" customFormat="1" x14ac:dyDescent="0.25">
      <c r="B145" s="120" t="s">
        <v>5</v>
      </c>
      <c r="C145" s="120" t="str">
        <f t="shared" si="32"/>
        <v>Residential without CL</v>
      </c>
      <c r="D145" s="120" t="s">
        <v>6</v>
      </c>
      <c r="E145" s="120" t="s">
        <v>127</v>
      </c>
      <c r="F145" s="120" t="s">
        <v>19</v>
      </c>
      <c r="G145" s="120" t="s">
        <v>24</v>
      </c>
      <c r="H145" s="120"/>
      <c r="I145" s="232">
        <v>4000</v>
      </c>
      <c r="J145" s="232">
        <v>4000</v>
      </c>
      <c r="K145" s="121" t="s">
        <v>25</v>
      </c>
      <c r="L145" s="122" t="s">
        <v>242</v>
      </c>
      <c r="M145" s="122" t="s">
        <v>243</v>
      </c>
      <c r="N145" s="139"/>
    </row>
    <row r="146" spans="2:14" s="55" customFormat="1" x14ac:dyDescent="0.25">
      <c r="B146" s="120" t="s">
        <v>2</v>
      </c>
      <c r="C146" s="120" t="str">
        <f t="shared" si="32"/>
        <v>Residential with CL</v>
      </c>
      <c r="D146" s="120" t="s">
        <v>6</v>
      </c>
      <c r="E146" s="120" t="s">
        <v>128</v>
      </c>
      <c r="F146" s="120" t="s">
        <v>19</v>
      </c>
      <c r="G146" s="120" t="s">
        <v>24</v>
      </c>
      <c r="H146" s="120"/>
      <c r="I146" s="232">
        <v>4800</v>
      </c>
      <c r="J146" s="232">
        <v>4800</v>
      </c>
      <c r="K146" s="121" t="s">
        <v>25</v>
      </c>
      <c r="L146" s="122" t="s">
        <v>242</v>
      </c>
      <c r="M146" s="122" t="s">
        <v>243</v>
      </c>
      <c r="N146" s="139"/>
    </row>
    <row r="147" spans="2:14" s="55" customFormat="1" x14ac:dyDescent="0.25">
      <c r="B147" s="120" t="s">
        <v>4</v>
      </c>
      <c r="C147" s="120" t="str">
        <f t="shared" si="32"/>
        <v>Residential with CL</v>
      </c>
      <c r="D147" s="120" t="s">
        <v>6</v>
      </c>
      <c r="E147" s="120" t="s">
        <v>128</v>
      </c>
      <c r="F147" s="120" t="s">
        <v>19</v>
      </c>
      <c r="G147" s="120" t="s">
        <v>24</v>
      </c>
      <c r="H147" s="120"/>
      <c r="I147" s="232">
        <v>5200</v>
      </c>
      <c r="J147" s="232">
        <v>5200</v>
      </c>
      <c r="K147" s="121" t="s">
        <v>25</v>
      </c>
      <c r="L147" s="122" t="s">
        <v>242</v>
      </c>
      <c r="M147" s="122" t="s">
        <v>243</v>
      </c>
      <c r="N147" s="139"/>
    </row>
    <row r="148" spans="2:14" s="55" customFormat="1" x14ac:dyDescent="0.25">
      <c r="B148" s="120" t="s">
        <v>0</v>
      </c>
      <c r="C148" s="120" t="str">
        <f t="shared" si="32"/>
        <v>Residential with CL</v>
      </c>
      <c r="D148" s="120" t="s">
        <v>6</v>
      </c>
      <c r="E148" s="120" t="s">
        <v>128</v>
      </c>
      <c r="F148" s="120" t="s">
        <v>19</v>
      </c>
      <c r="G148" s="120" t="s">
        <v>24</v>
      </c>
      <c r="H148" s="120"/>
      <c r="I148" s="232">
        <v>4400</v>
      </c>
      <c r="J148" s="232">
        <v>4400</v>
      </c>
      <c r="K148" s="121" t="s">
        <v>25</v>
      </c>
      <c r="L148" s="122" t="s">
        <v>242</v>
      </c>
      <c r="M148" s="122" t="s">
        <v>243</v>
      </c>
      <c r="N148" s="139"/>
    </row>
    <row r="149" spans="2:14" s="55" customFormat="1" x14ac:dyDescent="0.25">
      <c r="B149" s="120" t="s">
        <v>3</v>
      </c>
      <c r="C149" s="120" t="str">
        <f t="shared" si="32"/>
        <v>Residential with CL</v>
      </c>
      <c r="D149" s="120" t="s">
        <v>6</v>
      </c>
      <c r="E149" s="120" t="s">
        <v>128</v>
      </c>
      <c r="F149" s="120" t="s">
        <v>19</v>
      </c>
      <c r="G149" s="120" t="s">
        <v>24</v>
      </c>
      <c r="H149" s="120"/>
      <c r="I149" s="232">
        <v>4600</v>
      </c>
      <c r="J149" s="232">
        <v>4600</v>
      </c>
      <c r="K149" s="121" t="s">
        <v>25</v>
      </c>
      <c r="L149" s="122" t="s">
        <v>242</v>
      </c>
      <c r="M149" s="122" t="s">
        <v>243</v>
      </c>
      <c r="N149" s="139"/>
    </row>
    <row r="150" spans="2:14" s="55" customFormat="1" x14ac:dyDescent="0.25">
      <c r="B150" s="120" t="s">
        <v>5</v>
      </c>
      <c r="C150" s="120" t="str">
        <f t="shared" si="32"/>
        <v>Residential with CL</v>
      </c>
      <c r="D150" s="120" t="s">
        <v>6</v>
      </c>
      <c r="E150" s="120" t="s">
        <v>128</v>
      </c>
      <c r="F150" s="120" t="s">
        <v>19</v>
      </c>
      <c r="G150" s="120" t="s">
        <v>24</v>
      </c>
      <c r="H150" s="120"/>
      <c r="I150" s="232">
        <v>4200</v>
      </c>
      <c r="J150" s="232">
        <v>4200</v>
      </c>
      <c r="K150" s="121" t="s">
        <v>25</v>
      </c>
      <c r="L150" s="122" t="s">
        <v>242</v>
      </c>
      <c r="M150" s="122" t="s">
        <v>243</v>
      </c>
      <c r="N150" s="139"/>
    </row>
    <row r="151" spans="2:14" s="55" customFormat="1" x14ac:dyDescent="0.25">
      <c r="B151" s="120" t="s">
        <v>2</v>
      </c>
      <c r="C151" s="120" t="str">
        <f t="shared" si="32"/>
        <v>Residential with CL</v>
      </c>
      <c r="D151" s="120" t="s">
        <v>6</v>
      </c>
      <c r="E151" s="120" t="s">
        <v>128</v>
      </c>
      <c r="F151" s="120" t="s">
        <v>16</v>
      </c>
      <c r="G151" s="120" t="s">
        <v>24</v>
      </c>
      <c r="H151" s="120"/>
      <c r="I151" s="232">
        <v>2000</v>
      </c>
      <c r="J151" s="232">
        <v>2000</v>
      </c>
      <c r="K151" s="121" t="s">
        <v>25</v>
      </c>
      <c r="L151" s="122" t="s">
        <v>242</v>
      </c>
      <c r="M151" s="122" t="s">
        <v>243</v>
      </c>
      <c r="N151" s="139"/>
    </row>
    <row r="152" spans="2:14" s="55" customFormat="1" x14ac:dyDescent="0.25">
      <c r="B152" s="120" t="s">
        <v>4</v>
      </c>
      <c r="C152" s="120" t="str">
        <f t="shared" si="32"/>
        <v>Residential with CL</v>
      </c>
      <c r="D152" s="120" t="s">
        <v>6</v>
      </c>
      <c r="E152" s="120" t="s">
        <v>128</v>
      </c>
      <c r="F152" s="120" t="s">
        <v>16</v>
      </c>
      <c r="G152" s="120" t="s">
        <v>24</v>
      </c>
      <c r="H152" s="120"/>
      <c r="I152" s="232">
        <v>2200</v>
      </c>
      <c r="J152" s="232">
        <v>2200</v>
      </c>
      <c r="K152" s="121" t="s">
        <v>25</v>
      </c>
      <c r="L152" s="122" t="s">
        <v>242</v>
      </c>
      <c r="M152" s="122" t="s">
        <v>243</v>
      </c>
      <c r="N152" s="139"/>
    </row>
    <row r="153" spans="2:14" s="55" customFormat="1" x14ac:dyDescent="0.25">
      <c r="B153" s="120" t="s">
        <v>0</v>
      </c>
      <c r="C153" s="120" t="str">
        <f t="shared" si="32"/>
        <v>Residential with CL</v>
      </c>
      <c r="D153" s="120" t="s">
        <v>6</v>
      </c>
      <c r="E153" s="120" t="s">
        <v>128</v>
      </c>
      <c r="F153" s="120" t="s">
        <v>16</v>
      </c>
      <c r="G153" s="120" t="s">
        <v>24</v>
      </c>
      <c r="H153" s="120"/>
      <c r="I153" s="232">
        <v>1900</v>
      </c>
      <c r="J153" s="232">
        <v>1900</v>
      </c>
      <c r="K153" s="121" t="s">
        <v>25</v>
      </c>
      <c r="L153" s="122" t="s">
        <v>242</v>
      </c>
      <c r="M153" s="122" t="s">
        <v>243</v>
      </c>
      <c r="N153" s="139"/>
    </row>
    <row r="154" spans="2:14" s="55" customFormat="1" x14ac:dyDescent="0.25">
      <c r="B154" s="120" t="s">
        <v>3</v>
      </c>
      <c r="C154" s="120" t="str">
        <f t="shared" si="32"/>
        <v>Residential with CL</v>
      </c>
      <c r="D154" s="120" t="s">
        <v>6</v>
      </c>
      <c r="E154" s="120" t="s">
        <v>128</v>
      </c>
      <c r="F154" s="120" t="s">
        <v>16</v>
      </c>
      <c r="G154" s="120" t="s">
        <v>24</v>
      </c>
      <c r="H154" s="120"/>
      <c r="I154" s="232">
        <v>2000</v>
      </c>
      <c r="J154" s="232">
        <v>2000</v>
      </c>
      <c r="K154" s="121" t="s">
        <v>25</v>
      </c>
      <c r="L154" s="122" t="s">
        <v>242</v>
      </c>
      <c r="M154" s="122" t="s">
        <v>243</v>
      </c>
      <c r="N154" s="139"/>
    </row>
    <row r="155" spans="2:14" s="55" customFormat="1" x14ac:dyDescent="0.25">
      <c r="B155" s="120" t="s">
        <v>5</v>
      </c>
      <c r="C155" s="120" t="str">
        <f t="shared" si="32"/>
        <v>Residential with CL</v>
      </c>
      <c r="D155" s="120" t="s">
        <v>6</v>
      </c>
      <c r="E155" s="120" t="s">
        <v>128</v>
      </c>
      <c r="F155" s="120" t="s">
        <v>16</v>
      </c>
      <c r="G155" s="120" t="s">
        <v>24</v>
      </c>
      <c r="H155" s="120"/>
      <c r="I155" s="232">
        <v>1800</v>
      </c>
      <c r="J155" s="232">
        <v>1800</v>
      </c>
      <c r="K155" s="121" t="s">
        <v>25</v>
      </c>
      <c r="L155" s="122" t="s">
        <v>242</v>
      </c>
      <c r="M155" s="122" t="s">
        <v>243</v>
      </c>
      <c r="N155" s="139"/>
    </row>
    <row r="156" spans="2:14" s="55" customFormat="1" x14ac:dyDescent="0.25">
      <c r="B156" s="120" t="s">
        <v>2</v>
      </c>
      <c r="C156" s="120" t="str">
        <f t="shared" si="32"/>
        <v>Residential with CL</v>
      </c>
      <c r="D156" s="120" t="s">
        <v>6</v>
      </c>
      <c r="E156" s="120" t="s">
        <v>128</v>
      </c>
      <c r="F156" s="120" t="s">
        <v>16</v>
      </c>
      <c r="G156" s="120" t="s">
        <v>56</v>
      </c>
      <c r="H156" s="120"/>
      <c r="I156" s="323">
        <v>0.67</v>
      </c>
      <c r="J156" s="323">
        <v>0.67</v>
      </c>
      <c r="K156" s="121" t="s">
        <v>27</v>
      </c>
      <c r="L156" s="122" t="s">
        <v>242</v>
      </c>
      <c r="M156" s="122" t="s">
        <v>243</v>
      </c>
      <c r="N156" s="139"/>
    </row>
    <row r="157" spans="2:14" s="123" customFormat="1" x14ac:dyDescent="0.25">
      <c r="B157" s="120" t="s">
        <v>4</v>
      </c>
      <c r="C157" s="120" t="str">
        <f t="shared" si="32"/>
        <v>Residential with CL</v>
      </c>
      <c r="D157" s="120" t="s">
        <v>6</v>
      </c>
      <c r="E157" s="120" t="s">
        <v>128</v>
      </c>
      <c r="F157" s="120" t="s">
        <v>16</v>
      </c>
      <c r="G157" s="120" t="s">
        <v>56</v>
      </c>
      <c r="H157" s="120"/>
      <c r="I157" s="323">
        <v>0.67</v>
      </c>
      <c r="J157" s="323">
        <v>0.67</v>
      </c>
      <c r="K157" s="121" t="s">
        <v>27</v>
      </c>
      <c r="L157" s="122" t="s">
        <v>242</v>
      </c>
      <c r="M157" s="122" t="s">
        <v>243</v>
      </c>
      <c r="N157" s="139"/>
    </row>
    <row r="158" spans="2:14" s="123" customFormat="1" x14ac:dyDescent="0.25">
      <c r="B158" s="120" t="s">
        <v>0</v>
      </c>
      <c r="C158" s="120" t="str">
        <f t="shared" si="32"/>
        <v>Residential with CL</v>
      </c>
      <c r="D158" s="120" t="s">
        <v>6</v>
      </c>
      <c r="E158" s="120" t="s">
        <v>128</v>
      </c>
      <c r="F158" s="120" t="s">
        <v>16</v>
      </c>
      <c r="G158" s="120" t="s">
        <v>56</v>
      </c>
      <c r="H158" s="120"/>
      <c r="I158" s="323">
        <v>0.28999999999999998</v>
      </c>
      <c r="J158" s="323">
        <v>0.28999999999999998</v>
      </c>
      <c r="K158" s="121" t="s">
        <v>27</v>
      </c>
      <c r="L158" s="122" t="s">
        <v>242</v>
      </c>
      <c r="M158" s="122" t="s">
        <v>243</v>
      </c>
      <c r="N158" s="139"/>
    </row>
    <row r="159" spans="2:14" s="123" customFormat="1" x14ac:dyDescent="0.25">
      <c r="B159" s="120" t="s">
        <v>3</v>
      </c>
      <c r="C159" s="120" t="str">
        <f t="shared" si="32"/>
        <v>Residential with CL</v>
      </c>
      <c r="D159" s="120" t="s">
        <v>6</v>
      </c>
      <c r="E159" s="120" t="s">
        <v>128</v>
      </c>
      <c r="F159" s="120" t="s">
        <v>16</v>
      </c>
      <c r="G159" s="120" t="s">
        <v>56</v>
      </c>
      <c r="H159" s="120"/>
      <c r="I159" s="323">
        <v>0.77</v>
      </c>
      <c r="J159" s="323">
        <v>0.77</v>
      </c>
      <c r="K159" s="121" t="s">
        <v>27</v>
      </c>
      <c r="L159" s="122" t="s">
        <v>242</v>
      </c>
      <c r="M159" s="122" t="s">
        <v>243</v>
      </c>
      <c r="N159" s="139"/>
    </row>
    <row r="160" spans="2:14" s="123" customFormat="1" x14ac:dyDescent="0.25">
      <c r="B160" s="120" t="s">
        <v>5</v>
      </c>
      <c r="C160" s="120" t="str">
        <f t="shared" si="32"/>
        <v>Residential with CL</v>
      </c>
      <c r="D160" s="120" t="s">
        <v>6</v>
      </c>
      <c r="E160" s="120" t="s">
        <v>128</v>
      </c>
      <c r="F160" s="120" t="s">
        <v>16</v>
      </c>
      <c r="G160" s="120" t="s">
        <v>56</v>
      </c>
      <c r="H160" s="120"/>
      <c r="I160" s="323">
        <v>1</v>
      </c>
      <c r="J160" s="323">
        <v>1</v>
      </c>
      <c r="K160" s="121" t="s">
        <v>27</v>
      </c>
      <c r="L160" s="122" t="s">
        <v>242</v>
      </c>
      <c r="M160" s="122" t="s">
        <v>243</v>
      </c>
      <c r="N160" s="139"/>
    </row>
    <row r="161" spans="2:14" s="55" customFormat="1" x14ac:dyDescent="0.25">
      <c r="B161" s="120" t="s">
        <v>2</v>
      </c>
      <c r="C161" s="120" t="str">
        <f t="shared" si="32"/>
        <v>Small business without CL</v>
      </c>
      <c r="D161" s="120" t="s">
        <v>13</v>
      </c>
      <c r="E161" s="120" t="s">
        <v>127</v>
      </c>
      <c r="F161" s="120" t="s">
        <v>19</v>
      </c>
      <c r="G161" s="120" t="s">
        <v>24</v>
      </c>
      <c r="H161" s="120"/>
      <c r="I161" s="232">
        <v>10000</v>
      </c>
      <c r="J161" s="232">
        <v>10000</v>
      </c>
      <c r="K161" s="121" t="s">
        <v>25</v>
      </c>
      <c r="L161" s="122" t="s">
        <v>242</v>
      </c>
      <c r="M161" s="122" t="s">
        <v>243</v>
      </c>
      <c r="N161" s="139"/>
    </row>
    <row r="162" spans="2:14" s="55" customFormat="1" x14ac:dyDescent="0.25">
      <c r="B162" s="120" t="s">
        <v>4</v>
      </c>
      <c r="C162" s="120" t="str">
        <f t="shared" si="32"/>
        <v>Small business without CL</v>
      </c>
      <c r="D162" s="120" t="s">
        <v>13</v>
      </c>
      <c r="E162" s="120" t="s">
        <v>127</v>
      </c>
      <c r="F162" s="120" t="s">
        <v>19</v>
      </c>
      <c r="G162" s="120" t="s">
        <v>24</v>
      </c>
      <c r="H162" s="120"/>
      <c r="I162" s="232">
        <v>10000</v>
      </c>
      <c r="J162" s="232">
        <v>10000</v>
      </c>
      <c r="K162" s="121" t="s">
        <v>25</v>
      </c>
      <c r="L162" s="122" t="s">
        <v>242</v>
      </c>
      <c r="M162" s="122" t="s">
        <v>243</v>
      </c>
      <c r="N162" s="139"/>
    </row>
    <row r="163" spans="2:14" s="55" customFormat="1" x14ac:dyDescent="0.25">
      <c r="B163" s="120" t="s">
        <v>0</v>
      </c>
      <c r="C163" s="120" t="str">
        <f t="shared" si="32"/>
        <v>Small business without CL</v>
      </c>
      <c r="D163" s="120" t="s">
        <v>13</v>
      </c>
      <c r="E163" s="120" t="s">
        <v>127</v>
      </c>
      <c r="F163" s="120" t="s">
        <v>19</v>
      </c>
      <c r="G163" s="120" t="s">
        <v>24</v>
      </c>
      <c r="H163" s="120"/>
      <c r="I163" s="232">
        <v>10000</v>
      </c>
      <c r="J163" s="232">
        <v>10000</v>
      </c>
      <c r="K163" s="121" t="s">
        <v>25</v>
      </c>
      <c r="L163" s="122" t="s">
        <v>242</v>
      </c>
      <c r="M163" s="122" t="s">
        <v>243</v>
      </c>
      <c r="N163" s="139"/>
    </row>
    <row r="164" spans="2:14" s="55" customFormat="1" x14ac:dyDescent="0.25">
      <c r="B164" s="120" t="s">
        <v>3</v>
      </c>
      <c r="C164" s="120" t="str">
        <f t="shared" si="32"/>
        <v>Small business without CL</v>
      </c>
      <c r="D164" s="120" t="s">
        <v>13</v>
      </c>
      <c r="E164" s="120" t="s">
        <v>127</v>
      </c>
      <c r="F164" s="120" t="s">
        <v>19</v>
      </c>
      <c r="G164" s="120" t="s">
        <v>24</v>
      </c>
      <c r="H164" s="120"/>
      <c r="I164" s="232">
        <v>10000</v>
      </c>
      <c r="J164" s="232">
        <v>10000</v>
      </c>
      <c r="K164" s="121" t="s">
        <v>25</v>
      </c>
      <c r="L164" s="122" t="s">
        <v>242</v>
      </c>
      <c r="M164" s="122" t="s">
        <v>243</v>
      </c>
      <c r="N164" s="139"/>
    </row>
    <row r="165" spans="2:14" s="55" customFormat="1" x14ac:dyDescent="0.25">
      <c r="B165" s="120" t="s">
        <v>5</v>
      </c>
      <c r="C165" s="120" t="str">
        <f t="shared" si="32"/>
        <v>Small business without CL</v>
      </c>
      <c r="D165" s="120" t="s">
        <v>13</v>
      </c>
      <c r="E165" s="120" t="s">
        <v>127</v>
      </c>
      <c r="F165" s="120" t="s">
        <v>19</v>
      </c>
      <c r="G165" s="120" t="s">
        <v>24</v>
      </c>
      <c r="H165" s="120"/>
      <c r="I165" s="232">
        <v>10000</v>
      </c>
      <c r="J165" s="232">
        <v>10000</v>
      </c>
      <c r="K165" s="121" t="s">
        <v>25</v>
      </c>
      <c r="L165" s="122" t="s">
        <v>242</v>
      </c>
      <c r="M165" s="122" t="s">
        <v>243</v>
      </c>
      <c r="N165" s="139"/>
    </row>
    <row r="166" spans="2:14" s="55" customFormat="1" x14ac:dyDescent="0.25">
      <c r="B166" s="120" t="s">
        <v>2</v>
      </c>
      <c r="C166" s="120" t="str">
        <f t="shared" si="32"/>
        <v>Residential without CL</v>
      </c>
      <c r="D166" s="120" t="s">
        <v>6</v>
      </c>
      <c r="E166" s="120" t="s">
        <v>127</v>
      </c>
      <c r="F166" s="120"/>
      <c r="G166" s="120" t="s">
        <v>67</v>
      </c>
      <c r="H166" s="120"/>
      <c r="I166" s="233">
        <v>1810</v>
      </c>
      <c r="J166" s="233"/>
      <c r="K166" s="121" t="s">
        <v>68</v>
      </c>
      <c r="L166" s="122" t="s">
        <v>242</v>
      </c>
      <c r="M166" s="122" t="s">
        <v>249</v>
      </c>
      <c r="N166" s="139"/>
    </row>
    <row r="167" spans="2:14" s="55" customFormat="1" x14ac:dyDescent="0.25">
      <c r="B167" s="120" t="s">
        <v>4</v>
      </c>
      <c r="C167" s="120" t="str">
        <f t="shared" si="32"/>
        <v>Residential without CL</v>
      </c>
      <c r="D167" s="120" t="s">
        <v>6</v>
      </c>
      <c r="E167" s="120" t="s">
        <v>127</v>
      </c>
      <c r="F167" s="120"/>
      <c r="G167" s="120" t="s">
        <v>67</v>
      </c>
      <c r="H167" s="120"/>
      <c r="I167" s="233">
        <v>2223</v>
      </c>
      <c r="J167" s="233"/>
      <c r="K167" s="121" t="s">
        <v>68</v>
      </c>
      <c r="L167" s="122" t="s">
        <v>242</v>
      </c>
      <c r="M167" s="122" t="s">
        <v>249</v>
      </c>
      <c r="N167" s="139"/>
    </row>
    <row r="168" spans="2:14" s="55" customFormat="1" x14ac:dyDescent="0.25">
      <c r="B168" s="120" t="s">
        <v>0</v>
      </c>
      <c r="C168" s="120" t="str">
        <f t="shared" si="32"/>
        <v>Residential without CL</v>
      </c>
      <c r="D168" s="120" t="s">
        <v>6</v>
      </c>
      <c r="E168" s="120" t="s">
        <v>127</v>
      </c>
      <c r="F168" s="120"/>
      <c r="G168" s="120" t="s">
        <v>67</v>
      </c>
      <c r="H168" s="120"/>
      <c r="I168" s="233">
        <v>2066</v>
      </c>
      <c r="J168" s="233"/>
      <c r="K168" s="121" t="s">
        <v>68</v>
      </c>
      <c r="L168" s="122" t="s">
        <v>242</v>
      </c>
      <c r="M168" s="122" t="s">
        <v>249</v>
      </c>
      <c r="N168" s="139"/>
    </row>
    <row r="169" spans="2:14" s="55" customFormat="1" x14ac:dyDescent="0.25">
      <c r="B169" s="120" t="s">
        <v>3</v>
      </c>
      <c r="C169" s="120" t="str">
        <f t="shared" si="32"/>
        <v>Residential without CL</v>
      </c>
      <c r="D169" s="120" t="s">
        <v>6</v>
      </c>
      <c r="E169" s="120" t="s">
        <v>127</v>
      </c>
      <c r="F169" s="120"/>
      <c r="G169" s="120" t="s">
        <v>67</v>
      </c>
      <c r="H169" s="120"/>
      <c r="I169" s="233">
        <v>2513</v>
      </c>
      <c r="J169" s="233"/>
      <c r="K169" s="121" t="s">
        <v>68</v>
      </c>
      <c r="L169" s="122" t="s">
        <v>242</v>
      </c>
      <c r="M169" s="122" t="s">
        <v>249</v>
      </c>
      <c r="N169" s="139"/>
    </row>
    <row r="170" spans="2:14" s="55" customFormat="1" x14ac:dyDescent="0.25">
      <c r="B170" s="120" t="s">
        <v>5</v>
      </c>
      <c r="C170" s="120" t="str">
        <f t="shared" si="32"/>
        <v>Residential without CL</v>
      </c>
      <c r="D170" s="120" t="s">
        <v>6</v>
      </c>
      <c r="E170" s="120" t="s">
        <v>127</v>
      </c>
      <c r="F170" s="120"/>
      <c r="G170" s="120" t="s">
        <v>67</v>
      </c>
      <c r="H170" s="120"/>
      <c r="I170" s="233">
        <v>2230</v>
      </c>
      <c r="J170" s="233"/>
      <c r="K170" s="121" t="s">
        <v>68</v>
      </c>
      <c r="L170" s="122" t="s">
        <v>242</v>
      </c>
      <c r="M170" s="122" t="s">
        <v>249</v>
      </c>
      <c r="N170" s="139"/>
    </row>
    <row r="171" spans="2:14" s="55" customFormat="1" x14ac:dyDescent="0.25">
      <c r="B171" s="120" t="s">
        <v>2</v>
      </c>
      <c r="C171" s="120" t="str">
        <f t="shared" si="32"/>
        <v>Residential with CL</v>
      </c>
      <c r="D171" s="120" t="s">
        <v>6</v>
      </c>
      <c r="E171" s="120" t="s">
        <v>128</v>
      </c>
      <c r="F171" s="120"/>
      <c r="G171" s="120" t="s">
        <v>67</v>
      </c>
      <c r="H171" s="120"/>
      <c r="I171" s="233">
        <v>2509</v>
      </c>
      <c r="J171" s="233"/>
      <c r="K171" s="121" t="s">
        <v>68</v>
      </c>
      <c r="L171" s="122" t="s">
        <v>242</v>
      </c>
      <c r="M171" s="122" t="s">
        <v>249</v>
      </c>
      <c r="N171" s="139"/>
    </row>
    <row r="172" spans="2:14" s="55" customFormat="1" x14ac:dyDescent="0.25">
      <c r="B172" s="120" t="s">
        <v>4</v>
      </c>
      <c r="C172" s="120" t="str">
        <f t="shared" si="32"/>
        <v>Residential with CL</v>
      </c>
      <c r="D172" s="120" t="s">
        <v>6</v>
      </c>
      <c r="E172" s="120" t="s">
        <v>128</v>
      </c>
      <c r="F172" s="120"/>
      <c r="G172" s="120" t="s">
        <v>67</v>
      </c>
      <c r="H172" s="120"/>
      <c r="I172" s="233">
        <v>2801</v>
      </c>
      <c r="J172" s="233"/>
      <c r="K172" s="121" t="s">
        <v>68</v>
      </c>
      <c r="L172" s="122" t="s">
        <v>242</v>
      </c>
      <c r="M172" s="122" t="s">
        <v>249</v>
      </c>
      <c r="N172" s="139"/>
    </row>
    <row r="173" spans="2:14" s="55" customFormat="1" x14ac:dyDescent="0.25">
      <c r="B173" s="120" t="s">
        <v>0</v>
      </c>
      <c r="C173" s="120" t="str">
        <f t="shared" si="32"/>
        <v>Residential with CL</v>
      </c>
      <c r="D173" s="120" t="s">
        <v>6</v>
      </c>
      <c r="E173" s="120" t="s">
        <v>128</v>
      </c>
      <c r="F173" s="120"/>
      <c r="G173" s="120" t="s">
        <v>67</v>
      </c>
      <c r="H173" s="120"/>
      <c r="I173" s="233">
        <v>2414</v>
      </c>
      <c r="J173" s="233"/>
      <c r="K173" s="121" t="s">
        <v>68</v>
      </c>
      <c r="L173" s="122" t="s">
        <v>242</v>
      </c>
      <c r="M173" s="122" t="s">
        <v>249</v>
      </c>
      <c r="N173" s="139"/>
    </row>
    <row r="174" spans="2:14" s="55" customFormat="1" x14ac:dyDescent="0.25">
      <c r="B174" s="120" t="s">
        <v>3</v>
      </c>
      <c r="C174" s="120" t="str">
        <f t="shared" si="32"/>
        <v>Residential with CL</v>
      </c>
      <c r="D174" s="120" t="s">
        <v>6</v>
      </c>
      <c r="E174" s="120" t="s">
        <v>128</v>
      </c>
      <c r="F174" s="120"/>
      <c r="G174" s="120" t="s">
        <v>67</v>
      </c>
      <c r="H174" s="120"/>
      <c r="I174" s="233">
        <v>2931</v>
      </c>
      <c r="J174" s="233"/>
      <c r="K174" s="121" t="s">
        <v>68</v>
      </c>
      <c r="L174" s="122" t="s">
        <v>242</v>
      </c>
      <c r="M174" s="122" t="s">
        <v>249</v>
      </c>
      <c r="N174" s="139"/>
    </row>
    <row r="175" spans="2:14" s="55" customFormat="1" x14ac:dyDescent="0.25">
      <c r="B175" s="120" t="s">
        <v>5</v>
      </c>
      <c r="C175" s="120" t="str">
        <f t="shared" si="32"/>
        <v>Residential with CL</v>
      </c>
      <c r="D175" s="120" t="s">
        <v>6</v>
      </c>
      <c r="E175" s="120" t="s">
        <v>128</v>
      </c>
      <c r="F175" s="120"/>
      <c r="G175" s="120" t="s">
        <v>67</v>
      </c>
      <c r="H175" s="120"/>
      <c r="I175" s="233">
        <v>2760</v>
      </c>
      <c r="J175" s="233"/>
      <c r="K175" s="121" t="s">
        <v>68</v>
      </c>
      <c r="L175" s="122" t="s">
        <v>242</v>
      </c>
      <c r="M175" s="122" t="s">
        <v>249</v>
      </c>
      <c r="N175" s="139"/>
    </row>
    <row r="176" spans="2:14" s="55" customFormat="1" x14ac:dyDescent="0.25">
      <c r="B176" s="120" t="s">
        <v>2</v>
      </c>
      <c r="C176" s="120" t="str">
        <f t="shared" si="32"/>
        <v>Small business without CL</v>
      </c>
      <c r="D176" s="120" t="s">
        <v>13</v>
      </c>
      <c r="E176" s="120" t="s">
        <v>127</v>
      </c>
      <c r="F176" s="120"/>
      <c r="G176" s="120" t="s">
        <v>67</v>
      </c>
      <c r="H176" s="120"/>
      <c r="I176" s="233">
        <v>4612</v>
      </c>
      <c r="J176" s="233"/>
      <c r="K176" s="121" t="s">
        <v>68</v>
      </c>
      <c r="L176" s="122" t="s">
        <v>242</v>
      </c>
      <c r="M176" s="122" t="s">
        <v>249</v>
      </c>
      <c r="N176" s="139"/>
    </row>
    <row r="177" spans="2:14" s="55" customFormat="1" x14ac:dyDescent="0.25">
      <c r="B177" s="120" t="s">
        <v>4</v>
      </c>
      <c r="C177" s="120" t="str">
        <f t="shared" si="32"/>
        <v>Small business without CL</v>
      </c>
      <c r="D177" s="120" t="s">
        <v>13</v>
      </c>
      <c r="E177" s="120" t="s">
        <v>127</v>
      </c>
      <c r="F177" s="120"/>
      <c r="G177" s="120" t="s">
        <v>67</v>
      </c>
      <c r="H177" s="120"/>
      <c r="I177" s="233">
        <v>4422</v>
      </c>
      <c r="J177" s="233"/>
      <c r="K177" s="121" t="s">
        <v>68</v>
      </c>
      <c r="L177" s="122" t="s">
        <v>242</v>
      </c>
      <c r="M177" s="122" t="s">
        <v>249</v>
      </c>
      <c r="N177" s="139"/>
    </row>
    <row r="178" spans="2:14" s="55" customFormat="1" x14ac:dyDescent="0.25">
      <c r="B178" s="120" t="s">
        <v>0</v>
      </c>
      <c r="C178" s="120" t="str">
        <f t="shared" si="32"/>
        <v>Small business without CL</v>
      </c>
      <c r="D178" s="120" t="s">
        <v>13</v>
      </c>
      <c r="E178" s="120" t="s">
        <v>127</v>
      </c>
      <c r="F178" s="120"/>
      <c r="G178" s="120" t="s">
        <v>67</v>
      </c>
      <c r="H178" s="120"/>
      <c r="I178" s="233">
        <v>4261</v>
      </c>
      <c r="J178" s="233"/>
      <c r="K178" s="121" t="s">
        <v>68</v>
      </c>
      <c r="L178" s="122" t="s">
        <v>242</v>
      </c>
      <c r="M178" s="122" t="s">
        <v>249</v>
      </c>
      <c r="N178" s="139"/>
    </row>
    <row r="179" spans="2:14" s="55" customFormat="1" x14ac:dyDescent="0.25">
      <c r="B179" s="120" t="s">
        <v>3</v>
      </c>
      <c r="C179" s="120" t="str">
        <f t="shared" si="32"/>
        <v>Small business without CL</v>
      </c>
      <c r="D179" s="120" t="s">
        <v>13</v>
      </c>
      <c r="E179" s="120" t="s">
        <v>127</v>
      </c>
      <c r="F179" s="120"/>
      <c r="G179" s="120" t="s">
        <v>67</v>
      </c>
      <c r="H179" s="120"/>
      <c r="I179" s="233">
        <v>5733</v>
      </c>
      <c r="J179" s="233"/>
      <c r="K179" s="121" t="s">
        <v>68</v>
      </c>
      <c r="L179" s="122" t="s">
        <v>242</v>
      </c>
      <c r="M179" s="122" t="s">
        <v>249</v>
      </c>
      <c r="N179" s="139"/>
    </row>
    <row r="180" spans="2:14" s="55" customFormat="1" x14ac:dyDescent="0.25">
      <c r="B180" s="120" t="s">
        <v>5</v>
      </c>
      <c r="C180" s="120" t="str">
        <f t="shared" si="32"/>
        <v>Small business without CL</v>
      </c>
      <c r="D180" s="120" t="s">
        <v>13</v>
      </c>
      <c r="E180" s="120" t="s">
        <v>127</v>
      </c>
      <c r="F180" s="120"/>
      <c r="G180" s="120" t="s">
        <v>67</v>
      </c>
      <c r="H180" s="120"/>
      <c r="I180" s="233">
        <v>5352</v>
      </c>
      <c r="J180" s="233"/>
      <c r="K180" s="121" t="s">
        <v>68</v>
      </c>
      <c r="L180" s="122" t="s">
        <v>242</v>
      </c>
      <c r="M180" s="122" t="s">
        <v>249</v>
      </c>
      <c r="N180" s="139"/>
    </row>
    <row r="181" spans="2:14" x14ac:dyDescent="0.25">
      <c r="B181" t="s">
        <v>2</v>
      </c>
      <c r="C181" s="120" t="str">
        <f t="shared" ref="C181:C195" si="39">IF(D181="","All",D181&amp;" "&amp;E181)</f>
        <v>Residential without CL</v>
      </c>
      <c r="D181" s="120" t="s">
        <v>6</v>
      </c>
      <c r="E181" s="120" t="s">
        <v>127</v>
      </c>
      <c r="F181" s="120"/>
      <c r="G181" s="120" t="s">
        <v>210</v>
      </c>
      <c r="H181" s="120"/>
      <c r="I181" s="283">
        <v>0.06</v>
      </c>
      <c r="J181" s="283">
        <v>0.06</v>
      </c>
      <c r="K181" s="121" t="s">
        <v>27</v>
      </c>
      <c r="L181" s="122" t="s">
        <v>242</v>
      </c>
      <c r="M181" s="122" t="s">
        <v>243</v>
      </c>
      <c r="N181" s="139"/>
    </row>
    <row r="182" spans="2:14" x14ac:dyDescent="0.25">
      <c r="B182" t="s">
        <v>2</v>
      </c>
      <c r="C182" s="120" t="str">
        <f t="shared" si="39"/>
        <v>Residential with CL</v>
      </c>
      <c r="D182" s="120" t="s">
        <v>6</v>
      </c>
      <c r="E182" s="120" t="s">
        <v>128</v>
      </c>
      <c r="F182" s="120"/>
      <c r="G182" s="120" t="s">
        <v>210</v>
      </c>
      <c r="H182" s="120"/>
      <c r="I182" s="283">
        <v>0.06</v>
      </c>
      <c r="J182" s="283">
        <v>0.06</v>
      </c>
      <c r="K182" s="121" t="s">
        <v>27</v>
      </c>
      <c r="L182" s="122" t="s">
        <v>242</v>
      </c>
      <c r="M182" s="122" t="s">
        <v>243</v>
      </c>
      <c r="N182" s="139"/>
    </row>
    <row r="183" spans="2:14" x14ac:dyDescent="0.25">
      <c r="B183" t="s">
        <v>2</v>
      </c>
      <c r="C183" s="120" t="str">
        <f t="shared" si="39"/>
        <v>Small business without CL</v>
      </c>
      <c r="D183" s="120" t="s">
        <v>13</v>
      </c>
      <c r="E183" s="120" t="s">
        <v>127</v>
      </c>
      <c r="F183" s="120"/>
      <c r="G183" s="120" t="s">
        <v>210</v>
      </c>
      <c r="H183" s="120"/>
      <c r="I183" s="283">
        <v>0.11</v>
      </c>
      <c r="J183" s="283">
        <v>0.11</v>
      </c>
      <c r="K183" s="121" t="s">
        <v>27</v>
      </c>
      <c r="L183" s="122" t="s">
        <v>242</v>
      </c>
      <c r="M183" s="122" t="s">
        <v>243</v>
      </c>
      <c r="N183" s="139"/>
    </row>
    <row r="184" spans="2:14" x14ac:dyDescent="0.25">
      <c r="B184" t="s">
        <v>4</v>
      </c>
      <c r="C184" s="120" t="str">
        <f t="shared" si="39"/>
        <v>Residential without CL</v>
      </c>
      <c r="D184" s="120" t="s">
        <v>6</v>
      </c>
      <c r="E184" s="120" t="s">
        <v>127</v>
      </c>
      <c r="F184" s="120"/>
      <c r="G184" s="120" t="s">
        <v>210</v>
      </c>
      <c r="H184" s="120"/>
      <c r="I184" s="283">
        <v>0.06</v>
      </c>
      <c r="J184" s="283">
        <v>0.06</v>
      </c>
      <c r="K184" s="121" t="s">
        <v>27</v>
      </c>
      <c r="L184" s="122" t="s">
        <v>242</v>
      </c>
      <c r="M184" s="122" t="s">
        <v>243</v>
      </c>
      <c r="N184" s="139"/>
    </row>
    <row r="185" spans="2:14" x14ac:dyDescent="0.25">
      <c r="B185" t="s">
        <v>4</v>
      </c>
      <c r="C185" s="120" t="str">
        <f t="shared" si="39"/>
        <v>Residential with CL</v>
      </c>
      <c r="D185" s="120" t="s">
        <v>6</v>
      </c>
      <c r="E185" s="120" t="s">
        <v>128</v>
      </c>
      <c r="F185" s="120"/>
      <c r="G185" s="120" t="s">
        <v>210</v>
      </c>
      <c r="H185" s="120"/>
      <c r="I185" s="283">
        <v>0.06</v>
      </c>
      <c r="J185" s="283">
        <v>0.06</v>
      </c>
      <c r="K185" s="121" t="s">
        <v>27</v>
      </c>
      <c r="L185" s="122" t="s">
        <v>242</v>
      </c>
      <c r="M185" s="122" t="s">
        <v>243</v>
      </c>
      <c r="N185" s="139"/>
    </row>
    <row r="186" spans="2:14" x14ac:dyDescent="0.25">
      <c r="B186" t="s">
        <v>4</v>
      </c>
      <c r="C186" s="120" t="str">
        <f t="shared" si="39"/>
        <v>Small business without CL</v>
      </c>
      <c r="D186" s="120" t="s">
        <v>13</v>
      </c>
      <c r="E186" s="120" t="s">
        <v>127</v>
      </c>
      <c r="F186" s="120"/>
      <c r="G186" s="120" t="s">
        <v>210</v>
      </c>
      <c r="H186" s="120"/>
      <c r="I186" s="283">
        <v>0.11</v>
      </c>
      <c r="J186" s="283">
        <v>0.11</v>
      </c>
      <c r="K186" s="121" t="s">
        <v>27</v>
      </c>
      <c r="L186" s="122" t="s">
        <v>242</v>
      </c>
      <c r="M186" s="122" t="s">
        <v>243</v>
      </c>
      <c r="N186" s="139"/>
    </row>
    <row r="187" spans="2:14" x14ac:dyDescent="0.25">
      <c r="B187" t="s">
        <v>3</v>
      </c>
      <c r="C187" s="120" t="str">
        <f t="shared" si="39"/>
        <v>Residential without CL</v>
      </c>
      <c r="D187" s="120" t="s">
        <v>6</v>
      </c>
      <c r="E187" s="120" t="s">
        <v>127</v>
      </c>
      <c r="F187" s="120"/>
      <c r="G187" s="120" t="s">
        <v>210</v>
      </c>
      <c r="H187" s="120"/>
      <c r="I187" s="283">
        <v>0.06</v>
      </c>
      <c r="J187" s="283">
        <v>0.06</v>
      </c>
      <c r="K187" s="121" t="s">
        <v>27</v>
      </c>
      <c r="L187" s="122" t="s">
        <v>242</v>
      </c>
      <c r="M187" s="122" t="s">
        <v>243</v>
      </c>
      <c r="N187" s="139"/>
    </row>
    <row r="188" spans="2:14" x14ac:dyDescent="0.25">
      <c r="B188" t="s">
        <v>3</v>
      </c>
      <c r="C188" s="120" t="str">
        <f t="shared" si="39"/>
        <v>Residential with CL</v>
      </c>
      <c r="D188" s="120" t="s">
        <v>6</v>
      </c>
      <c r="E188" s="120" t="s">
        <v>128</v>
      </c>
      <c r="F188" s="120"/>
      <c r="G188" s="120" t="s">
        <v>210</v>
      </c>
      <c r="H188" s="120"/>
      <c r="I188" s="283">
        <v>0.06</v>
      </c>
      <c r="J188" s="283">
        <v>0.06</v>
      </c>
      <c r="K188" s="121" t="s">
        <v>27</v>
      </c>
      <c r="L188" s="122" t="s">
        <v>242</v>
      </c>
      <c r="M188" s="122" t="s">
        <v>243</v>
      </c>
      <c r="N188" s="139"/>
    </row>
    <row r="189" spans="2:14" x14ac:dyDescent="0.25">
      <c r="B189" t="s">
        <v>3</v>
      </c>
      <c r="C189" s="120" t="str">
        <f t="shared" si="39"/>
        <v>Small business without CL</v>
      </c>
      <c r="D189" s="120" t="s">
        <v>13</v>
      </c>
      <c r="E189" s="120" t="s">
        <v>127</v>
      </c>
      <c r="F189" s="120"/>
      <c r="G189" s="120" t="s">
        <v>210</v>
      </c>
      <c r="H189" s="120"/>
      <c r="I189" s="283">
        <v>0.11</v>
      </c>
      <c r="J189" s="283">
        <v>0.11</v>
      </c>
      <c r="K189" s="121" t="s">
        <v>27</v>
      </c>
      <c r="L189" s="122" t="s">
        <v>242</v>
      </c>
      <c r="M189" s="122" t="s">
        <v>243</v>
      </c>
      <c r="N189" s="139"/>
    </row>
    <row r="190" spans="2:14" x14ac:dyDescent="0.25">
      <c r="B190" t="s">
        <v>0</v>
      </c>
      <c r="C190" s="120" t="str">
        <f t="shared" si="39"/>
        <v>Residential without CL</v>
      </c>
      <c r="D190" s="120" t="s">
        <v>6</v>
      </c>
      <c r="E190" s="120" t="s">
        <v>127</v>
      </c>
      <c r="F190" s="120"/>
      <c r="G190" s="120" t="s">
        <v>210</v>
      </c>
      <c r="H190" s="120"/>
      <c r="I190" s="283">
        <v>0.06</v>
      </c>
      <c r="J190" s="283">
        <v>0.06</v>
      </c>
      <c r="K190" s="121" t="s">
        <v>27</v>
      </c>
      <c r="L190" s="122" t="s">
        <v>242</v>
      </c>
      <c r="M190" s="122" t="s">
        <v>243</v>
      </c>
      <c r="N190" s="139"/>
    </row>
    <row r="191" spans="2:14" x14ac:dyDescent="0.25">
      <c r="B191" t="s">
        <v>0</v>
      </c>
      <c r="C191" s="120" t="str">
        <f t="shared" si="39"/>
        <v>Residential with CL</v>
      </c>
      <c r="D191" s="120" t="s">
        <v>6</v>
      </c>
      <c r="E191" s="120" t="s">
        <v>128</v>
      </c>
      <c r="F191" s="120"/>
      <c r="G191" s="120" t="s">
        <v>210</v>
      </c>
      <c r="H191" s="120"/>
      <c r="I191" s="283">
        <v>0.06</v>
      </c>
      <c r="J191" s="283">
        <v>0.06</v>
      </c>
      <c r="K191" s="121" t="s">
        <v>27</v>
      </c>
      <c r="L191" s="122" t="s">
        <v>242</v>
      </c>
      <c r="M191" s="122" t="s">
        <v>243</v>
      </c>
      <c r="N191" s="139"/>
    </row>
    <row r="192" spans="2:14" x14ac:dyDescent="0.25">
      <c r="B192" t="s">
        <v>0</v>
      </c>
      <c r="C192" s="120" t="str">
        <f t="shared" si="39"/>
        <v>Small business without CL</v>
      </c>
      <c r="D192" s="120" t="s">
        <v>13</v>
      </c>
      <c r="E192" s="120" t="s">
        <v>127</v>
      </c>
      <c r="F192" s="120"/>
      <c r="G192" s="120" t="s">
        <v>210</v>
      </c>
      <c r="H192" s="120"/>
      <c r="I192" s="283">
        <v>0.11</v>
      </c>
      <c r="J192" s="283">
        <v>0.11</v>
      </c>
      <c r="K192" s="121" t="s">
        <v>27</v>
      </c>
      <c r="L192" s="122" t="s">
        <v>242</v>
      </c>
      <c r="M192" s="122" t="s">
        <v>243</v>
      </c>
      <c r="N192" s="139"/>
    </row>
    <row r="193" spans="2:22" x14ac:dyDescent="0.25">
      <c r="B193" t="s">
        <v>5</v>
      </c>
      <c r="C193" s="120" t="str">
        <f t="shared" si="39"/>
        <v>Residential without CL</v>
      </c>
      <c r="D193" s="120" t="s">
        <v>6</v>
      </c>
      <c r="E193" s="120" t="s">
        <v>127</v>
      </c>
      <c r="F193" s="120"/>
      <c r="G193" s="120" t="s">
        <v>210</v>
      </c>
      <c r="H193" s="120"/>
      <c r="I193" s="283">
        <v>0.06</v>
      </c>
      <c r="J193" s="283">
        <v>0.06</v>
      </c>
      <c r="K193" s="121" t="s">
        <v>27</v>
      </c>
      <c r="L193" s="122" t="s">
        <v>242</v>
      </c>
      <c r="M193" s="122" t="s">
        <v>243</v>
      </c>
      <c r="N193" s="139"/>
    </row>
    <row r="194" spans="2:22" x14ac:dyDescent="0.25">
      <c r="B194" t="s">
        <v>5</v>
      </c>
      <c r="C194" s="120" t="str">
        <f t="shared" si="39"/>
        <v>Residential with CL</v>
      </c>
      <c r="D194" s="120" t="s">
        <v>6</v>
      </c>
      <c r="E194" s="120" t="s">
        <v>128</v>
      </c>
      <c r="F194" s="120"/>
      <c r="G194" s="120" t="s">
        <v>210</v>
      </c>
      <c r="H194" s="120"/>
      <c r="I194" s="283">
        <v>0.06</v>
      </c>
      <c r="J194" s="283">
        <v>0.06</v>
      </c>
      <c r="K194" s="121" t="s">
        <v>27</v>
      </c>
      <c r="L194" s="122" t="s">
        <v>242</v>
      </c>
      <c r="M194" s="122" t="s">
        <v>243</v>
      </c>
      <c r="N194" s="139"/>
    </row>
    <row r="195" spans="2:22" x14ac:dyDescent="0.25">
      <c r="B195" t="s">
        <v>5</v>
      </c>
      <c r="C195" s="120" t="str">
        <f t="shared" si="39"/>
        <v>Small business without CL</v>
      </c>
      <c r="D195" s="120" t="s">
        <v>13</v>
      </c>
      <c r="E195" s="120" t="s">
        <v>127</v>
      </c>
      <c r="F195" s="120"/>
      <c r="G195" s="120" t="s">
        <v>210</v>
      </c>
      <c r="H195" s="120"/>
      <c r="I195" s="283">
        <v>0.11</v>
      </c>
      <c r="J195" s="283">
        <v>0.11</v>
      </c>
      <c r="K195" s="121" t="s">
        <v>27</v>
      </c>
      <c r="L195" s="122" t="s">
        <v>242</v>
      </c>
      <c r="M195" s="122" t="s">
        <v>243</v>
      </c>
      <c r="N195" s="139"/>
    </row>
    <row r="196" spans="2:22" x14ac:dyDescent="0.25">
      <c r="B196"/>
      <c r="C196" s="120"/>
      <c r="D196" s="120"/>
      <c r="E196" s="120"/>
      <c r="F196" s="120"/>
      <c r="G196" s="120"/>
      <c r="H196" s="120"/>
      <c r="I196" s="283"/>
      <c r="J196" s="283"/>
      <c r="K196" s="121"/>
      <c r="L196" s="122"/>
      <c r="M196" s="122"/>
      <c r="N196" s="139"/>
    </row>
    <row r="197" spans="2:22" x14ac:dyDescent="0.25">
      <c r="I197" s="278"/>
      <c r="J197" s="278"/>
      <c r="K197" s="278"/>
      <c r="N197" s="21"/>
      <c r="O197" s="21"/>
      <c r="P197" s="21"/>
      <c r="Q197" s="21"/>
      <c r="R197" s="21"/>
      <c r="S197" s="21"/>
      <c r="T197" s="21"/>
      <c r="U197" s="21"/>
      <c r="V197" s="21"/>
    </row>
    <row r="198" spans="2:22" x14ac:dyDescent="0.25">
      <c r="I198" s="202"/>
      <c r="J198" s="202"/>
      <c r="K198" s="202"/>
      <c r="N198" s="21"/>
      <c r="O198" s="21"/>
      <c r="P198" s="21"/>
      <c r="Q198" s="21"/>
      <c r="R198" s="21"/>
      <c r="S198" s="21"/>
      <c r="T198" s="21"/>
      <c r="U198" s="21"/>
      <c r="V198" s="21"/>
    </row>
    <row r="199" spans="2:22" x14ac:dyDescent="0.25">
      <c r="I199" s="21"/>
      <c r="J199" s="21"/>
      <c r="K199" s="21"/>
      <c r="N199" s="21"/>
      <c r="O199" s="21"/>
      <c r="P199" s="21"/>
      <c r="Q199" s="21"/>
      <c r="R199" s="21"/>
      <c r="S199" s="21"/>
      <c r="T199" s="21"/>
      <c r="U199" s="21"/>
      <c r="V199" s="21"/>
    </row>
    <row r="200" spans="2:22" x14ac:dyDescent="0.25">
      <c r="I200" s="21"/>
      <c r="J200" s="21"/>
      <c r="K200" s="21"/>
      <c r="N200" s="21"/>
      <c r="O200" s="21"/>
      <c r="P200" s="21"/>
      <c r="Q200" s="21"/>
      <c r="R200" s="21"/>
      <c r="S200" s="21"/>
      <c r="T200" s="21"/>
      <c r="U200" s="21"/>
      <c r="V200" s="21"/>
    </row>
    <row r="201" spans="2:22" x14ac:dyDescent="0.25">
      <c r="I201" s="21"/>
      <c r="J201" s="21"/>
      <c r="K201" s="21"/>
      <c r="N201" s="21"/>
      <c r="O201" s="21"/>
      <c r="P201" s="21"/>
      <c r="Q201" s="21"/>
      <c r="R201" s="21"/>
      <c r="S201" s="21"/>
      <c r="T201" s="21"/>
      <c r="U201" s="21"/>
      <c r="V201" s="21"/>
    </row>
    <row r="202" spans="2:22" x14ac:dyDescent="0.25">
      <c r="I202" s="21"/>
      <c r="J202" s="21"/>
      <c r="K202" s="21"/>
      <c r="N202" s="21"/>
      <c r="O202" s="21"/>
      <c r="P202" s="21"/>
      <c r="Q202" s="21"/>
      <c r="R202" s="21"/>
      <c r="S202" s="21"/>
      <c r="T202" s="21"/>
      <c r="U202" s="21"/>
      <c r="V202" s="21"/>
    </row>
    <row r="203" spans="2:22" x14ac:dyDescent="0.25">
      <c r="I203" s="21"/>
      <c r="J203" s="21"/>
      <c r="K203" s="21"/>
      <c r="N203" s="21"/>
      <c r="O203" s="21"/>
      <c r="P203" s="21"/>
      <c r="Q203" s="21"/>
      <c r="R203" s="21"/>
      <c r="S203" s="21"/>
      <c r="T203" s="21"/>
      <c r="U203" s="21"/>
      <c r="V203" s="21"/>
    </row>
    <row r="204" spans="2:22" x14ac:dyDescent="0.25">
      <c r="I204" s="21"/>
      <c r="J204" s="21"/>
    </row>
    <row r="205" spans="2:22" x14ac:dyDescent="0.25">
      <c r="I205" s="21"/>
      <c r="J205" s="21"/>
    </row>
    <row r="206" spans="2:22" x14ac:dyDescent="0.25">
      <c r="I206" s="21"/>
      <c r="J206" s="21"/>
    </row>
    <row r="207" spans="2:22" x14ac:dyDescent="0.25">
      <c r="D207" s="3"/>
      <c r="E207" s="3"/>
      <c r="F207" s="3"/>
      <c r="I207" s="21"/>
      <c r="J207" s="21"/>
      <c r="K207" s="21"/>
      <c r="N207" s="21"/>
      <c r="O207" s="21"/>
    </row>
    <row r="208" spans="2:22" x14ac:dyDescent="0.25">
      <c r="B208" s="36"/>
      <c r="F208" s="3"/>
      <c r="G208" s="13"/>
      <c r="H208" s="13"/>
      <c r="I208" s="13"/>
      <c r="J208" s="13"/>
      <c r="K208" s="13"/>
      <c r="L208" s="13"/>
      <c r="M208" s="13"/>
      <c r="N208" s="13"/>
      <c r="O208" s="13"/>
    </row>
    <row r="209" spans="3:15" x14ac:dyDescent="0.25">
      <c r="F209" s="3"/>
      <c r="G209" s="13"/>
      <c r="H209" s="13"/>
      <c r="I209" s="13"/>
      <c r="J209" s="13"/>
      <c r="K209" s="13"/>
      <c r="L209" s="13"/>
      <c r="M209" s="13"/>
      <c r="N209" s="13"/>
      <c r="O209" s="13"/>
    </row>
    <row r="210" spans="3:15" x14ac:dyDescent="0.25">
      <c r="F210" s="3"/>
      <c r="G210" s="13"/>
      <c r="H210" s="13"/>
      <c r="I210" s="13"/>
      <c r="J210" s="13"/>
      <c r="K210" s="13"/>
      <c r="L210" s="13"/>
      <c r="M210" s="13"/>
      <c r="N210" s="13"/>
      <c r="O210" s="13"/>
    </row>
    <row r="211" spans="3:15" x14ac:dyDescent="0.25">
      <c r="F211" s="3"/>
      <c r="G211" s="13"/>
      <c r="H211" s="13"/>
      <c r="I211" s="13"/>
      <c r="J211" s="13"/>
      <c r="K211" s="13"/>
      <c r="L211" s="13"/>
      <c r="M211" s="13"/>
      <c r="N211" s="13"/>
      <c r="O211" s="13"/>
    </row>
    <row r="212" spans="3:15" x14ac:dyDescent="0.25">
      <c r="F212" s="3"/>
      <c r="G212" s="13"/>
      <c r="H212" s="13"/>
      <c r="I212" s="13"/>
      <c r="J212" s="13"/>
      <c r="K212" s="13"/>
      <c r="L212" s="13"/>
      <c r="M212" s="13"/>
      <c r="N212" s="13"/>
      <c r="O212" s="13"/>
    </row>
    <row r="213" spans="3:15" x14ac:dyDescent="0.25">
      <c r="C213" s="200"/>
      <c r="F213" s="3"/>
      <c r="G213" s="13"/>
      <c r="H213" s="13"/>
      <c r="I213" s="13"/>
      <c r="J213" s="13"/>
      <c r="K213" s="13"/>
      <c r="L213" s="13"/>
      <c r="M213" s="13"/>
      <c r="N213" s="13"/>
      <c r="O213" s="13"/>
    </row>
    <row r="214" spans="3:15" x14ac:dyDescent="0.25">
      <c r="C214" s="200"/>
      <c r="F214" s="3"/>
      <c r="G214" s="13"/>
      <c r="H214" s="13"/>
      <c r="I214" s="13"/>
      <c r="J214" s="13"/>
      <c r="K214" s="13"/>
      <c r="L214" s="13"/>
      <c r="M214" s="13"/>
      <c r="N214" s="13"/>
      <c r="O214" s="13"/>
    </row>
    <row r="215" spans="3:15" x14ac:dyDescent="0.25">
      <c r="C215" s="200"/>
      <c r="F215" s="3"/>
      <c r="G215" s="13"/>
      <c r="H215" s="13"/>
      <c r="I215" s="13"/>
      <c r="J215" s="13"/>
      <c r="K215" s="13"/>
      <c r="L215" s="13"/>
      <c r="M215" s="13"/>
      <c r="N215" s="13"/>
      <c r="O215" s="13"/>
    </row>
    <row r="216" spans="3:15" x14ac:dyDescent="0.25">
      <c r="C216" s="200"/>
      <c r="F216" s="3"/>
      <c r="G216" s="13"/>
      <c r="H216" s="13"/>
      <c r="I216" s="13"/>
      <c r="J216" s="13"/>
      <c r="K216" s="13"/>
      <c r="L216" s="13"/>
      <c r="M216" s="13"/>
      <c r="N216" s="13"/>
      <c r="O216" s="13"/>
    </row>
    <row r="217" spans="3:15" x14ac:dyDescent="0.25">
      <c r="C217" s="200"/>
      <c r="F217" s="3"/>
      <c r="G217" s="13"/>
      <c r="H217" s="13"/>
      <c r="I217" s="13"/>
      <c r="J217" s="13"/>
      <c r="K217" s="13"/>
      <c r="L217" s="13"/>
      <c r="M217" s="13"/>
      <c r="N217" s="13"/>
      <c r="O217" s="13"/>
    </row>
    <row r="218" spans="3:15" x14ac:dyDescent="0.25">
      <c r="C218" s="200"/>
      <c r="F218" s="3"/>
      <c r="G218" s="13"/>
      <c r="H218" s="13"/>
      <c r="I218" s="13"/>
      <c r="J218" s="13"/>
      <c r="K218" s="13"/>
      <c r="L218" s="13"/>
      <c r="M218" s="13"/>
      <c r="N218" s="13"/>
      <c r="O218" s="13"/>
    </row>
    <row r="219" spans="3:15" x14ac:dyDescent="0.25">
      <c r="C219" s="200"/>
      <c r="F219" s="3"/>
      <c r="G219" s="13"/>
      <c r="H219" s="13"/>
      <c r="I219" s="13"/>
      <c r="J219" s="13"/>
      <c r="K219" s="13"/>
      <c r="L219" s="13"/>
      <c r="M219" s="13"/>
      <c r="N219" s="13"/>
      <c r="O219" s="13"/>
    </row>
    <row r="220" spans="3:15" x14ac:dyDescent="0.25">
      <c r="C220" s="200"/>
      <c r="F220" s="3"/>
      <c r="G220" s="13"/>
      <c r="H220" s="13"/>
      <c r="I220" s="13"/>
      <c r="J220" s="13"/>
      <c r="K220" s="13"/>
      <c r="L220" s="13"/>
      <c r="M220" s="13"/>
      <c r="N220" s="13"/>
      <c r="O220" s="13"/>
    </row>
    <row r="221" spans="3:15" x14ac:dyDescent="0.25">
      <c r="F221" s="3"/>
      <c r="G221" s="13"/>
      <c r="H221" s="13"/>
      <c r="I221" s="13"/>
      <c r="J221" s="13"/>
      <c r="K221" s="13"/>
      <c r="L221" s="13"/>
      <c r="M221" s="13"/>
      <c r="N221" s="13"/>
      <c r="O221" s="13"/>
    </row>
    <row r="222" spans="3:15" x14ac:dyDescent="0.25">
      <c r="F222" s="3"/>
      <c r="G222" s="13"/>
      <c r="H222" s="13"/>
      <c r="I222" s="13"/>
      <c r="J222" s="13"/>
      <c r="K222" s="13"/>
      <c r="L222" s="13"/>
      <c r="M222" s="13"/>
      <c r="N222" s="13"/>
      <c r="O222" s="13"/>
    </row>
    <row r="223" spans="3:15" x14ac:dyDescent="0.25">
      <c r="I223" s="21"/>
      <c r="J223" s="21"/>
      <c r="K223" s="21"/>
      <c r="N223" s="21"/>
      <c r="O223" s="21"/>
    </row>
  </sheetData>
  <sheetProtection algorithmName="SHA-256" hashValue="ksE8LsIkmv71ihipCAQ5qlfQN1zXDDo5PTYsy3SVlEo=" saltValue="Ipbku5LV88+BYErAWmJk1A==" spinCount="100000" sheet="1" formatCells="0" formatColumns="0" formatRows="0" insertColumns="0" insertRows="0" insertHyperlinks="0" deleteColumns="0" deleteRows="0" sort="0" autoFilter="0" pivotTables="0"/>
  <autoFilter ref="B3:N195" xr:uid="{00000000-0009-0000-0000-000017000000}"/>
  <mergeCells count="1">
    <mergeCell ref="A1:B1"/>
  </mergeCells>
  <phoneticPr fontId="53" type="noConversion"/>
  <conditionalFormatting sqref="B25:B30">
    <cfRule type="expression" dxfId="13" priority="1196">
      <formula>MOD(ROW(),2)=0</formula>
    </cfRule>
  </conditionalFormatting>
  <conditionalFormatting sqref="B31:C31">
    <cfRule type="expression" dxfId="12" priority="747">
      <formula>MOD(ROW(),2)=0</formula>
    </cfRule>
  </conditionalFormatting>
  <conditionalFormatting sqref="B32:H73">
    <cfRule type="expression" dxfId="11" priority="60">
      <formula>MOD(ROW(),2)=0</formula>
    </cfRule>
  </conditionalFormatting>
  <conditionalFormatting sqref="B4:J24">
    <cfRule type="expression" dxfId="10" priority="184">
      <formula>MOD(ROW(),2)=0</formula>
    </cfRule>
  </conditionalFormatting>
  <conditionalFormatting sqref="B74:J196">
    <cfRule type="expression" dxfId="9" priority="1">
      <formula>MOD(ROW(),2)=0</formula>
    </cfRule>
  </conditionalFormatting>
  <conditionalFormatting sqref="C28:C30">
    <cfRule type="expression" dxfId="8" priority="411">
      <formula>MOD(ROW(),2)=0</formula>
    </cfRule>
  </conditionalFormatting>
  <conditionalFormatting sqref="C25:J27">
    <cfRule type="expression" dxfId="7" priority="167">
      <formula>MOD(ROW(),2)=0</formula>
    </cfRule>
  </conditionalFormatting>
  <conditionalFormatting sqref="D28:H31">
    <cfRule type="expression" dxfId="6" priority="412">
      <formula>MOD(ROW(),2)=0</formula>
    </cfRule>
  </conditionalFormatting>
  <conditionalFormatting sqref="I28:J73">
    <cfRule type="expression" dxfId="5" priority="3">
      <formula>MOD(ROW(),2)=0</formula>
    </cfRule>
  </conditionalFormatting>
  <conditionalFormatting sqref="K4:N196">
    <cfRule type="expression" dxfId="4" priority="39">
      <formula>MOD(ROW(),2)=0</formula>
    </cfRule>
  </conditionalFormatting>
  <dataValidations disablePrompts="1" count="3">
    <dataValidation type="list" allowBlank="1" showInputMessage="1" showErrorMessage="1" sqref="C209" xr:uid="{03CAECA7-724A-496A-A552-8B6003F84F1D}">
      <formula1>$C$213:$C$214</formula1>
    </dataValidation>
    <dataValidation type="list" allowBlank="1" showInputMessage="1" showErrorMessage="1" sqref="C210" xr:uid="{552721DF-30DD-405D-A474-C063A5C80EE9}">
      <formula1>$C$216:$C$217</formula1>
    </dataValidation>
    <dataValidation type="list" allowBlank="1" showInputMessage="1" showErrorMessage="1" sqref="C211" xr:uid="{E7F8A2E8-EB13-47BC-8368-3B03A7BCB381}">
      <formula1>$C$219:$C$220</formula1>
    </dataValidation>
  </dataValidations>
  <hyperlinks>
    <hyperlink ref="A1" location="Index!A1" display="&lt;&lt;Back to Index" xr:uid="{00000000-0004-0000-1700-000000000000}"/>
  </hyperlinks>
  <pageMargins left="0.7" right="0.7" top="0.75" bottom="0.75" header="0.3" footer="0.3"/>
  <pageSetup paperSize="9" orientation="portrait" r:id="rId1"/>
  <headerFooter>
    <oddHeader>&amp;C&amp;"Calibri"&amp;10&amp;KFF0000 OFFICIAL SENSITIVE&amp;1#_x000D_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0" tint="-0.249977111117893"/>
  </sheetPr>
  <dimension ref="A1:M53"/>
  <sheetViews>
    <sheetView zoomScaleNormal="100" workbookViewId="0">
      <selection sqref="A1:B1"/>
    </sheetView>
  </sheetViews>
  <sheetFormatPr defaultColWidth="8.85546875" defaultRowHeight="15" x14ac:dyDescent="0.25"/>
  <cols>
    <col min="1" max="1" width="1.85546875" style="3" customWidth="1"/>
    <col min="2" max="2" width="30.85546875" style="21" bestFit="1" customWidth="1"/>
    <col min="3" max="3" width="13.140625" style="21" customWidth="1"/>
    <col min="4" max="4" width="0.85546875" style="21" customWidth="1"/>
    <col min="5" max="11" width="13.140625" style="21" customWidth="1"/>
    <col min="12" max="12" width="0.85546875" style="21" customWidth="1"/>
    <col min="13" max="13" width="13.140625" style="21" customWidth="1"/>
    <col min="14" max="16384" width="8.85546875" style="3"/>
  </cols>
  <sheetData>
    <row r="1" spans="1:13" x14ac:dyDescent="0.25">
      <c r="A1" s="430" t="s">
        <v>18</v>
      </c>
      <c r="B1" s="431"/>
    </row>
    <row r="2" spans="1:13" s="14" customFormat="1" ht="18.75" x14ac:dyDescent="0.25">
      <c r="A2" s="15" t="s">
        <v>24</v>
      </c>
      <c r="B2" s="26"/>
      <c r="C2" s="22"/>
      <c r="D2" s="22"/>
      <c r="E2" s="22"/>
      <c r="F2" s="22"/>
      <c r="G2" s="22"/>
      <c r="H2" s="22"/>
      <c r="I2" s="22"/>
      <c r="J2" s="22"/>
      <c r="K2" s="22"/>
      <c r="L2" s="22"/>
      <c r="M2" s="22"/>
    </row>
    <row r="3" spans="1:13" s="5" customFormat="1" x14ac:dyDescent="0.25">
      <c r="B3" s="36"/>
      <c r="C3" s="19"/>
      <c r="D3" s="19"/>
      <c r="E3" s="19"/>
      <c r="F3" s="19"/>
      <c r="G3" s="19"/>
      <c r="H3" s="19"/>
      <c r="I3" s="19"/>
      <c r="J3" s="19"/>
      <c r="K3" s="19"/>
      <c r="L3" s="19"/>
      <c r="M3" s="19"/>
    </row>
    <row r="4" spans="1:13" s="5" customFormat="1" hidden="1" x14ac:dyDescent="0.25">
      <c r="B4" s="36"/>
      <c r="C4" s="19" t="str">
        <f>$C$9</f>
        <v>2025-26</v>
      </c>
      <c r="D4" s="19"/>
      <c r="E4" s="19" t="str">
        <f t="shared" ref="E4:K4" si="0">$C$9</f>
        <v>2025-26</v>
      </c>
      <c r="F4" s="19" t="str">
        <f t="shared" si="0"/>
        <v>2025-26</v>
      </c>
      <c r="G4" s="19"/>
      <c r="H4" s="19" t="str">
        <f t="shared" si="0"/>
        <v>2025-26</v>
      </c>
      <c r="I4" s="19" t="str">
        <f t="shared" si="0"/>
        <v>2025-26</v>
      </c>
      <c r="J4" s="19" t="str">
        <f t="shared" si="0"/>
        <v>2025-26</v>
      </c>
      <c r="K4" s="19" t="str">
        <f t="shared" si="0"/>
        <v>2025-26</v>
      </c>
      <c r="L4" s="19"/>
      <c r="M4" s="19" t="str">
        <f>$C$9</f>
        <v>2025-26</v>
      </c>
    </row>
    <row r="5" spans="1:13" s="5" customFormat="1" hidden="1" x14ac:dyDescent="0.25">
      <c r="B5" s="36"/>
      <c r="C5" s="19" t="str">
        <f>$C$10</f>
        <v>Residential</v>
      </c>
      <c r="D5" s="19"/>
      <c r="E5" s="19" t="str">
        <f t="shared" ref="E5:K5" si="1">$E$10</f>
        <v>Residential</v>
      </c>
      <c r="F5" s="19" t="str">
        <f t="shared" si="1"/>
        <v>Residential</v>
      </c>
      <c r="G5" s="19"/>
      <c r="H5" s="19" t="str">
        <f t="shared" si="1"/>
        <v>Residential</v>
      </c>
      <c r="I5" s="19" t="str">
        <f t="shared" si="1"/>
        <v>Residential</v>
      </c>
      <c r="J5" s="19" t="str">
        <f t="shared" si="1"/>
        <v>Residential</v>
      </c>
      <c r="K5" s="19" t="str">
        <f t="shared" si="1"/>
        <v>Residential</v>
      </c>
      <c r="L5" s="19"/>
      <c r="M5" s="19" t="str">
        <f>$M$10</f>
        <v>Small business</v>
      </c>
    </row>
    <row r="6" spans="1:13" s="5" customFormat="1" hidden="1" x14ac:dyDescent="0.25">
      <c r="B6" s="36"/>
      <c r="C6" s="19" t="str">
        <f>$C$11</f>
        <v>without CL</v>
      </c>
      <c r="D6" s="19"/>
      <c r="E6" s="19" t="str">
        <f t="shared" ref="E6:K6" si="2">$E$11</f>
        <v>with CL</v>
      </c>
      <c r="F6" s="19" t="str">
        <f t="shared" si="2"/>
        <v>with CL</v>
      </c>
      <c r="G6" s="19"/>
      <c r="H6" s="19" t="str">
        <f t="shared" si="2"/>
        <v>with CL</v>
      </c>
      <c r="I6" s="19" t="str">
        <f t="shared" si="2"/>
        <v>with CL</v>
      </c>
      <c r="J6" s="19" t="str">
        <f t="shared" si="2"/>
        <v>with CL</v>
      </c>
      <c r="K6" s="19" t="str">
        <f t="shared" si="2"/>
        <v>with CL</v>
      </c>
      <c r="L6" s="19"/>
      <c r="M6" s="19" t="str">
        <f>$M$11</f>
        <v>without CL</v>
      </c>
    </row>
    <row r="7" spans="1:13" s="5" customFormat="1" hidden="1" x14ac:dyDescent="0.25">
      <c r="B7" s="36"/>
      <c r="C7" s="19" t="str">
        <f>$C$12</f>
        <v>Flat rate</v>
      </c>
      <c r="D7" s="19"/>
      <c r="E7" s="19" t="str">
        <f>$E$12</f>
        <v>Flat rate</v>
      </c>
      <c r="F7" s="19" t="str">
        <f>$F$12</f>
        <v>CL</v>
      </c>
      <c r="G7" s="19"/>
      <c r="H7" s="19" t="str">
        <f>$H$13</f>
        <v>CL1</v>
      </c>
      <c r="I7" s="19" t="str">
        <f>$I$13</f>
        <v>CL2</v>
      </c>
      <c r="J7" s="19" t="str">
        <f>$F$12</f>
        <v>CL</v>
      </c>
      <c r="K7" s="19" t="str">
        <f>K12</f>
        <v>Total</v>
      </c>
      <c r="L7" s="19"/>
      <c r="M7" s="19" t="str">
        <f>$M$12</f>
        <v>Flat rate</v>
      </c>
    </row>
    <row r="8" spans="1:13" s="5" customFormat="1" hidden="1" x14ac:dyDescent="0.25">
      <c r="B8" s="36"/>
      <c r="C8" s="19" t="str">
        <f>$A$2</f>
        <v>Usage</v>
      </c>
      <c r="D8" s="19"/>
      <c r="E8" s="19" t="str">
        <f>$A$2</f>
        <v>Usage</v>
      </c>
      <c r="F8" s="19" t="s">
        <v>56</v>
      </c>
      <c r="G8" s="19" t="s">
        <v>89</v>
      </c>
      <c r="H8" s="19" t="str">
        <f>$A$2</f>
        <v>Usage</v>
      </c>
      <c r="I8" s="19" t="str">
        <f>$A$2</f>
        <v>Usage</v>
      </c>
      <c r="J8" s="19" t="str">
        <f>$A$2</f>
        <v>Usage</v>
      </c>
      <c r="K8" s="19" t="str">
        <f>$A$2</f>
        <v>Usage</v>
      </c>
      <c r="L8" s="19"/>
      <c r="M8" s="19" t="str">
        <f>$A$2</f>
        <v>Usage</v>
      </c>
    </row>
    <row r="9" spans="1:13" x14ac:dyDescent="0.25">
      <c r="B9" s="23"/>
      <c r="C9" s="478" t="str">
        <f>+'Key inputs'!D6</f>
        <v>2025-26</v>
      </c>
      <c r="D9" s="478"/>
      <c r="E9" s="478"/>
      <c r="F9" s="478"/>
      <c r="G9" s="478"/>
      <c r="H9" s="478"/>
      <c r="I9" s="478"/>
      <c r="J9" s="478"/>
      <c r="K9" s="478"/>
      <c r="L9" s="478"/>
      <c r="M9" s="478"/>
    </row>
    <row r="10" spans="1:13" x14ac:dyDescent="0.2">
      <c r="B10" s="204" t="s">
        <v>1</v>
      </c>
      <c r="C10" s="208" t="s">
        <v>6</v>
      </c>
      <c r="D10" s="56"/>
      <c r="E10" s="208" t="s">
        <v>6</v>
      </c>
      <c r="F10" s="208"/>
      <c r="G10" s="208"/>
      <c r="H10" s="208"/>
      <c r="I10" s="208"/>
      <c r="J10" s="208"/>
      <c r="K10" s="208"/>
      <c r="L10" s="57"/>
      <c r="M10" s="208" t="s">
        <v>13</v>
      </c>
    </row>
    <row r="11" spans="1:13" x14ac:dyDescent="0.25">
      <c r="B11" s="204"/>
      <c r="C11" s="205" t="s">
        <v>127</v>
      </c>
      <c r="D11" s="58"/>
      <c r="E11" s="205" t="s">
        <v>128</v>
      </c>
      <c r="F11" s="205"/>
      <c r="G11" s="205"/>
      <c r="H11" s="205"/>
      <c r="I11" s="205"/>
      <c r="J11" s="205"/>
      <c r="K11" s="205"/>
      <c r="L11" s="58"/>
      <c r="M11" s="205" t="s">
        <v>127</v>
      </c>
    </row>
    <row r="12" spans="1:13" x14ac:dyDescent="0.25">
      <c r="B12" s="204"/>
      <c r="C12" s="206" t="s">
        <v>19</v>
      </c>
      <c r="D12" s="207"/>
      <c r="E12" s="206" t="s">
        <v>19</v>
      </c>
      <c r="F12" s="206" t="s">
        <v>16</v>
      </c>
      <c r="G12" s="206"/>
      <c r="H12" s="206"/>
      <c r="I12" s="206"/>
      <c r="J12" s="206"/>
      <c r="K12" s="206" t="s">
        <v>55</v>
      </c>
      <c r="L12" s="207"/>
      <c r="M12" s="207" t="s">
        <v>19</v>
      </c>
    </row>
    <row r="13" spans="1:13" s="101" customFormat="1" x14ac:dyDescent="0.25">
      <c r="B13" s="204"/>
      <c r="C13" s="135" t="s">
        <v>55</v>
      </c>
      <c r="D13" s="135"/>
      <c r="E13" s="135" t="s">
        <v>55</v>
      </c>
      <c r="F13" s="135" t="s">
        <v>158</v>
      </c>
      <c r="G13" s="135" t="s">
        <v>159</v>
      </c>
      <c r="H13" s="135" t="s">
        <v>14</v>
      </c>
      <c r="I13" s="135" t="s">
        <v>15</v>
      </c>
      <c r="J13" s="135" t="s">
        <v>55</v>
      </c>
      <c r="K13" s="207"/>
      <c r="L13" s="135"/>
      <c r="M13" s="135" t="s">
        <v>55</v>
      </c>
    </row>
    <row r="14" spans="1:13" x14ac:dyDescent="0.25">
      <c r="B14" s="59" t="s">
        <v>2</v>
      </c>
      <c r="C14" s="136">
        <f>IF(+Days=366,ROUND(+Usage!C36,0),ROUND(+Usage!C25,0))</f>
        <v>3900</v>
      </c>
      <c r="D14" s="137"/>
      <c r="E14" s="136">
        <f>IF(+Days=366,ROUND(+Usage!E36,0),ROUND(+Usage!E25,0))</f>
        <v>4800</v>
      </c>
      <c r="F14" s="138">
        <f>IF(+Days=366,+Usage!F36,+Usage!F25)</f>
        <v>0.67</v>
      </c>
      <c r="G14" s="138">
        <f>IF(+Days=366,+Usage!G36,+Usage!G25)</f>
        <v>0.32999999999999996</v>
      </c>
      <c r="H14" s="136">
        <f>IF(+Days=366,ROUND(+Usage!H36,0),ROUND(+Usage!H25,0))</f>
        <v>1340</v>
      </c>
      <c r="I14" s="136">
        <f>IF(+Days=366,ROUND(+Usage!I36,0),ROUND(+Usage!I25,0))</f>
        <v>660</v>
      </c>
      <c r="J14" s="136">
        <f>IF(+Days=366,ROUND(+Usage!J36,0),ROUND(+Usage!J25,0))</f>
        <v>2000</v>
      </c>
      <c r="K14" s="136">
        <f>IF(+Days=366,ROUND(+Usage!K36,0),ROUND(+Usage!K25,0))</f>
        <v>6800</v>
      </c>
      <c r="L14" s="137"/>
      <c r="M14" s="136">
        <f>IF(+Days=366,ROUND(+Usage!M36,0),ROUND(+Usage!M25,0))</f>
        <v>10000</v>
      </c>
    </row>
    <row r="15" spans="1:13" x14ac:dyDescent="0.25">
      <c r="B15" s="59" t="s">
        <v>4</v>
      </c>
      <c r="C15" s="136">
        <f>IF(+Days=366,ROUND(+Usage!C37,0),ROUND(+Usage!C26,0))</f>
        <v>4900</v>
      </c>
      <c r="D15" s="137"/>
      <c r="E15" s="136">
        <f>IF(+Days=366,ROUND(+Usage!E37,0),ROUND(+Usage!E26,0))</f>
        <v>5200</v>
      </c>
      <c r="F15" s="138">
        <f>IF(+Days=366,+Usage!F37,+Usage!F26)</f>
        <v>0.67</v>
      </c>
      <c r="G15" s="138">
        <f>IF(+Days=366,+Usage!G37,+Usage!G26)</f>
        <v>0.32999999999999996</v>
      </c>
      <c r="H15" s="136">
        <f>IF(+Days=366,ROUND(+Usage!H37,0),ROUND(+Usage!H26,0))</f>
        <v>1474</v>
      </c>
      <c r="I15" s="136">
        <f>IF(+Days=366,ROUND(+Usage!I37,0),ROUND(+Usage!I26,0))</f>
        <v>726</v>
      </c>
      <c r="J15" s="136">
        <f>IF(+Days=366,ROUND(+Usage!J37,0),ROUND(+Usage!J26,0))</f>
        <v>2200</v>
      </c>
      <c r="K15" s="136">
        <f>IF(+Days=366,ROUND(+Usage!K37,0),ROUND(+Usage!K26,0))</f>
        <v>7400</v>
      </c>
      <c r="L15" s="137"/>
      <c r="M15" s="136">
        <f>IF(+Days=366,ROUND(+Usage!M37,0),ROUND(+Usage!M26,0))</f>
        <v>10000</v>
      </c>
    </row>
    <row r="16" spans="1:13" x14ac:dyDescent="0.25">
      <c r="B16" s="59" t="s">
        <v>0</v>
      </c>
      <c r="C16" s="136">
        <f>IF(+Days=366,ROUND(+Usage!C38,0),ROUND(+Usage!C27,0))</f>
        <v>4600</v>
      </c>
      <c r="D16" s="137"/>
      <c r="E16" s="136">
        <f>IF(+Days=366,ROUND(+Usage!E38,0),ROUND(+Usage!E27,0))</f>
        <v>4400</v>
      </c>
      <c r="F16" s="138">
        <f>IF(+Days=366,+Usage!F38,+Usage!F27)</f>
        <v>0.28999999999999998</v>
      </c>
      <c r="G16" s="138">
        <f>IF(+Days=366,+Usage!G38,+Usage!G27)</f>
        <v>0.71</v>
      </c>
      <c r="H16" s="136">
        <f>IF(+Days=366,ROUND(+Usage!H38,0),ROUND(+Usage!H27,0))</f>
        <v>551</v>
      </c>
      <c r="I16" s="136">
        <f>IF(+Days=366,ROUND(+Usage!I38,0),ROUND(+Usage!I27,0))</f>
        <v>1349</v>
      </c>
      <c r="J16" s="136">
        <f>IF(+Days=366,ROUND(+Usage!J38,0),ROUND(+Usage!J27,0))</f>
        <v>1900</v>
      </c>
      <c r="K16" s="136">
        <f>IF(+Days=366,ROUND(+Usage!K38,0),ROUND(+Usage!K27,0))</f>
        <v>6300</v>
      </c>
      <c r="L16" s="137"/>
      <c r="M16" s="136">
        <f>IF(+Days=366,ROUND(+Usage!M38,0),ROUND(+Usage!M27,0))</f>
        <v>10000</v>
      </c>
    </row>
    <row r="17" spans="2:13" x14ac:dyDescent="0.25">
      <c r="B17" s="59" t="s">
        <v>3</v>
      </c>
      <c r="C17" s="136">
        <f>IF(+Days=366,ROUND(+Usage!C39,0),ROUND(+Usage!C28,0))</f>
        <v>4600</v>
      </c>
      <c r="D17" s="137"/>
      <c r="E17" s="136">
        <f>IF(+Days=366,ROUND(+Usage!E39,0),ROUND(+Usage!E28,0))</f>
        <v>4600</v>
      </c>
      <c r="F17" s="138">
        <f>IF(+Days=366,+Usage!F39,+Usage!F28)</f>
        <v>0.77</v>
      </c>
      <c r="G17" s="138">
        <f>IF(+Days=366,+Usage!G39,+Usage!G28)</f>
        <v>0.22999999999999998</v>
      </c>
      <c r="H17" s="136">
        <f>IF(+Days=366,ROUND(+Usage!H39,0),ROUND(+Usage!H28,0))</f>
        <v>1540</v>
      </c>
      <c r="I17" s="136">
        <f>IF(+Days=366,ROUND(+Usage!I39,0),ROUND(+Usage!I28,0))</f>
        <v>460</v>
      </c>
      <c r="J17" s="136">
        <f>IF(+Days=366,ROUND(+Usage!J39,0),ROUND(+Usage!J28,0))</f>
        <v>2000</v>
      </c>
      <c r="K17" s="136">
        <f>IF(+Days=366,ROUND(+Usage!K39,0),ROUND(+Usage!K28,0))</f>
        <v>6600</v>
      </c>
      <c r="L17" s="137"/>
      <c r="M17" s="136">
        <f>IF(+Days=366,ROUND(+Usage!M39,0),ROUND(+Usage!M28,0))</f>
        <v>10000</v>
      </c>
    </row>
    <row r="18" spans="2:13" x14ac:dyDescent="0.25">
      <c r="B18" s="59" t="s">
        <v>5</v>
      </c>
      <c r="C18" s="136">
        <f>IF(+Days=366,ROUND(+Usage!C40,0),ROUND(+Usage!C29,0))</f>
        <v>4000</v>
      </c>
      <c r="D18" s="137"/>
      <c r="E18" s="136">
        <f>IF(+Days=366,ROUND(+Usage!E40,0),ROUND(+Usage!E29,0))</f>
        <v>4200</v>
      </c>
      <c r="F18" s="138">
        <f>IF(+Days=366,+Usage!F40,+Usage!F29)</f>
        <v>1</v>
      </c>
      <c r="G18" s="138">
        <f>IF(+Days=366,+Usage!G40,+Usage!G29)</f>
        <v>0</v>
      </c>
      <c r="H18" s="136">
        <f>IF(+Days=366,ROUND(+Usage!H40,0),ROUND(+Usage!H29,0))</f>
        <v>1800</v>
      </c>
      <c r="I18" s="136">
        <f>IF(+Days=366,ROUND(+Usage!I40,0),ROUND(+Usage!I29,0))</f>
        <v>0</v>
      </c>
      <c r="J18" s="136">
        <f>IF(+Days=366,ROUND(+Usage!J40,0),ROUND(+Usage!J29,0))</f>
        <v>1800</v>
      </c>
      <c r="K18" s="136">
        <f>IF(+Days=366,ROUND(+Usage!K40,0),ROUND(+Usage!K29,0))</f>
        <v>6000</v>
      </c>
      <c r="L18" s="137"/>
      <c r="M18" s="136">
        <f>IF(+Days=366,ROUND(+Usage!M40,0),ROUND(+Usage!M29,0))</f>
        <v>10000</v>
      </c>
    </row>
    <row r="19" spans="2:13" x14ac:dyDescent="0.25">
      <c r="C19" s="19"/>
      <c r="D19" s="19"/>
      <c r="E19" s="19"/>
      <c r="F19" s="19"/>
      <c r="G19" s="19"/>
      <c r="H19" s="19"/>
      <c r="I19" s="19"/>
      <c r="J19" s="19"/>
      <c r="K19" s="19"/>
      <c r="L19" s="19"/>
      <c r="M19" s="19"/>
    </row>
    <row r="20" spans="2:13" hidden="1" x14ac:dyDescent="0.25">
      <c r="B20" s="23">
        <f>Days</f>
        <v>365</v>
      </c>
      <c r="C20" s="478" t="str">
        <f>+'Key inputs'!D6</f>
        <v>2025-26</v>
      </c>
      <c r="D20" s="478"/>
      <c r="E20" s="478"/>
      <c r="F20" s="478"/>
      <c r="G20" s="478"/>
      <c r="H20" s="478"/>
      <c r="I20" s="478"/>
      <c r="J20" s="478"/>
      <c r="K20" s="478"/>
      <c r="L20" s="478"/>
      <c r="M20" s="478"/>
    </row>
    <row r="21" spans="2:13" hidden="1" x14ac:dyDescent="0.2">
      <c r="B21" s="204" t="s">
        <v>1</v>
      </c>
      <c r="C21" s="208" t="s">
        <v>6</v>
      </c>
      <c r="D21" s="56"/>
      <c r="E21" s="208" t="s">
        <v>6</v>
      </c>
      <c r="F21" s="208"/>
      <c r="G21" s="208"/>
      <c r="H21" s="208"/>
      <c r="I21" s="208"/>
      <c r="J21" s="208"/>
      <c r="K21" s="208"/>
      <c r="L21" s="57"/>
      <c r="M21" s="208" t="s">
        <v>13</v>
      </c>
    </row>
    <row r="22" spans="2:13" hidden="1" x14ac:dyDescent="0.25">
      <c r="B22" s="204"/>
      <c r="C22" s="205" t="s">
        <v>127</v>
      </c>
      <c r="D22" s="58"/>
      <c r="E22" s="205" t="s">
        <v>128</v>
      </c>
      <c r="F22" s="205"/>
      <c r="G22" s="205"/>
      <c r="H22" s="205"/>
      <c r="I22" s="205"/>
      <c r="J22" s="205"/>
      <c r="K22" s="205"/>
      <c r="L22" s="58"/>
      <c r="M22" s="205" t="s">
        <v>127</v>
      </c>
    </row>
    <row r="23" spans="2:13" hidden="1" x14ac:dyDescent="0.25">
      <c r="B23" s="204"/>
      <c r="C23" s="206" t="s">
        <v>19</v>
      </c>
      <c r="D23" s="207"/>
      <c r="E23" s="206" t="s">
        <v>19</v>
      </c>
      <c r="F23" s="206" t="s">
        <v>16</v>
      </c>
      <c r="G23" s="206"/>
      <c r="H23" s="206"/>
      <c r="I23" s="206"/>
      <c r="J23" s="206"/>
      <c r="K23" s="206" t="s">
        <v>55</v>
      </c>
      <c r="L23" s="207"/>
      <c r="M23" s="207" t="s">
        <v>19</v>
      </c>
    </row>
    <row r="24" spans="2:13" s="101" customFormat="1" hidden="1" x14ac:dyDescent="0.25">
      <c r="B24" s="204"/>
      <c r="C24" s="135" t="s">
        <v>55</v>
      </c>
      <c r="D24" s="135"/>
      <c r="E24" s="135" t="s">
        <v>55</v>
      </c>
      <c r="F24" s="135" t="s">
        <v>158</v>
      </c>
      <c r="G24" s="135" t="s">
        <v>159</v>
      </c>
      <c r="H24" s="135" t="s">
        <v>14</v>
      </c>
      <c r="I24" s="135" t="s">
        <v>15</v>
      </c>
      <c r="J24" s="135" t="s">
        <v>55</v>
      </c>
      <c r="K24" s="207"/>
      <c r="L24" s="135"/>
      <c r="M24" s="135" t="s">
        <v>55</v>
      </c>
    </row>
    <row r="25" spans="2:13" hidden="1" x14ac:dyDescent="0.25">
      <c r="B25" s="59" t="s">
        <v>2</v>
      </c>
      <c r="C25" s="136">
        <f>+C48</f>
        <v>3900</v>
      </c>
      <c r="D25" s="137"/>
      <c r="E25" s="136">
        <f>+E48</f>
        <v>4800</v>
      </c>
      <c r="F25" s="138">
        <v>0.67</v>
      </c>
      <c r="G25" s="138">
        <v>0.32999999999999996</v>
      </c>
      <c r="H25" s="136">
        <f>+H48</f>
        <v>1340</v>
      </c>
      <c r="I25" s="136">
        <f>+I48</f>
        <v>660</v>
      </c>
      <c r="J25" s="136">
        <f>+J48</f>
        <v>2000</v>
      </c>
      <c r="K25" s="136">
        <f>+K48</f>
        <v>6800</v>
      </c>
      <c r="L25" s="136"/>
      <c r="M25" s="136">
        <f>+M48</f>
        <v>10000</v>
      </c>
    </row>
    <row r="26" spans="2:13" hidden="1" x14ac:dyDescent="0.25">
      <c r="B26" s="59" t="s">
        <v>4</v>
      </c>
      <c r="C26" s="136">
        <f t="shared" ref="C26:E29" si="3">+C49</f>
        <v>4900</v>
      </c>
      <c r="D26" s="137"/>
      <c r="E26" s="136">
        <f t="shared" si="3"/>
        <v>5200</v>
      </c>
      <c r="F26" s="138">
        <v>0.67</v>
      </c>
      <c r="G26" s="138">
        <v>0.32999999999999996</v>
      </c>
      <c r="H26" s="136">
        <f t="shared" ref="H26:M26" si="4">+H49</f>
        <v>1474</v>
      </c>
      <c r="I26" s="136">
        <f t="shared" si="4"/>
        <v>726</v>
      </c>
      <c r="J26" s="136">
        <f t="shared" si="4"/>
        <v>2200</v>
      </c>
      <c r="K26" s="136">
        <f t="shared" si="4"/>
        <v>7400</v>
      </c>
      <c r="L26" s="136"/>
      <c r="M26" s="136">
        <f t="shared" si="4"/>
        <v>10000</v>
      </c>
    </row>
    <row r="27" spans="2:13" hidden="1" x14ac:dyDescent="0.25">
      <c r="B27" s="59" t="s">
        <v>0</v>
      </c>
      <c r="C27" s="136">
        <f>+C50</f>
        <v>4600</v>
      </c>
      <c r="D27" s="137"/>
      <c r="E27" s="136">
        <f t="shared" si="3"/>
        <v>4400</v>
      </c>
      <c r="F27" s="138">
        <v>0.28999999999999998</v>
      </c>
      <c r="G27" s="138">
        <v>0.71</v>
      </c>
      <c r="H27" s="136">
        <f t="shared" ref="H27:M27" si="5">+H50</f>
        <v>551</v>
      </c>
      <c r="I27" s="136">
        <f t="shared" si="5"/>
        <v>1349</v>
      </c>
      <c r="J27" s="136">
        <f t="shared" si="5"/>
        <v>1900</v>
      </c>
      <c r="K27" s="136">
        <f t="shared" si="5"/>
        <v>6300</v>
      </c>
      <c r="L27" s="136"/>
      <c r="M27" s="136">
        <f t="shared" si="5"/>
        <v>10000</v>
      </c>
    </row>
    <row r="28" spans="2:13" hidden="1" x14ac:dyDescent="0.25">
      <c r="B28" s="59" t="s">
        <v>3</v>
      </c>
      <c r="C28" s="136">
        <f t="shared" si="3"/>
        <v>4600</v>
      </c>
      <c r="D28" s="137"/>
      <c r="E28" s="136">
        <f t="shared" si="3"/>
        <v>4600</v>
      </c>
      <c r="F28" s="138">
        <v>0.77</v>
      </c>
      <c r="G28" s="138">
        <v>0.22999999999999998</v>
      </c>
      <c r="H28" s="136">
        <f t="shared" ref="H28:M28" si="6">+H51</f>
        <v>1540</v>
      </c>
      <c r="I28" s="136">
        <f t="shared" si="6"/>
        <v>460</v>
      </c>
      <c r="J28" s="136">
        <f t="shared" si="6"/>
        <v>2000</v>
      </c>
      <c r="K28" s="136">
        <f t="shared" si="6"/>
        <v>6600</v>
      </c>
      <c r="L28" s="136"/>
      <c r="M28" s="136">
        <f t="shared" si="6"/>
        <v>10000</v>
      </c>
    </row>
    <row r="29" spans="2:13" hidden="1" x14ac:dyDescent="0.25">
      <c r="B29" s="59" t="s">
        <v>5</v>
      </c>
      <c r="C29" s="136">
        <f t="shared" si="3"/>
        <v>4000</v>
      </c>
      <c r="D29" s="137"/>
      <c r="E29" s="136">
        <f t="shared" si="3"/>
        <v>4200</v>
      </c>
      <c r="F29" s="138">
        <v>1</v>
      </c>
      <c r="G29" s="138">
        <v>0</v>
      </c>
      <c r="H29" s="136">
        <f t="shared" ref="H29:M29" si="7">+H52</f>
        <v>1800</v>
      </c>
      <c r="I29" s="136">
        <f t="shared" si="7"/>
        <v>0</v>
      </c>
      <c r="J29" s="136">
        <f t="shared" si="7"/>
        <v>1800</v>
      </c>
      <c r="K29" s="136">
        <f t="shared" si="7"/>
        <v>6000</v>
      </c>
      <c r="L29" s="136"/>
      <c r="M29" s="136">
        <f t="shared" si="7"/>
        <v>10000</v>
      </c>
    </row>
    <row r="30" spans="2:13" hidden="1" x14ac:dyDescent="0.25">
      <c r="C30" s="19"/>
      <c r="D30" s="19"/>
      <c r="E30" s="19"/>
      <c r="F30" s="19"/>
      <c r="G30" s="19"/>
      <c r="H30" s="19"/>
      <c r="I30" s="19"/>
      <c r="J30" s="19"/>
      <c r="K30" s="19"/>
      <c r="L30" s="19"/>
      <c r="M30" s="19"/>
    </row>
    <row r="31" spans="2:13" x14ac:dyDescent="0.25">
      <c r="B31" s="23">
        <f>+'Key inputs'!D12</f>
        <v>365</v>
      </c>
      <c r="C31" s="478" t="str">
        <f>+'Key inputs'!D7</f>
        <v>2024-25</v>
      </c>
      <c r="D31" s="478"/>
      <c r="E31" s="478"/>
      <c r="F31" s="478"/>
      <c r="G31" s="478"/>
      <c r="H31" s="478"/>
      <c r="I31" s="478"/>
      <c r="J31" s="478"/>
      <c r="K31" s="478"/>
      <c r="L31" s="478"/>
      <c r="M31" s="478"/>
    </row>
    <row r="32" spans="2:13" x14ac:dyDescent="0.2">
      <c r="B32" s="204" t="s">
        <v>1</v>
      </c>
      <c r="C32" s="208" t="s">
        <v>6</v>
      </c>
      <c r="D32" s="56"/>
      <c r="E32" s="208" t="s">
        <v>6</v>
      </c>
      <c r="F32" s="208"/>
      <c r="G32" s="208"/>
      <c r="H32" s="208"/>
      <c r="I32" s="208"/>
      <c r="J32" s="208"/>
      <c r="K32" s="208"/>
      <c r="L32" s="57"/>
      <c r="M32" s="208" t="s">
        <v>13</v>
      </c>
    </row>
    <row r="33" spans="2:13" x14ac:dyDescent="0.25">
      <c r="B33" s="204"/>
      <c r="C33" s="205" t="s">
        <v>127</v>
      </c>
      <c r="D33" s="58"/>
      <c r="E33" s="205" t="s">
        <v>128</v>
      </c>
      <c r="F33" s="205"/>
      <c r="G33" s="205"/>
      <c r="H33" s="205"/>
      <c r="I33" s="205"/>
      <c r="J33" s="205"/>
      <c r="K33" s="205"/>
      <c r="L33" s="58"/>
      <c r="M33" s="205" t="s">
        <v>127</v>
      </c>
    </row>
    <row r="34" spans="2:13" x14ac:dyDescent="0.25">
      <c r="B34" s="204"/>
      <c r="C34" s="206" t="s">
        <v>19</v>
      </c>
      <c r="D34" s="207"/>
      <c r="E34" s="206" t="s">
        <v>19</v>
      </c>
      <c r="F34" s="206" t="s">
        <v>16</v>
      </c>
      <c r="G34" s="206"/>
      <c r="H34" s="206"/>
      <c r="I34" s="206"/>
      <c r="J34" s="206"/>
      <c r="K34" s="206" t="s">
        <v>55</v>
      </c>
      <c r="L34" s="207"/>
      <c r="M34" s="207" t="s">
        <v>19</v>
      </c>
    </row>
    <row r="35" spans="2:13" x14ac:dyDescent="0.25">
      <c r="B35" s="204"/>
      <c r="C35" s="135" t="s">
        <v>55</v>
      </c>
      <c r="D35" s="135"/>
      <c r="E35" s="135" t="s">
        <v>55</v>
      </c>
      <c r="F35" s="135" t="s">
        <v>158</v>
      </c>
      <c r="G35" s="135" t="s">
        <v>159</v>
      </c>
      <c r="H35" s="135" t="s">
        <v>14</v>
      </c>
      <c r="I35" s="135" t="s">
        <v>15</v>
      </c>
      <c r="J35" s="135" t="s">
        <v>55</v>
      </c>
      <c r="K35" s="207"/>
      <c r="L35" s="135"/>
      <c r="M35" s="135" t="s">
        <v>55</v>
      </c>
    </row>
    <row r="36" spans="2:13" x14ac:dyDescent="0.25">
      <c r="B36" s="59" t="str">
        <f>+B14</f>
        <v>Ausgrid</v>
      </c>
      <c r="C36" s="222">
        <f>ROUND(+C48/+$B$20*$B$31,0)</f>
        <v>3900</v>
      </c>
      <c r="D36" s="223">
        <v>0</v>
      </c>
      <c r="E36" s="222">
        <f>ROUND(+E48/+$B$20*$B$31,0)</f>
        <v>4800</v>
      </c>
      <c r="F36" s="234">
        <v>0.67</v>
      </c>
      <c r="G36" s="234">
        <v>0.32999999999999996</v>
      </c>
      <c r="H36" s="222">
        <f t="shared" ref="H36:I40" si="8">ROUND(+H48/+$B$20*$B$31,0)</f>
        <v>1340</v>
      </c>
      <c r="I36" s="222">
        <f t="shared" si="8"/>
        <v>660</v>
      </c>
      <c r="J36" s="222">
        <f>+I36+H36</f>
        <v>2000</v>
      </c>
      <c r="K36" s="222">
        <f>ROUND(+K48/+$B$20*$B$31,0)</f>
        <v>6800</v>
      </c>
      <c r="L36" s="223">
        <v>0</v>
      </c>
      <c r="M36" s="222">
        <f>ROUND(+M48/+$B$20*$B$31,0)</f>
        <v>10000</v>
      </c>
    </row>
    <row r="37" spans="2:13" x14ac:dyDescent="0.25">
      <c r="B37" s="59" t="str">
        <f>+B15</f>
        <v>Endeavour</v>
      </c>
      <c r="C37" s="222">
        <f>ROUND(+C49/+$B$20*$B$31,0)</f>
        <v>4900</v>
      </c>
      <c r="D37" s="223">
        <v>0</v>
      </c>
      <c r="E37" s="222">
        <f>ROUND(+E49/+$B$20*$B$31,0)</f>
        <v>5200</v>
      </c>
      <c r="F37" s="234">
        <v>0.67</v>
      </c>
      <c r="G37" s="234">
        <v>0.32999999999999996</v>
      </c>
      <c r="H37" s="222">
        <f t="shared" si="8"/>
        <v>1474</v>
      </c>
      <c r="I37" s="222">
        <f t="shared" si="8"/>
        <v>726</v>
      </c>
      <c r="J37" s="222">
        <f t="shared" ref="J37:J40" si="9">+I37+H37</f>
        <v>2200</v>
      </c>
      <c r="K37" s="222">
        <f>ROUND(+K49/+$B$20*$B$31,0)</f>
        <v>7400</v>
      </c>
      <c r="L37" s="223">
        <v>0</v>
      </c>
      <c r="M37" s="222">
        <f>ROUND(+M49/+$B$20*$B$31,0)</f>
        <v>10000</v>
      </c>
    </row>
    <row r="38" spans="2:13" x14ac:dyDescent="0.25">
      <c r="B38" s="59" t="str">
        <f>+B16</f>
        <v>Energex</v>
      </c>
      <c r="C38" s="222">
        <f>ROUND(+C50/+$B$20*$B$31,0)</f>
        <v>4600</v>
      </c>
      <c r="D38" s="223">
        <v>0</v>
      </c>
      <c r="E38" s="222">
        <f>ROUND(+E50/+$B$20*$B$31,0)</f>
        <v>4400</v>
      </c>
      <c r="F38" s="234">
        <v>0.28999999999999998</v>
      </c>
      <c r="G38" s="234">
        <v>0.71</v>
      </c>
      <c r="H38" s="222">
        <f t="shared" si="8"/>
        <v>551</v>
      </c>
      <c r="I38" s="222">
        <f t="shared" si="8"/>
        <v>1349</v>
      </c>
      <c r="J38" s="222">
        <f t="shared" si="9"/>
        <v>1900</v>
      </c>
      <c r="K38" s="222">
        <f>ROUND(+K50/+$B$20*$B$31,0)</f>
        <v>6300</v>
      </c>
      <c r="L38" s="223">
        <v>0</v>
      </c>
      <c r="M38" s="222">
        <f>ROUND(+M50/+$B$20*$B$31,0)</f>
        <v>10000</v>
      </c>
    </row>
    <row r="39" spans="2:13" x14ac:dyDescent="0.25">
      <c r="B39" s="59" t="str">
        <f>+B17</f>
        <v>Essential</v>
      </c>
      <c r="C39" s="222">
        <f>ROUND(+C51/+$B$20*$B$31,0)</f>
        <v>4600</v>
      </c>
      <c r="D39" s="223">
        <v>0</v>
      </c>
      <c r="E39" s="222">
        <f>ROUND(+E51/+$B$20*$B$31,0)</f>
        <v>4600</v>
      </c>
      <c r="F39" s="234">
        <v>0.77</v>
      </c>
      <c r="G39" s="234">
        <v>0.22999999999999998</v>
      </c>
      <c r="H39" s="222">
        <f t="shared" si="8"/>
        <v>1540</v>
      </c>
      <c r="I39" s="222">
        <f t="shared" si="8"/>
        <v>460</v>
      </c>
      <c r="J39" s="222">
        <f t="shared" si="9"/>
        <v>2000</v>
      </c>
      <c r="K39" s="222">
        <f>ROUND(+K51/+$B$20*$B$31,0)</f>
        <v>6600</v>
      </c>
      <c r="L39" s="223">
        <v>0</v>
      </c>
      <c r="M39" s="222">
        <f>ROUND(+M51/+$B$20*$B$31,0)</f>
        <v>10000</v>
      </c>
    </row>
    <row r="40" spans="2:13" x14ac:dyDescent="0.25">
      <c r="B40" s="59" t="str">
        <f>+B18</f>
        <v>SAPN</v>
      </c>
      <c r="C40" s="222">
        <f>ROUND(+C52/+$B$20*$B$31,0)</f>
        <v>4000</v>
      </c>
      <c r="D40" s="223">
        <v>0</v>
      </c>
      <c r="E40" s="222">
        <f>ROUND(+E52/+$B$20*$B$31,0)</f>
        <v>4200</v>
      </c>
      <c r="F40" s="234">
        <v>1</v>
      </c>
      <c r="G40" s="234">
        <v>0</v>
      </c>
      <c r="H40" s="222">
        <f t="shared" si="8"/>
        <v>1800</v>
      </c>
      <c r="I40" s="222">
        <f t="shared" si="8"/>
        <v>0</v>
      </c>
      <c r="J40" s="222">
        <f t="shared" si="9"/>
        <v>1800</v>
      </c>
      <c r="K40" s="222">
        <f>ROUND(+K52/+$B$20*$B$31,0)</f>
        <v>6000</v>
      </c>
      <c r="L40" s="223">
        <v>0</v>
      </c>
      <c r="M40" s="222">
        <f>ROUND(+M52/+$B$20*$B$31,0)</f>
        <v>10000</v>
      </c>
    </row>
    <row r="41" spans="2:13" x14ac:dyDescent="0.25">
      <c r="F41" s="202"/>
      <c r="G41" s="202"/>
      <c r="J41" s="19"/>
      <c r="L41" s="19"/>
      <c r="M41" s="19"/>
    </row>
    <row r="42" spans="2:13" x14ac:dyDescent="0.25">
      <c r="I42" s="19"/>
      <c r="J42" s="19"/>
      <c r="K42" s="19"/>
      <c r="L42" s="19"/>
      <c r="M42" s="19"/>
    </row>
    <row r="43" spans="2:13" x14ac:dyDescent="0.25">
      <c r="B43" s="23"/>
      <c r="C43" s="478" t="s">
        <v>205</v>
      </c>
      <c r="D43" s="478"/>
      <c r="E43" s="478"/>
      <c r="F43" s="478"/>
      <c r="G43" s="478"/>
      <c r="H43" s="478"/>
      <c r="I43" s="478"/>
      <c r="J43" s="478"/>
      <c r="K43" s="478"/>
      <c r="L43" s="478"/>
      <c r="M43" s="478"/>
    </row>
    <row r="44" spans="2:13" x14ac:dyDescent="0.2">
      <c r="B44" s="204" t="s">
        <v>1</v>
      </c>
      <c r="C44" s="208" t="s">
        <v>6</v>
      </c>
      <c r="D44" s="56"/>
      <c r="E44" s="208" t="s">
        <v>6</v>
      </c>
      <c r="F44" s="208"/>
      <c r="G44" s="208"/>
      <c r="H44" s="208"/>
      <c r="I44" s="208"/>
      <c r="J44" s="208"/>
      <c r="K44" s="208"/>
      <c r="L44" s="57"/>
      <c r="M44" s="208" t="s">
        <v>13</v>
      </c>
    </row>
    <row r="45" spans="2:13" x14ac:dyDescent="0.25">
      <c r="B45" s="204"/>
      <c r="C45" s="205" t="s">
        <v>127</v>
      </c>
      <c r="D45" s="58"/>
      <c r="E45" s="205" t="s">
        <v>128</v>
      </c>
      <c r="F45" s="205"/>
      <c r="G45" s="205"/>
      <c r="H45" s="205"/>
      <c r="I45" s="205"/>
      <c r="J45" s="205"/>
      <c r="K45" s="205"/>
      <c r="L45" s="58"/>
      <c r="M45" s="205" t="s">
        <v>127</v>
      </c>
    </row>
    <row r="46" spans="2:13" x14ac:dyDescent="0.25">
      <c r="B46" s="204"/>
      <c r="C46" s="206" t="s">
        <v>19</v>
      </c>
      <c r="D46" s="207"/>
      <c r="E46" s="206" t="s">
        <v>19</v>
      </c>
      <c r="F46" s="206" t="s">
        <v>16</v>
      </c>
      <c r="G46" s="206"/>
      <c r="H46" s="206"/>
      <c r="I46" s="206"/>
      <c r="J46" s="206"/>
      <c r="K46" s="206" t="s">
        <v>55</v>
      </c>
      <c r="L46" s="207"/>
      <c r="M46" s="207" t="s">
        <v>19</v>
      </c>
    </row>
    <row r="47" spans="2:13" x14ac:dyDescent="0.25">
      <c r="B47" s="204"/>
      <c r="C47" s="135" t="s">
        <v>55</v>
      </c>
      <c r="D47" s="135"/>
      <c r="E47" s="135" t="s">
        <v>55</v>
      </c>
      <c r="F47" s="135" t="s">
        <v>158</v>
      </c>
      <c r="G47" s="135" t="s">
        <v>159</v>
      </c>
      <c r="H47" s="135" t="s">
        <v>14</v>
      </c>
      <c r="I47" s="135" t="s">
        <v>15</v>
      </c>
      <c r="J47" s="135" t="s">
        <v>55</v>
      </c>
      <c r="K47" s="207"/>
      <c r="L47" s="135"/>
      <c r="M47" s="135" t="s">
        <v>55</v>
      </c>
    </row>
    <row r="48" spans="2:13" x14ac:dyDescent="0.25">
      <c r="B48" s="59" t="str">
        <f>+B25</f>
        <v>Ausgrid</v>
      </c>
      <c r="C48" s="232">
        <v>3900</v>
      </c>
      <c r="D48" s="233">
        <v>0</v>
      </c>
      <c r="E48" s="232">
        <v>4800</v>
      </c>
      <c r="F48" s="235">
        <v>0.67</v>
      </c>
      <c r="G48" s="235">
        <v>0.32999999999999996</v>
      </c>
      <c r="H48" s="232">
        <v>1340</v>
      </c>
      <c r="I48" s="232">
        <v>660</v>
      </c>
      <c r="J48" s="232">
        <v>2000</v>
      </c>
      <c r="K48" s="232">
        <v>6800</v>
      </c>
      <c r="L48" s="233">
        <v>0</v>
      </c>
      <c r="M48" s="232">
        <v>10000</v>
      </c>
    </row>
    <row r="49" spans="2:13" x14ac:dyDescent="0.25">
      <c r="B49" s="59" t="str">
        <f>+B26</f>
        <v>Endeavour</v>
      </c>
      <c r="C49" s="232">
        <v>4900</v>
      </c>
      <c r="D49" s="233">
        <v>0</v>
      </c>
      <c r="E49" s="232">
        <v>5200</v>
      </c>
      <c r="F49" s="235">
        <v>0.67</v>
      </c>
      <c r="G49" s="235">
        <v>0.32999999999999996</v>
      </c>
      <c r="H49" s="232">
        <v>1474</v>
      </c>
      <c r="I49" s="232">
        <v>726</v>
      </c>
      <c r="J49" s="232">
        <v>2200</v>
      </c>
      <c r="K49" s="232">
        <v>7400</v>
      </c>
      <c r="L49" s="233">
        <v>0</v>
      </c>
      <c r="M49" s="232">
        <v>10000</v>
      </c>
    </row>
    <row r="50" spans="2:13" x14ac:dyDescent="0.25">
      <c r="B50" s="59" t="str">
        <f>+B27</f>
        <v>Energex</v>
      </c>
      <c r="C50" s="232">
        <v>4600</v>
      </c>
      <c r="D50" s="233">
        <v>0</v>
      </c>
      <c r="E50" s="232">
        <v>4400</v>
      </c>
      <c r="F50" s="235">
        <v>0.28999999999999998</v>
      </c>
      <c r="G50" s="235">
        <v>0.71</v>
      </c>
      <c r="H50" s="232">
        <v>551</v>
      </c>
      <c r="I50" s="232">
        <v>1349</v>
      </c>
      <c r="J50" s="232">
        <v>1900</v>
      </c>
      <c r="K50" s="232">
        <v>6300</v>
      </c>
      <c r="L50" s="233">
        <v>0</v>
      </c>
      <c r="M50" s="232">
        <v>10000</v>
      </c>
    </row>
    <row r="51" spans="2:13" x14ac:dyDescent="0.25">
      <c r="B51" s="59" t="str">
        <f>+B28</f>
        <v>Essential</v>
      </c>
      <c r="C51" s="232">
        <v>4600</v>
      </c>
      <c r="D51" s="233">
        <v>0</v>
      </c>
      <c r="E51" s="232">
        <v>4600</v>
      </c>
      <c r="F51" s="235">
        <v>0.77</v>
      </c>
      <c r="G51" s="235">
        <v>0.22999999999999998</v>
      </c>
      <c r="H51" s="232">
        <v>1540</v>
      </c>
      <c r="I51" s="232">
        <v>460</v>
      </c>
      <c r="J51" s="232">
        <v>2000</v>
      </c>
      <c r="K51" s="232">
        <v>6600</v>
      </c>
      <c r="L51" s="233">
        <v>0</v>
      </c>
      <c r="M51" s="232">
        <v>10000</v>
      </c>
    </row>
    <row r="52" spans="2:13" x14ac:dyDescent="0.25">
      <c r="B52" s="59" t="str">
        <f>+B29</f>
        <v>SAPN</v>
      </c>
      <c r="C52" s="232">
        <v>4000</v>
      </c>
      <c r="D52" s="233">
        <v>0</v>
      </c>
      <c r="E52" s="232">
        <v>4200</v>
      </c>
      <c r="F52" s="235">
        <v>1</v>
      </c>
      <c r="G52" s="235">
        <v>0</v>
      </c>
      <c r="H52" s="232">
        <v>1800</v>
      </c>
      <c r="I52" s="232">
        <v>0</v>
      </c>
      <c r="J52" s="232">
        <v>1800</v>
      </c>
      <c r="K52" s="232">
        <v>6000</v>
      </c>
      <c r="L52" s="233">
        <v>0</v>
      </c>
      <c r="M52" s="232">
        <v>10000</v>
      </c>
    </row>
    <row r="53" spans="2:13" x14ac:dyDescent="0.25">
      <c r="C53" s="19"/>
      <c r="D53" s="19"/>
      <c r="E53" s="19"/>
      <c r="F53" s="19"/>
      <c r="G53" s="19"/>
      <c r="H53" s="19"/>
      <c r="I53" s="19"/>
      <c r="J53" s="19"/>
      <c r="K53" s="19"/>
      <c r="L53" s="19"/>
      <c r="M53" s="19"/>
    </row>
  </sheetData>
  <sheetProtection algorithmName="SHA-256" hashValue="q2RVluhch3IqAp6c5lIoqtLOTkp2W7K7bWJAARHlkuo=" saltValue="YEbF0628PndueehQCnoPfQ==" spinCount="100000" sheet="1" formatCells="0" formatColumns="0" formatRows="0" insertColumns="0" insertRows="0" insertHyperlinks="0" deleteColumns="0" deleteRows="0" sort="0" autoFilter="0" pivotTables="0"/>
  <mergeCells count="5">
    <mergeCell ref="C31:M31"/>
    <mergeCell ref="C9:M9"/>
    <mergeCell ref="A1:B1"/>
    <mergeCell ref="C20:M20"/>
    <mergeCell ref="C43:M43"/>
  </mergeCells>
  <conditionalFormatting sqref="B14:M18">
    <cfRule type="expression" dxfId="3" priority="5">
      <formula>MOD(ROW(),2)=0</formula>
    </cfRule>
  </conditionalFormatting>
  <conditionalFormatting sqref="B25:M29">
    <cfRule type="expression" dxfId="2" priority="2">
      <formula>MOD(ROW(),2)=0</formula>
    </cfRule>
  </conditionalFormatting>
  <conditionalFormatting sqref="B36:M40">
    <cfRule type="expression" dxfId="1" priority="3">
      <formula>MOD(ROW(),2)=0</formula>
    </cfRule>
  </conditionalFormatting>
  <conditionalFormatting sqref="B48:M52">
    <cfRule type="expression" dxfId="0" priority="1">
      <formula>MOD(ROW(),2)=0</formula>
    </cfRule>
  </conditionalFormatting>
  <hyperlinks>
    <hyperlink ref="A1" location="Index!A1" display="&lt;&lt;Back to Index" xr:uid="{00000000-0004-0000-1600-000000000000}"/>
  </hyperlinks>
  <pageMargins left="0.7" right="0.7" top="0.75" bottom="0.75" header="0.3" footer="0.3"/>
  <pageSetup paperSize="9" orientation="portrait" r:id="rId1"/>
  <headerFooter>
    <oddHeader>&amp;C&amp;"Calibri"&amp;10&amp;KFF0000 OFFICIAL SENSITIVE&amp;1#_x000D_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G6"/>
  <sheetViews>
    <sheetView workbookViewId="0">
      <pane ySplit="1" topLeftCell="A2" activePane="bottomLeft" state="frozen"/>
      <selection pane="bottomLeft" activeCell="A7" sqref="A7"/>
    </sheetView>
  </sheetViews>
  <sheetFormatPr defaultColWidth="8.85546875" defaultRowHeight="15" x14ac:dyDescent="0.25"/>
  <cols>
    <col min="1" max="1" width="14.140625" style="19" bestFit="1" customWidth="1"/>
    <col min="2" max="2" width="18.42578125" style="19" bestFit="1" customWidth="1"/>
    <col min="3" max="3" width="10.140625" style="19" bestFit="1" customWidth="1"/>
    <col min="4" max="4" width="17.42578125" style="19" bestFit="1" customWidth="1"/>
    <col min="5" max="5" width="14.140625" style="19" bestFit="1" customWidth="1"/>
    <col min="6" max="6" width="2.42578125" style="19" customWidth="1"/>
    <col min="7" max="7" width="9.140625" style="19" customWidth="1"/>
    <col min="8" max="16384" width="8.85546875" style="19"/>
  </cols>
  <sheetData>
    <row r="1" spans="1:7" s="24" customFormat="1" x14ac:dyDescent="0.25">
      <c r="A1" s="24" t="s">
        <v>36</v>
      </c>
      <c r="B1" s="24" t="s">
        <v>22</v>
      </c>
      <c r="C1" s="24" t="s">
        <v>11</v>
      </c>
      <c r="D1" s="24" t="s">
        <v>37</v>
      </c>
      <c r="E1" s="24" t="s">
        <v>49</v>
      </c>
      <c r="G1" s="24" t="s">
        <v>35</v>
      </c>
    </row>
    <row r="2" spans="1:7" x14ac:dyDescent="0.25">
      <c r="A2" s="19" t="s">
        <v>6</v>
      </c>
      <c r="B2" s="19" t="s">
        <v>40</v>
      </c>
      <c r="C2" s="19" t="s">
        <v>19</v>
      </c>
      <c r="D2" s="19" t="s">
        <v>2</v>
      </c>
      <c r="E2" s="19" t="s">
        <v>22</v>
      </c>
      <c r="G2" s="19" t="s">
        <v>33</v>
      </c>
    </row>
    <row r="3" spans="1:7" x14ac:dyDescent="0.25">
      <c r="A3" s="19" t="s">
        <v>13</v>
      </c>
      <c r="B3" s="19" t="s">
        <v>12</v>
      </c>
      <c r="C3" s="19" t="s">
        <v>16</v>
      </c>
      <c r="D3" s="19" t="s">
        <v>4</v>
      </c>
      <c r="E3" s="19" t="s">
        <v>58</v>
      </c>
      <c r="G3" s="19" t="s">
        <v>34</v>
      </c>
    </row>
    <row r="4" spans="1:7" x14ac:dyDescent="0.25">
      <c r="B4" s="19" t="s">
        <v>39</v>
      </c>
      <c r="C4" s="19" t="s">
        <v>14</v>
      </c>
      <c r="D4" s="19" t="s">
        <v>0</v>
      </c>
      <c r="E4" s="19" t="s">
        <v>60</v>
      </c>
    </row>
    <row r="5" spans="1:7" x14ac:dyDescent="0.25">
      <c r="C5" s="19" t="s">
        <v>15</v>
      </c>
      <c r="D5" s="19" t="s">
        <v>3</v>
      </c>
      <c r="E5" s="19" t="s">
        <v>30</v>
      </c>
    </row>
    <row r="6" spans="1:7" x14ac:dyDescent="0.25">
      <c r="C6" s="19" t="s">
        <v>39</v>
      </c>
      <c r="D6" s="19" t="s">
        <v>5</v>
      </c>
      <c r="E6" s="19" t="s">
        <v>59</v>
      </c>
    </row>
  </sheetData>
  <pageMargins left="0.7" right="0.7" top="0.75" bottom="0.75" header="0.3" footer="0.3"/>
  <pageSetup paperSize="9" orientation="portrait" r:id="rId1"/>
  <headerFooter>
    <oddHeader>&amp;C&amp;"Calibri"&amp;10&amp;KFF0000 OFFICIAL SENSITIVE&amp;1#_x000D_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6</vt:i4>
      </vt:variant>
    </vt:vector>
  </HeadingPairs>
  <TitlesOfParts>
    <vt:vector size="33" baseType="lpstr">
      <vt:lpstr>Cover</vt:lpstr>
      <vt:lpstr>Index</vt:lpstr>
      <vt:lpstr>OVERVIEW -&gt;</vt:lpstr>
      <vt:lpstr>Structure</vt:lpstr>
      <vt:lpstr>Summary</vt:lpstr>
      <vt:lpstr>Summary Detailed</vt:lpstr>
      <vt:lpstr>Summary Chart</vt:lpstr>
      <vt:lpstr>CHARTS -&gt;</vt:lpstr>
      <vt:lpstr>Res wo CL</vt:lpstr>
      <vt:lpstr>Res w CL</vt:lpstr>
      <vt:lpstr>SB wo CL</vt:lpstr>
      <vt:lpstr>DMO Zone prices -&gt;</vt:lpstr>
      <vt:lpstr>Ausgrid</vt:lpstr>
      <vt:lpstr>Endeavour</vt:lpstr>
      <vt:lpstr>Essential</vt:lpstr>
      <vt:lpstr>Energex</vt:lpstr>
      <vt:lpstr>SAPN</vt:lpstr>
      <vt:lpstr>COST CALCS -&gt;</vt:lpstr>
      <vt:lpstr>Network cost</vt:lpstr>
      <vt:lpstr>Wholesale cost</vt:lpstr>
      <vt:lpstr>Environmental cost</vt:lpstr>
      <vt:lpstr>Retail cost</vt:lpstr>
      <vt:lpstr>INPUTS -&gt;</vt:lpstr>
      <vt:lpstr>Key inputs</vt:lpstr>
      <vt:lpstr>Detail inputs</vt:lpstr>
      <vt:lpstr>Usage</vt:lpstr>
      <vt:lpstr>Lists</vt:lpstr>
      <vt:lpstr>CPI</vt:lpstr>
      <vt:lpstr>CPIPY</vt:lpstr>
      <vt:lpstr>Days</vt:lpstr>
      <vt:lpstr>FY</vt:lpstr>
      <vt:lpstr>GST</vt:lpstr>
      <vt:lpstr>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2016-12-13T23:55:07Z</dcterms:created>
  <dcterms:modified xsi:type="dcterms:W3CDTF">2025-05-22T22:30:26Z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2334f6-a23d-4b18-9492-9ceed8f6bede_Enabled">
    <vt:lpwstr>true</vt:lpwstr>
  </property>
  <property fmtid="{D5CDD505-2E9C-101B-9397-08002B2CF9AE}" pid="3" name="MSIP_Label_492334f6-a23d-4b18-9492-9ceed8f6bede_SetDate">
    <vt:lpwstr>2024-05-21T23:18:04Z</vt:lpwstr>
  </property>
  <property fmtid="{D5CDD505-2E9C-101B-9397-08002B2CF9AE}" pid="4" name="MSIP_Label_492334f6-a23d-4b18-9492-9ceed8f6bede_Method">
    <vt:lpwstr>Privileged</vt:lpwstr>
  </property>
  <property fmtid="{D5CDD505-2E9C-101B-9397-08002B2CF9AE}" pid="5" name="MSIP_Label_492334f6-a23d-4b18-9492-9ceed8f6bede_Name">
    <vt:lpwstr>OFFICIAL Sensitive - no DLM</vt:lpwstr>
  </property>
  <property fmtid="{D5CDD505-2E9C-101B-9397-08002B2CF9AE}" pid="6" name="MSIP_Label_492334f6-a23d-4b18-9492-9ceed8f6bede_SiteId">
    <vt:lpwstr>b33e9e1a-e443-4edd-9789-24bed26d38d6</vt:lpwstr>
  </property>
  <property fmtid="{D5CDD505-2E9C-101B-9397-08002B2CF9AE}" pid="7" name="MSIP_Label_492334f6-a23d-4b18-9492-9ceed8f6bede_ActionId">
    <vt:lpwstr>f6d355b2-f3bc-4f39-93fb-18c738cde4ce</vt:lpwstr>
  </property>
  <property fmtid="{D5CDD505-2E9C-101B-9397-08002B2CF9AE}" pid="8" name="MSIP_Label_492334f6-a23d-4b18-9492-9ceed8f6bede_ContentBits">
    <vt:lpwstr>1</vt:lpwstr>
  </property>
</Properties>
</file>