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gig365.sharepoint.com/sites/msteams_76d7d6_547944/Shared Documents/General/AGN SA Reset RIN 2026-27 to 2030-31/FINALS TO THE AER/"/>
    </mc:Choice>
  </mc:AlternateContent>
  <xr:revisionPtr revIDLastSave="0" documentId="8_{48C606E9-0C8B-4EF9-A2FD-18280D2F811E}" xr6:coauthVersionLast="47" xr6:coauthVersionMax="47" xr10:uidLastSave="{00000000-0000-0000-0000-000000000000}"/>
  <bookViews>
    <workbookView xWindow="-120" yWindow="-120" windowWidth="29040" windowHeight="17640" tabRatio="691" activeTab="8" xr2:uid="{00000000-000D-0000-FFFF-FFFF00000000}"/>
  </bookViews>
  <sheets>
    <sheet name="Index" sheetId="5" r:id="rId1"/>
    <sheet name="Input | General" sheetId="2" r:id="rId2"/>
    <sheet name="Input | Inflation and Disc Rate" sheetId="13" r:id="rId3"/>
    <sheet name="Input | Reported Capex" sheetId="3" r:id="rId4"/>
    <sheet name="Input | Reported Performance" sheetId="16" r:id="rId5"/>
    <sheet name="Input | Performance Targets" sheetId="17" state="hidden" r:id="rId6"/>
    <sheet name="Input | Asset Performance Index" sheetId="15" r:id="rId7"/>
    <sheet name="Calc | CESS Revenue Increments" sheetId="4" r:id="rId8"/>
    <sheet name="Output | Models" sheetId="10" r:id="rId9"/>
  </sheet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FALSE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8</definedName>
    <definedName name="_AtRisk_SimSetting_MultipleCPUMode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4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4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dollars">#REF!</definedName>
    <definedName name="factor">#REF!</definedName>
    <definedName name="millions">#REF!</definedName>
    <definedName name="Nominal_to_Real">#REF!</definedName>
    <definedName name="NSP" localSheetId="5">#REF!</definedName>
    <definedName name="NSP">#REF!</definedName>
    <definedName name="number">#REF!</definedName>
    <definedName name="percent" localSheetId="8">#REF!</definedName>
    <definedName name="percent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400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thousands">#REF!</definedName>
    <definedName name="uni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6" l="1"/>
  <c r="G13" i="13" l="1"/>
  <c r="H13" i="13" l="1"/>
  <c r="I13" i="13"/>
  <c r="J13" i="13"/>
  <c r="K13" i="13"/>
  <c r="K30" i="16" l="1"/>
  <c r="H54" i="16" l="1"/>
  <c r="H53" i="16"/>
  <c r="H24" i="3" l="1"/>
  <c r="H55" i="16"/>
  <c r="D18" i="4" l="1"/>
  <c r="L14" i="13"/>
  <c r="M14" i="13"/>
  <c r="N14" i="13" s="1"/>
  <c r="O14" i="13" s="1"/>
  <c r="G15" i="13"/>
  <c r="D10" i="4" l="1"/>
  <c r="H15" i="13"/>
  <c r="E10" i="4" l="1"/>
  <c r="I15" i="13"/>
  <c r="F10" i="4" s="1"/>
  <c r="G22" i="13" l="1"/>
  <c r="K22" i="13" l="1"/>
  <c r="J22" i="13"/>
  <c r="I22" i="13"/>
  <c r="H22" i="13"/>
  <c r="K37" i="16" l="1"/>
  <c r="K35" i="16"/>
  <c r="K31" i="16"/>
  <c r="E15" i="15" l="1"/>
  <c r="E16" i="15"/>
  <c r="L47" i="17"/>
  <c r="K47" i="17"/>
  <c r="J47" i="17"/>
  <c r="I47" i="17"/>
  <c r="H47" i="17"/>
  <c r="E47" i="17"/>
  <c r="L46" i="17"/>
  <c r="K46" i="17"/>
  <c r="J46" i="17"/>
  <c r="I46" i="17"/>
  <c r="H46" i="17"/>
  <c r="N46" i="17" s="1"/>
  <c r="E46" i="17"/>
  <c r="L45" i="17"/>
  <c r="K45" i="17"/>
  <c r="J45" i="17"/>
  <c r="I45" i="17"/>
  <c r="H45" i="17"/>
  <c r="N45" i="17" s="1"/>
  <c r="L44" i="17"/>
  <c r="K44" i="17"/>
  <c r="J44" i="17"/>
  <c r="I44" i="17"/>
  <c r="H44" i="17"/>
  <c r="N44" i="17" s="1"/>
  <c r="E44" i="17"/>
  <c r="L43" i="17"/>
  <c r="K43" i="17"/>
  <c r="J43" i="17"/>
  <c r="I43" i="17"/>
  <c r="H43" i="17"/>
  <c r="N43" i="17" s="1"/>
  <c r="E43" i="17"/>
  <c r="L41" i="17"/>
  <c r="K41" i="17"/>
  <c r="J41" i="17"/>
  <c r="I41" i="17"/>
  <c r="H41" i="17"/>
  <c r="L27" i="17"/>
  <c r="K27" i="17"/>
  <c r="J27" i="17"/>
  <c r="I27" i="17"/>
  <c r="H27" i="17"/>
  <c r="C15" i="17"/>
  <c r="N47" i="17" l="1"/>
  <c r="K36" i="16" l="1"/>
  <c r="I20" i="16" l="1"/>
  <c r="J20" i="16"/>
  <c r="K20" i="16" l="1"/>
  <c r="I9" i="16" l="1"/>
  <c r="H12" i="16"/>
  <c r="H13" i="3" l="1"/>
  <c r="L6" i="16" l="1"/>
  <c r="D47" i="16" l="1"/>
  <c r="D46" i="16"/>
  <c r="D45" i="16"/>
  <c r="D41" i="16"/>
  <c r="L51" i="16"/>
  <c r="D30" i="3"/>
  <c r="D10" i="13"/>
  <c r="D9" i="13"/>
  <c r="D8" i="13"/>
  <c r="H13" i="2"/>
  <c r="H7" i="4" s="1"/>
  <c r="I12" i="16"/>
  <c r="J12" i="16"/>
  <c r="K12" i="16"/>
  <c r="I23" i="16"/>
  <c r="I55" i="16" s="1"/>
  <c r="J23" i="16"/>
  <c r="J55" i="16" s="1"/>
  <c r="C15" i="16"/>
  <c r="D37" i="16"/>
  <c r="D36" i="16"/>
  <c r="D35" i="16"/>
  <c r="D31" i="16"/>
  <c r="D30" i="16"/>
  <c r="D21" i="16"/>
  <c r="D20" i="16"/>
  <c r="D10" i="16"/>
  <c r="D9" i="16"/>
  <c r="B1" i="2"/>
  <c r="B1" i="3" s="1"/>
  <c r="B1" i="15"/>
  <c r="D19" i="2"/>
  <c r="L7" i="13" s="1"/>
  <c r="D8" i="4"/>
  <c r="D9" i="4"/>
  <c r="E9" i="4"/>
  <c r="F9" i="4"/>
  <c r="G9" i="4"/>
  <c r="H9" i="4"/>
  <c r="G19" i="4" s="1"/>
  <c r="H8" i="4"/>
  <c r="M9" i="13"/>
  <c r="G8" i="4"/>
  <c r="F8" i="4"/>
  <c r="E8" i="4"/>
  <c r="D11" i="4" l="1"/>
  <c r="D12" i="4" s="1"/>
  <c r="F19" i="4"/>
  <c r="E19" i="4" s="1"/>
  <c r="D19" i="4" s="1"/>
  <c r="D21" i="4" s="1"/>
  <c r="K56" i="16"/>
  <c r="K53" i="16"/>
  <c r="H56" i="16"/>
  <c r="H57" i="16"/>
  <c r="I57" i="16"/>
  <c r="I56" i="16"/>
  <c r="J57" i="16"/>
  <c r="J56" i="16"/>
  <c r="N9" i="13"/>
  <c r="L54" i="16"/>
  <c r="L56" i="16"/>
  <c r="H28" i="3"/>
  <c r="D40" i="4"/>
  <c r="J6" i="10" s="1"/>
  <c r="F8" i="10" s="1"/>
  <c r="C42" i="4" s="1"/>
  <c r="B1" i="4"/>
  <c r="B1" i="5"/>
  <c r="G13" i="2"/>
  <c r="K6" i="16" s="1"/>
  <c r="B1" i="10"/>
  <c r="B1" i="16"/>
  <c r="L55" i="16"/>
  <c r="L53" i="16"/>
  <c r="L57" i="16"/>
  <c r="L27" i="16"/>
  <c r="L6" i="3"/>
  <c r="L13" i="3" s="1"/>
  <c r="K7" i="13"/>
  <c r="K19" i="13" s="1"/>
  <c r="L19" i="13"/>
  <c r="E19" i="2"/>
  <c r="D24" i="4"/>
  <c r="B1" i="13"/>
  <c r="D20" i="4" l="1"/>
  <c r="F13" i="4"/>
  <c r="E13" i="4"/>
  <c r="N56" i="16"/>
  <c r="O9" i="13"/>
  <c r="C46" i="4"/>
  <c r="C44" i="4"/>
  <c r="J7" i="13"/>
  <c r="J19" i="13" s="1"/>
  <c r="K6" i="3"/>
  <c r="K13" i="3" s="1"/>
  <c r="L17" i="3"/>
  <c r="F13" i="2"/>
  <c r="J6" i="16" s="1"/>
  <c r="G7" i="4"/>
  <c r="E24" i="4"/>
  <c r="I28" i="3"/>
  <c r="F19" i="2"/>
  <c r="M7" i="13"/>
  <c r="E40" i="4"/>
  <c r="K6" i="10" s="1"/>
  <c r="P9" i="13" l="1"/>
  <c r="K17" i="3"/>
  <c r="E13" i="2"/>
  <c r="I6" i="16" s="1"/>
  <c r="F7" i="4"/>
  <c r="J6" i="3"/>
  <c r="J13" i="3" s="1"/>
  <c r="I7" i="13"/>
  <c r="I19" i="13" s="1"/>
  <c r="K27" i="16"/>
  <c r="K51" i="16"/>
  <c r="P14" i="13"/>
  <c r="M19" i="13"/>
  <c r="N7" i="13"/>
  <c r="F40" i="4"/>
  <c r="L6" i="10" s="1"/>
  <c r="J28" i="3"/>
  <c r="G19" i="2"/>
  <c r="F24" i="4"/>
  <c r="K54" i="16" l="1"/>
  <c r="K57" i="16"/>
  <c r="N57" i="16" s="1"/>
  <c r="J17" i="3"/>
  <c r="J27" i="16"/>
  <c r="J51" i="16"/>
  <c r="D13" i="2"/>
  <c r="H6" i="16" s="1"/>
  <c r="H7" i="13"/>
  <c r="H19" i="13" s="1"/>
  <c r="I6" i="3"/>
  <c r="I13" i="3" s="1"/>
  <c r="E7" i="4"/>
  <c r="N19" i="13"/>
  <c r="G40" i="4"/>
  <c r="M6" i="10" s="1"/>
  <c r="H19" i="2"/>
  <c r="G24" i="4"/>
  <c r="O7" i="13"/>
  <c r="K28" i="3"/>
  <c r="J24" i="3" l="1"/>
  <c r="F11" i="4" s="1"/>
  <c r="F12" i="4" s="1"/>
  <c r="F20" i="4" s="1"/>
  <c r="I27" i="16"/>
  <c r="I51" i="16"/>
  <c r="G7" i="13"/>
  <c r="H6" i="3"/>
  <c r="D7" i="4"/>
  <c r="I17" i="3"/>
  <c r="J53" i="16"/>
  <c r="J54" i="16"/>
  <c r="O19" i="13"/>
  <c r="P7" i="13"/>
  <c r="H40" i="4"/>
  <c r="N6" i="10" s="1"/>
  <c r="L28" i="3"/>
  <c r="H24" i="4"/>
  <c r="I24" i="3" l="1"/>
  <c r="E11" i="4" s="1"/>
  <c r="E12" i="4" s="1"/>
  <c r="E20" i="4" s="1"/>
  <c r="H17" i="3"/>
  <c r="G19" i="13"/>
  <c r="G10" i="13"/>
  <c r="H10" i="13" s="1"/>
  <c r="I10" i="13" s="1"/>
  <c r="J10" i="13" s="1"/>
  <c r="K10" i="13" s="1"/>
  <c r="F7" i="13"/>
  <c r="F11" i="3" s="1"/>
  <c r="H51" i="16"/>
  <c r="F13" i="15" s="1"/>
  <c r="H27" i="16"/>
  <c r="I54" i="16"/>
  <c r="I53" i="16"/>
  <c r="N53" i="16" s="1"/>
  <c r="P19" i="13"/>
  <c r="F31" i="3" l="1"/>
  <c r="F10" i="3"/>
  <c r="F9" i="3"/>
  <c r="F8" i="3"/>
  <c r="F13" i="3"/>
  <c r="C10" i="13"/>
  <c r="C15" i="13"/>
  <c r="H31" i="3"/>
  <c r="L10" i="13"/>
  <c r="H13" i="4" l="1"/>
  <c r="G13" i="4"/>
  <c r="E18" i="4"/>
  <c r="E21" i="4" s="1"/>
  <c r="F14" i="4"/>
  <c r="G14" i="4"/>
  <c r="H14" i="4"/>
  <c r="N54" i="16"/>
  <c r="F11" i="15" s="1"/>
  <c r="G11" i="15" s="1"/>
  <c r="I11" i="15" s="1"/>
  <c r="F10" i="15"/>
  <c r="G10" i="15" s="1"/>
  <c r="I10" i="15" s="1"/>
  <c r="F14" i="15"/>
  <c r="G14" i="15" s="1"/>
  <c r="I14" i="15" s="1"/>
  <c r="G13" i="15"/>
  <c r="I13" i="15" s="1"/>
  <c r="M10" i="13"/>
  <c r="I31" i="3"/>
  <c r="J15" i="13"/>
  <c r="G10" i="4" s="1"/>
  <c r="G15" i="4" l="1"/>
  <c r="G18" i="4" s="1"/>
  <c r="G21" i="4" s="1"/>
  <c r="H15" i="4"/>
  <c r="F18" i="4"/>
  <c r="F21" i="4" s="1"/>
  <c r="K15" i="13"/>
  <c r="J31" i="3"/>
  <c r="N10" i="13"/>
  <c r="L15" i="13" l="1"/>
  <c r="M15" i="13" s="1"/>
  <c r="H10" i="4"/>
  <c r="I32" i="3"/>
  <c r="E26" i="4" s="1"/>
  <c r="H32" i="3"/>
  <c r="D26" i="4" s="1"/>
  <c r="K31" i="3"/>
  <c r="O10" i="13"/>
  <c r="L31" i="3" l="1"/>
  <c r="P10" i="13"/>
  <c r="N15" i="13"/>
  <c r="J32" i="3"/>
  <c r="F26" i="4" s="1"/>
  <c r="O15" i="13" l="1"/>
  <c r="K32" i="3"/>
  <c r="G26" i="4" s="1"/>
  <c r="P15" i="13" l="1"/>
  <c r="L32" i="3"/>
  <c r="H26" i="4" s="1"/>
  <c r="L24" i="3" l="1"/>
  <c r="H11" i="4" s="1"/>
  <c r="H12" i="4" s="1"/>
  <c r="H20" i="4" s="1"/>
  <c r="K24" i="3"/>
  <c r="G11" i="4" s="1"/>
  <c r="G12" i="4" s="1"/>
  <c r="H16" i="4" l="1"/>
  <c r="H18" i="4" s="1"/>
  <c r="H21" i="4" s="1"/>
  <c r="D35" i="4" s="1"/>
  <c r="G20" i="4"/>
  <c r="K23" i="16" l="1"/>
  <c r="K55" i="16" s="1"/>
  <c r="N55" i="16" s="1"/>
  <c r="F12" i="15" s="1"/>
  <c r="G12" i="15" s="1"/>
  <c r="I12" i="15" s="1"/>
  <c r="I17" i="15" s="1"/>
  <c r="F19" i="15" s="1"/>
  <c r="H19" i="15" s="1"/>
  <c r="N22" i="13" l="1"/>
  <c r="F25" i="4" s="1"/>
  <c r="O22" i="13"/>
  <c r="G25" i="4" s="1"/>
  <c r="P22" i="13"/>
  <c r="H25" i="4" s="1"/>
  <c r="M22" i="13"/>
  <c r="E25" i="4" s="1"/>
  <c r="L22" i="13" l="1"/>
  <c r="D25" i="4" s="1"/>
  <c r="D27" i="4" s="1"/>
  <c r="D28" i="4" s="1"/>
  <c r="D41" i="4"/>
  <c r="E41" i="4" s="1"/>
  <c r="F41" i="4" s="1"/>
  <c r="G41" i="4" s="1"/>
  <c r="H41" i="4" s="1"/>
  <c r="G27" i="4" l="1"/>
  <c r="G28" i="4" s="1"/>
  <c r="E27" i="4"/>
  <c r="E28" i="4" s="1"/>
  <c r="H27" i="4"/>
  <c r="H28" i="4" s="1"/>
  <c r="F27" i="4"/>
  <c r="F28" i="4" s="1"/>
  <c r="D31" i="4" l="1"/>
  <c r="D34" i="4" s="1"/>
  <c r="D33" i="4" l="1"/>
  <c r="D36" i="4"/>
  <c r="D42" i="4" s="1"/>
  <c r="E42" i="4" s="1"/>
  <c r="F42" i="4" s="1"/>
  <c r="G42" i="4" s="1"/>
  <c r="E43" i="4"/>
  <c r="E44" i="4" s="1"/>
  <c r="K8" i="10" s="1"/>
  <c r="F43" i="4"/>
  <c r="F44" i="4" s="1"/>
  <c r="L8" i="10" s="1"/>
  <c r="H43" i="4"/>
  <c r="D43" i="4"/>
  <c r="D44" i="4" s="1"/>
  <c r="G43" i="4"/>
  <c r="J8" i="10" l="1"/>
  <c r="H42" i="4"/>
  <c r="H44" i="4" s="1"/>
  <c r="N8" i="10" s="1"/>
  <c r="G44" i="4"/>
  <c r="M8" i="10" s="1"/>
  <c r="D46" i="4" l="1"/>
  <c r="O8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  <author>RG</author>
  </authors>
  <commentList>
    <comment ref="C4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$2017
, end of year terms (Dec)</t>
        </r>
      </text>
    </comment>
    <comment ref="C8" authorId="1" shapeId="0" xr:uid="{00000000-0006-0000-0400-000002000000}">
      <text>
        <r>
          <rPr>
            <b/>
            <sz val="9"/>
            <color indexed="81"/>
            <rFont val="Tahoma"/>
            <family val="2"/>
          </rPr>
          <t>RG:</t>
        </r>
        <r>
          <rPr>
            <sz val="9"/>
            <color indexed="81"/>
            <rFont val="Tahoma"/>
            <family val="2"/>
          </rPr>
          <t xml:space="preserve">
includes customer contributions
</t>
        </r>
      </text>
    </comment>
    <comment ref="C15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 (June)</t>
        </r>
      </text>
    </comment>
    <comment ref="C19" authorId="1" shapeId="0" xr:uid="{00000000-0006-0000-0400-000004000000}">
      <text>
        <r>
          <rPr>
            <b/>
            <sz val="9"/>
            <color indexed="81"/>
            <rFont val="Tahoma"/>
            <family val="2"/>
          </rPr>
          <t>RG:</t>
        </r>
        <r>
          <rPr>
            <sz val="9"/>
            <color indexed="81"/>
            <rFont val="Tahoma"/>
            <family val="2"/>
          </rPr>
          <t xml:space="preserve">
includes customer contributions</t>
        </r>
      </text>
    </comment>
    <comment ref="C30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 (Dec)</t>
        </r>
      </text>
    </comment>
    <comment ref="C31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end of year terms June </t>
        </r>
      </text>
    </comment>
    <comment ref="C32" authorId="0" shapeId="0" xr:uid="{00000000-0006-0000-0400-000007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 (Dec)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6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year terms</t>
        </r>
      </text>
    </comment>
    <comment ref="C20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  <comment ref="C26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30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</commentList>
</comments>
</file>

<file path=xl/sharedStrings.xml><?xml version="1.0" encoding="utf-8"?>
<sst xmlns="http://schemas.openxmlformats.org/spreadsheetml/2006/main" count="437" uniqueCount="178">
  <si>
    <t>NSP Name</t>
  </si>
  <si>
    <t>CESS to apply to this year's expenditure (Yes/No)</t>
  </si>
  <si>
    <t>Actual or estimate year</t>
  </si>
  <si>
    <t>Total capex allowance</t>
  </si>
  <si>
    <t>Basis</t>
  </si>
  <si>
    <t>Total capex allowance applicable to CESS</t>
  </si>
  <si>
    <t>Source</t>
  </si>
  <si>
    <t>Actual</t>
  </si>
  <si>
    <t>Yes</t>
  </si>
  <si>
    <t>Year</t>
  </si>
  <si>
    <t>Real Vanilla WACC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</si>
  <si>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</si>
  <si>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</si>
  <si>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</si>
  <si>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</si>
  <si>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</si>
  <si>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Discount factor (middle of year 5)</t>
  </si>
  <si>
    <t>Underspend</t>
  </si>
  <si>
    <t>Total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</si>
  <si>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</si>
  <si>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</si>
  <si>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</si>
  <si>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</si>
  <si>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</si>
  <si>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</si>
  <si>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Estimate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</si>
  <si>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</si>
  <si>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</si>
  <si>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</si>
  <si>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</si>
  <si>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</si>
  <si>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</si>
  <si>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</si>
  <si>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</si>
  <si>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</si>
  <si>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</si>
  <si>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</si>
  <si>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</si>
  <si>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</si>
  <si>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</si>
  <si>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</si>
  <si>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</si>
  <si>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</si>
  <si>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</si>
  <si>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</si>
  <si>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AER</t>
  </si>
  <si>
    <t>$millions</t>
  </si>
  <si>
    <t>Per cent</t>
  </si>
  <si>
    <t>Unit</t>
  </si>
  <si>
    <t>nominal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</si>
  <si>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</si>
  <si>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</si>
  <si>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</si>
  <si>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</si>
  <si>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</si>
  <si>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Revenue Adjustments</t>
  </si>
  <si>
    <t>Calculated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</si>
  <si>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</si>
  <si>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</si>
  <si>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</si>
  <si>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</si>
  <si>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</si>
  <si>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</si>
  <si>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</si>
  <si>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</si>
  <si>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</si>
  <si>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</si>
  <si>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</si>
  <si>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</si>
  <si>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</si>
  <si>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</si>
  <si>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</si>
  <si>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</si>
  <si>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</si>
  <si>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</si>
  <si>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</si>
  <si>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</si>
  <si>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Actual CPI Inflation Rate</t>
  </si>
  <si>
    <t>Forecast CPI Inflation Rate</t>
  </si>
  <si>
    <t>Input | CESS Payments</t>
  </si>
  <si>
    <t>Capex deferred and re-proposed</t>
  </si>
  <si>
    <t>Total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</si>
  <si>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</si>
  <si>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</si>
  <si>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</si>
  <si>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</si>
  <si>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</si>
  <si>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Discount factor (end of year)</t>
  </si>
  <si>
    <t>Discount rate (Real WACC)</t>
  </si>
  <si>
    <t>Discount rate (Nominal, fixed real WACC)</t>
  </si>
  <si>
    <t>Forecast Real Vanilla WACC</t>
  </si>
  <si>
    <t>Other excludable capex</t>
  </si>
  <si>
    <t>Customer Contributions</t>
  </si>
  <si>
    <t>Discount factor</t>
  </si>
  <si>
    <t>Base regulatory year</t>
  </si>
  <si>
    <t>Gas AA Proposal</t>
  </si>
  <si>
    <t xml:space="preserve">CESS increments </t>
  </si>
  <si>
    <t>Input | Asset Performance Index</t>
  </si>
  <si>
    <t>Target</t>
  </si>
  <si>
    <t>Unplanned SAIDI</t>
  </si>
  <si>
    <t>Unplanned SAIFI</t>
  </si>
  <si>
    <t>Weight</t>
  </si>
  <si>
    <t>Index score</t>
  </si>
  <si>
    <t>Meter leaks</t>
  </si>
  <si>
    <t>Performance index</t>
  </si>
  <si>
    <t>Weighted index score</t>
  </si>
  <si>
    <t>Asset performance index</t>
  </si>
  <si>
    <t>API&gt;100</t>
  </si>
  <si>
    <t>80&lt;API&lt;100</t>
  </si>
  <si>
    <t>API&lt;80</t>
  </si>
  <si>
    <t>Contingent payment factor</t>
  </si>
  <si>
    <t>Input | Asset performance index</t>
  </si>
  <si>
    <t>Calculates the contingent payment factor</t>
  </si>
  <si>
    <t>Input | Reported Performance</t>
  </si>
  <si>
    <t>Input | Actual / Estimated Network Characteristics</t>
  </si>
  <si>
    <t>Customer numbers</t>
  </si>
  <si>
    <t>Start of year</t>
  </si>
  <si>
    <t>number of customers</t>
  </si>
  <si>
    <t>N/A</t>
  </si>
  <si>
    <t>End of year</t>
  </si>
  <si>
    <t>Average customer numbers</t>
  </si>
  <si>
    <t>Length of mains</t>
  </si>
  <si>
    <t xml:space="preserve">km of main </t>
  </si>
  <si>
    <t>km of main</t>
  </si>
  <si>
    <t>Average length of mains</t>
  </si>
  <si>
    <t>Input | Actual / Estimated Asset Performance</t>
  </si>
  <si>
    <t>Unplanned outages</t>
  </si>
  <si>
    <t>Total number of unplanned outages</t>
  </si>
  <si>
    <t>number of outages</t>
  </si>
  <si>
    <t>Total number of unplanned minutes off supply</t>
  </si>
  <si>
    <t>minutes</t>
  </si>
  <si>
    <t>Publicly reported gas leaks</t>
  </si>
  <si>
    <t>Mains</t>
  </si>
  <si>
    <t>number</t>
  </si>
  <si>
    <t>Services</t>
  </si>
  <si>
    <t>Meters</t>
  </si>
  <si>
    <t>Input | Actual / Estimate Performance Measures</t>
  </si>
  <si>
    <t>Average</t>
  </si>
  <si>
    <t>Conversion factor</t>
  </si>
  <si>
    <t>Inputs the actual performance components</t>
  </si>
  <si>
    <t>outages per 1000 customers</t>
  </si>
  <si>
    <t>minutes per 1000 customers</t>
  </si>
  <si>
    <t>leaks per km of main</t>
  </si>
  <si>
    <t>leaks per 1000 customers</t>
  </si>
  <si>
    <t>Poor quality supply</t>
  </si>
  <si>
    <t>events per 1000 customers</t>
  </si>
  <si>
    <t>Meter read estimation rate</t>
  </si>
  <si>
    <t>% of reads estimated</t>
  </si>
  <si>
    <t>Poor pressure events</t>
  </si>
  <si>
    <t>Meter reads</t>
  </si>
  <si>
    <t>All meter reads</t>
  </si>
  <si>
    <t>Estimated meter reads</t>
  </si>
  <si>
    <t>Excluded meter reads</t>
  </si>
  <si>
    <r>
      <t xml:space="preserve">Input </t>
    </r>
    <r>
      <rPr>
        <u/>
        <sz val="9"/>
        <color theme="10"/>
        <rFont val="Calibri"/>
        <family val="2"/>
        <scheme val="minor"/>
      </rPr>
      <t>|</t>
    </r>
    <r>
      <rPr>
        <i/>
        <u/>
        <sz val="9"/>
        <color theme="10"/>
        <rFont val="Calibri"/>
        <family val="2"/>
        <scheme val="minor"/>
      </rPr>
      <t>Reported Performance</t>
    </r>
  </si>
  <si>
    <t>Contingent Payment Index apply to this year's performance (Yes/No)</t>
  </si>
  <si>
    <t>NPV underspend (30 June 2025)</t>
  </si>
  <si>
    <t>NPV financing benefit (30 June 2025)</t>
  </si>
  <si>
    <t>NPV of increase in forecast capex from deferred capex (30 June 2025)</t>
  </si>
  <si>
    <t>NPV of CESS payments (post-adjustment) as at 30 June 2025</t>
  </si>
  <si>
    <t>2026-31</t>
  </si>
  <si>
    <t>2026-27</t>
  </si>
  <si>
    <t>AGN(SA)</t>
  </si>
  <si>
    <t>Services leaks</t>
  </si>
  <si>
    <t>Mains leaks</t>
  </si>
  <si>
    <t>No</t>
  </si>
  <si>
    <t>Input | Performance Targets</t>
  </si>
  <si>
    <t>Input | Actual Network Characteristics</t>
  </si>
  <si>
    <t>2014/15</t>
  </si>
  <si>
    <t>2015/16</t>
  </si>
  <si>
    <t>2016/17</t>
  </si>
  <si>
    <t>2017/18</t>
  </si>
  <si>
    <t>2018/19</t>
  </si>
  <si>
    <t>NA</t>
  </si>
  <si>
    <t>Input | Actual Asset Performance</t>
  </si>
  <si>
    <t>Service leaks</t>
  </si>
  <si>
    <t xml:space="preserve">10 months data </t>
  </si>
  <si>
    <t>AGN SA</t>
  </si>
  <si>
    <t>AGN SA 2021/22-2025/26 Indicative - Capital expenditure sharing scheme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</si>
</sst>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$&quot;#,##0.00"/>
    <numFmt numFmtId="169" formatCode="_-* #,##0_-;\-* #,##0_-;_-* &quot;-&quot;??_-;_-@_-"/>
    <numFmt numFmtId="170" formatCode="_-* #,##0.00_-;[Red]\(#,##0.00\)_-;_-* &quot;-&quot;??_-;_-@_-"/>
    <numFmt numFmtId="171" formatCode="_(#,##0_);\(#,##0\);_(&quot;-&quot;_)"/>
    <numFmt numFmtId="172" formatCode="&quot;Warning&quot;;&quot;Warning&quot;;&quot;OK&quot;"/>
    <numFmt numFmtId="173" formatCode="mm/dd/yy"/>
    <numFmt numFmtId="174" formatCode="_([$€-2]* #,##0.00_);_([$€-2]* \(#,##0.00\);_([$€-2]* &quot;-&quot;??_)"/>
    <numFmt numFmtId="175" formatCode="0_);[Red]\(0\)"/>
    <numFmt numFmtId="176" formatCode="0.0%"/>
    <numFmt numFmtId="177" formatCode="dd/mmm"/>
    <numFmt numFmtId="178" formatCode="_(* #,##0_);_(* \(#,##0\);_(* &quot;-&quot;?_);_(@_)"/>
    <numFmt numFmtId="179" formatCode="#,##0.0_);\(#,##0.0\)"/>
    <numFmt numFmtId="180" formatCode="#,##0_ ;\-#,##0\ "/>
    <numFmt numFmtId="181" formatCode="#,##0;[Red]\(#,##0.0\)"/>
    <numFmt numFmtId="182" formatCode="#,##0_ ;[Red]\(#,##0\)\ "/>
    <numFmt numFmtId="183" formatCode="#,##0.00;\(#,##0.00\)"/>
    <numFmt numFmtId="184" formatCode="_)d\-mmm\-yy_)"/>
    <numFmt numFmtId="185" formatCode="_(#,##0.0_);\(#,##0.0\);_(&quot;-&quot;_)"/>
    <numFmt numFmtId="186" formatCode="_(###0_);\(###0\);_(###0_)"/>
    <numFmt numFmtId="187" formatCode="#,##0.0000_);[Red]\(#,##0.0000\)"/>
    <numFmt numFmtId="188" formatCode="_(#\ ##0.00_);\(#\ ##0.00\);_(&quot;-&quot;_)"/>
    <numFmt numFmtId="189" formatCode="0.000"/>
    <numFmt numFmtId="190" formatCode="_(* #,##0.0_);_(* \(#,##0.0\);_(* &quot;-&quot;?_);_(@_)"/>
    <numFmt numFmtId="191" formatCode="_-* #,##0.00000_-;\-* #,##0.00000_-;_-* &quot;-&quot;??_-;_-@_-"/>
    <numFmt numFmtId="192" formatCode="0.0"/>
  </numFmts>
  <fonts count="114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8"/>
      <color rgb="FFFF00FF"/>
      <name val="Calibri"/>
      <family val="2"/>
      <scheme val="minor"/>
    </font>
    <font>
      <sz val="8"/>
      <color rgb="FFFF00FF"/>
      <name val="Tahoma"/>
      <family val="2"/>
    </font>
    <font>
      <i/>
      <u/>
      <sz val="9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rgb="FFFF000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rgb="FFFF0000"/>
        <bgColor indexed="64"/>
      </patternFill>
    </fill>
  </fills>
  <borders count="4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auto="1"/>
      </left>
      <right style="dashed">
        <color auto="1"/>
      </right>
      <top style="thin">
        <color indexed="64"/>
      </top>
      <bottom style="dashed">
        <color auto="1"/>
      </bottom>
      <diagonal/>
    </border>
  </borders>
  <cellStyleXfs count="340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0" fontId="24" fillId="0" borderId="0"/>
    <xf numFmtId="170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71" fontId="24" fillId="0" borderId="8">
      <alignment horizontal="right" vertical="center"/>
      <protection locked="0"/>
    </xf>
    <xf numFmtId="164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9" applyNumberFormat="0" applyAlignment="0" applyProtection="0"/>
    <xf numFmtId="172" fontId="34" fillId="0" borderId="10">
      <alignment horizontal="center"/>
    </xf>
    <xf numFmtId="0" fontId="35" fillId="30" borderId="11" applyNumberFormat="0" applyAlignment="0" applyProtection="0"/>
    <xf numFmtId="0" fontId="36" fillId="31" borderId="6">
      <alignment horizontal="center" vertical="center"/>
    </xf>
    <xf numFmtId="165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9"/>
    <xf numFmtId="174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2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3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4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6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9" applyNumberFormat="0" applyAlignment="0" applyProtection="0"/>
    <xf numFmtId="177" fontId="17" fillId="37" borderId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78" fontId="23" fillId="5" borderId="0" applyFont="0" applyBorder="0">
      <alignment horizontal="right"/>
      <protection locked="0"/>
    </xf>
    <xf numFmtId="178" fontId="23" fillId="5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0" fontId="32" fillId="40" borderId="0"/>
    <xf numFmtId="0" fontId="23" fillId="3" borderId="15" applyNumberFormat="0" applyFont="0" applyAlignment="0"/>
    <xf numFmtId="0" fontId="24" fillId="28" borderId="0"/>
    <xf numFmtId="0" fontId="59" fillId="0" borderId="16" applyNumberFormat="0" applyFill="0" applyAlignment="0" applyProtection="0"/>
    <xf numFmtId="179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80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7" applyNumberFormat="0" applyFont="0" applyAlignment="0" applyProtection="0"/>
    <xf numFmtId="0" fontId="64" fillId="37" borderId="18" applyNumberFormat="0"/>
    <xf numFmtId="0" fontId="65" fillId="11" borderId="19" applyNumberFormat="0" applyAlignment="0" applyProtection="0"/>
    <xf numFmtId="181" fontId="23" fillId="0" borderId="0" applyFill="0" applyBorder="0"/>
    <xf numFmtId="181" fontId="23" fillId="0" borderId="0" applyFill="0" applyBorder="0"/>
    <xf numFmtId="181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2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3" fontId="23" fillId="0" borderId="0"/>
    <xf numFmtId="183" fontId="23" fillId="0" borderId="0"/>
    <xf numFmtId="183" fontId="23" fillId="0" borderId="0"/>
    <xf numFmtId="184" fontId="24" fillId="0" borderId="0" applyFill="0" applyBorder="0">
      <alignment horizontal="right" vertical="center"/>
    </xf>
    <xf numFmtId="185" fontId="24" fillId="0" borderId="0" applyFill="0" applyBorder="0">
      <alignment horizontal="right" vertical="center"/>
    </xf>
    <xf numFmtId="186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0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9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79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1" applyNumberFormat="0" applyFill="0" applyAlignment="0" applyProtection="0"/>
    <xf numFmtId="0" fontId="18" fillId="3" borderId="15" applyNumberFormat="0" applyAlignment="0"/>
    <xf numFmtId="0" fontId="34" fillId="0" borderId="0" applyNumberFormat="0" applyFill="0" applyBorder="0"/>
    <xf numFmtId="0" fontId="85" fillId="46" borderId="15" applyNumberFormat="0">
      <protection locked="0"/>
    </xf>
    <xf numFmtId="0" fontId="86" fillId="0" borderId="0" applyNumberFormat="0" applyFill="0" applyBorder="0" applyAlignment="0" applyProtection="0"/>
    <xf numFmtId="187" fontId="23" fillId="0" borderId="20" applyBorder="0" applyProtection="0">
      <alignment horizontal="right"/>
    </xf>
    <xf numFmtId="187" fontId="23" fillId="0" borderId="20" applyBorder="0" applyProtection="0">
      <alignment horizontal="right"/>
    </xf>
    <xf numFmtId="187" fontId="23" fillId="0" borderId="20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71" fontId="24" fillId="0" borderId="27">
      <alignment horizontal="right" vertical="center"/>
      <protection locked="0"/>
    </xf>
    <xf numFmtId="167" fontId="15" fillId="0" borderId="0" applyFont="0" applyFill="0" applyBorder="0" applyAlignment="0" applyProtection="0"/>
    <xf numFmtId="0" fontId="33" fillId="11" borderId="28" applyNumberFormat="0" applyAlignment="0" applyProtection="0"/>
    <xf numFmtId="0" fontId="58" fillId="9" borderId="28" applyNumberFormat="0" applyAlignment="0" applyProtection="0"/>
    <xf numFmtId="0" fontId="23" fillId="10" borderId="29" applyNumberFormat="0" applyFont="0" applyAlignment="0" applyProtection="0"/>
    <xf numFmtId="0" fontId="65" fillId="11" borderId="30" applyNumberFormat="0" applyAlignment="0" applyProtection="0"/>
    <xf numFmtId="0" fontId="40" fillId="0" borderId="31" applyNumberFormat="0" applyFill="0" applyAlignment="0" applyProtection="0"/>
    <xf numFmtId="172" fontId="34" fillId="0" borderId="32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0" fontId="23" fillId="39" borderId="0" applyFont="0" applyBorder="0">
      <alignment horizontal="right"/>
    </xf>
    <xf numFmtId="176" fontId="23" fillId="39" borderId="0" applyFont="0" applyBorder="0" applyAlignment="0"/>
    <xf numFmtId="190" fontId="23" fillId="39" borderId="0" applyFont="0" applyBorder="0">
      <alignment horizontal="right"/>
    </xf>
    <xf numFmtId="165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5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6" fontId="51" fillId="49" borderId="0" applyBorder="0" applyAlignment="0">
      <protection locked="0"/>
    </xf>
    <xf numFmtId="176" fontId="96" fillId="50" borderId="0" applyBorder="0" applyAlignment="0"/>
    <xf numFmtId="190" fontId="97" fillId="28" borderId="35" applyFont="0" applyBorder="0" applyAlignment="0"/>
    <xf numFmtId="176" fontId="51" fillId="28" borderId="0" applyFont="0" applyBorder="0" applyAlignment="0"/>
    <xf numFmtId="167" fontId="11" fillId="0" borderId="0" applyFont="0" applyFill="0" applyBorder="0" applyAlignment="0" applyProtection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7" fontId="1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48" borderId="0" applyFont="0" applyBorder="0" applyAlignment="0">
      <alignment horizontal="right"/>
      <protection locked="0"/>
    </xf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17">
    <xf numFmtId="0" fontId="0" fillId="0" borderId="0" xfId="0"/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10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/>
    <xf numFmtId="168" fontId="7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/>
    </xf>
    <xf numFmtId="0" fontId="16" fillId="3" borderId="0" xfId="0" applyFont="1" applyFill="1" applyAlignment="1">
      <alignment horizontal="left" vertical="center"/>
    </xf>
    <xf numFmtId="0" fontId="15" fillId="3" borderId="0" xfId="3" applyFill="1"/>
    <xf numFmtId="0" fontId="4" fillId="3" borderId="0" xfId="3" applyFont="1" applyFill="1" applyAlignment="1">
      <alignment horizontal="left" vertical="center"/>
    </xf>
    <xf numFmtId="0" fontId="4" fillId="3" borderId="0" xfId="3" applyFont="1" applyFill="1" applyAlignment="1">
      <alignment horizontal="left" indent="9"/>
    </xf>
    <xf numFmtId="0" fontId="15" fillId="3" borderId="22" xfId="3" applyFill="1" applyBorder="1"/>
    <xf numFmtId="0" fontId="16" fillId="3" borderId="22" xfId="3" applyFont="1" applyFill="1" applyBorder="1" applyAlignment="1">
      <alignment horizontal="left"/>
    </xf>
    <xf numFmtId="0" fontId="16" fillId="3" borderId="22" xfId="3" applyFont="1" applyFill="1" applyBorder="1" applyAlignment="1">
      <alignment horizontal="left" indent="9"/>
    </xf>
    <xf numFmtId="0" fontId="12" fillId="3" borderId="23" xfId="3" applyFont="1" applyFill="1" applyBorder="1"/>
    <xf numFmtId="0" fontId="88" fillId="3" borderId="23" xfId="3" applyFont="1" applyFill="1" applyBorder="1" applyAlignment="1">
      <alignment horizontal="center"/>
    </xf>
    <xf numFmtId="0" fontId="15" fillId="6" borderId="2" xfId="3" applyFill="1" applyBorder="1"/>
    <xf numFmtId="0" fontId="12" fillId="6" borderId="2" xfId="3" applyFont="1" applyFill="1" applyBorder="1"/>
    <xf numFmtId="0" fontId="18" fillId="6" borderId="2" xfId="3" applyFont="1" applyFill="1" applyBorder="1" applyAlignment="1">
      <alignment vertical="center"/>
    </xf>
    <xf numFmtId="0" fontId="14" fillId="6" borderId="2" xfId="3" applyFont="1" applyFill="1" applyBorder="1"/>
    <xf numFmtId="166" fontId="18" fillId="6" borderId="2" xfId="3" applyNumberFormat="1" applyFont="1" applyFill="1" applyBorder="1" applyAlignment="1">
      <alignment horizontal="center" wrapText="1"/>
    </xf>
    <xf numFmtId="0" fontId="15" fillId="6" borderId="2" xfId="3" applyFill="1" applyBorder="1" applyAlignment="1">
      <alignment wrapText="1"/>
    </xf>
    <xf numFmtId="0" fontId="15" fillId="0" borderId="0" xfId="3"/>
    <xf numFmtId="169" fontId="17" fillId="0" borderId="0" xfId="3" applyNumberFormat="1" applyFont="1"/>
    <xf numFmtId="169" fontId="19" fillId="0" borderId="0" xfId="3" applyNumberFormat="1" applyFont="1" applyAlignment="1">
      <alignment horizontal="center"/>
    </xf>
    <xf numFmtId="169" fontId="17" fillId="0" borderId="0" xfId="3" applyNumberFormat="1" applyFont="1" applyAlignment="1">
      <alignment horizontal="center"/>
    </xf>
    <xf numFmtId="169" fontId="22" fillId="0" borderId="0" xfId="3" applyNumberFormat="1" applyFont="1"/>
    <xf numFmtId="169" fontId="21" fillId="0" borderId="0" xfId="3" applyNumberFormat="1" applyFont="1" applyAlignment="1">
      <alignment horizontal="center"/>
    </xf>
    <xf numFmtId="169" fontId="22" fillId="0" borderId="20" xfId="3" applyNumberFormat="1" applyFont="1" applyBorder="1" applyAlignment="1">
      <alignment horizontal="center"/>
    </xf>
    <xf numFmtId="169" fontId="17" fillId="0" borderId="0" xfId="3" applyNumberFormat="1" applyFont="1" applyAlignment="1">
      <alignment horizontal="left" indent="1"/>
    </xf>
    <xf numFmtId="169" fontId="13" fillId="0" borderId="0" xfId="263" applyNumberFormat="1" applyFont="1" applyAlignment="1" applyProtection="1">
      <alignment horizontal="center"/>
    </xf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Alignment="1">
      <alignment horizontal="center" vertical="center"/>
    </xf>
    <xf numFmtId="169" fontId="19" fillId="3" borderId="0" xfId="0" applyNumberFormat="1" applyFont="1" applyFill="1" applyAlignment="1">
      <alignment horizontal="center" vertical="center"/>
    </xf>
    <xf numFmtId="0" fontId="9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4" fillId="3" borderId="0" xfId="0" applyFont="1" applyFill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Alignment="1">
      <alignment horizontal="center" vertical="center"/>
    </xf>
    <xf numFmtId="169" fontId="19" fillId="3" borderId="2" xfId="0" applyNumberFormat="1" applyFont="1" applyFill="1" applyBorder="1" applyAlignment="1">
      <alignment horizontal="center" vertical="center"/>
    </xf>
    <xf numFmtId="169" fontId="22" fillId="3" borderId="2" xfId="0" applyNumberFormat="1" applyFont="1" applyFill="1" applyBorder="1" applyAlignment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Alignment="1" applyProtection="1">
      <alignment horizontal="left" vertical="center" wrapText="1"/>
      <protection locked="0"/>
    </xf>
    <xf numFmtId="10" fontId="15" fillId="3" borderId="0" xfId="0" applyNumberFormat="1" applyFont="1" applyFill="1" applyAlignment="1">
      <alignment horizontal="center" vertical="center"/>
    </xf>
    <xf numFmtId="2" fontId="15" fillId="0" borderId="5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95" fillId="3" borderId="0" xfId="0" applyFont="1" applyFill="1" applyAlignment="1">
      <alignment horizontal="left"/>
    </xf>
    <xf numFmtId="0" fontId="15" fillId="3" borderId="0" xfId="0" applyFont="1" applyFill="1"/>
    <xf numFmtId="2" fontId="15" fillId="3" borderId="0" xfId="0" applyNumberFormat="1" applyFont="1" applyFill="1"/>
    <xf numFmtId="0" fontId="24" fillId="3" borderId="6" xfId="0" applyFont="1" applyFill="1" applyBorder="1" applyAlignment="1">
      <alignment horizontal="left" vertical="center"/>
    </xf>
    <xf numFmtId="0" fontId="99" fillId="3" borderId="0" xfId="2" applyFont="1" applyFill="1" applyBorder="1" applyAlignment="1" applyProtection="1">
      <alignment vertical="center"/>
    </xf>
    <xf numFmtId="0" fontId="100" fillId="3" borderId="0" xfId="265" applyFont="1" applyFill="1" applyAlignment="1">
      <alignment horizontal="right" vertical="center"/>
    </xf>
    <xf numFmtId="0" fontId="100" fillId="3" borderId="0" xfId="0" applyFont="1" applyFill="1" applyAlignment="1">
      <alignment horizontal="center" vertical="center"/>
    </xf>
    <xf numFmtId="0" fontId="13" fillId="3" borderId="0" xfId="2" quotePrefix="1" applyFont="1" applyFill="1" applyBorder="1" applyAlignment="1">
      <alignment horizontal="left"/>
    </xf>
    <xf numFmtId="0" fontId="15" fillId="0" borderId="5" xfId="0" applyFont="1" applyBorder="1" applyAlignment="1">
      <alignment horizontal="left" indent="1"/>
    </xf>
    <xf numFmtId="0" fontId="15" fillId="0" borderId="33" xfId="0" applyFont="1" applyBorder="1" applyAlignment="1">
      <alignment horizontal="left" indent="1"/>
    </xf>
    <xf numFmtId="0" fontId="15" fillId="0" borderId="39" xfId="0" applyFont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4" xfId="0" applyFont="1" applyFill="1" applyBorder="1"/>
    <xf numFmtId="0" fontId="98" fillId="3" borderId="33" xfId="0" applyFont="1" applyFill="1" applyBorder="1"/>
    <xf numFmtId="0" fontId="98" fillId="3" borderId="20" xfId="0" applyFont="1" applyFill="1" applyBorder="1"/>
    <xf numFmtId="0" fontId="12" fillId="0" borderId="37" xfId="0" applyFont="1" applyBorder="1"/>
    <xf numFmtId="10" fontId="15" fillId="3" borderId="40" xfId="0" applyNumberFormat="1" applyFont="1" applyFill="1" applyBorder="1" applyAlignment="1">
      <alignment horizontal="center" vertical="center"/>
    </xf>
    <xf numFmtId="10" fontId="15" fillId="3" borderId="41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Alignment="1">
      <alignment horizontal="center" vertical="center"/>
    </xf>
    <xf numFmtId="191" fontId="17" fillId="0" borderId="0" xfId="3" applyNumberFormat="1" applyFont="1"/>
    <xf numFmtId="169" fontId="22" fillId="0" borderId="0" xfId="3" applyNumberFormat="1" applyFont="1" applyAlignment="1">
      <alignment horizontal="center"/>
    </xf>
    <xf numFmtId="188" fontId="20" fillId="0" borderId="0" xfId="55" applyNumberFormat="1" applyFont="1" applyBorder="1" applyAlignment="1" applyProtection="1">
      <alignment horizontal="center" vertical="center"/>
    </xf>
    <xf numFmtId="0" fontId="17" fillId="3" borderId="0" xfId="0" applyFont="1" applyFill="1" applyAlignment="1">
      <alignment horizontal="left" vertical="center"/>
    </xf>
    <xf numFmtId="49" fontId="103" fillId="51" borderId="0" xfId="0" applyNumberFormat="1" applyFont="1" applyFill="1" applyAlignment="1" applyProtection="1">
      <alignment horizontal="left" vertical="center"/>
      <protection locked="0"/>
    </xf>
    <xf numFmtId="0" fontId="104" fillId="51" borderId="0" xfId="0" applyFont="1" applyFill="1" applyAlignment="1">
      <alignment vertical="center"/>
    </xf>
    <xf numFmtId="0" fontId="15" fillId="0" borderId="34" xfId="0" applyFont="1" applyBorder="1" applyAlignment="1">
      <alignment horizontal="left" indent="1"/>
    </xf>
    <xf numFmtId="2" fontId="15" fillId="0" borderId="0" xfId="0" applyNumberFormat="1" applyFont="1" applyAlignment="1">
      <alignment horizontal="right"/>
    </xf>
    <xf numFmtId="2" fontId="102" fillId="0" borderId="0" xfId="0" applyNumberFormat="1" applyFont="1" applyAlignment="1">
      <alignment horizontal="right"/>
    </xf>
    <xf numFmtId="0" fontId="15" fillId="0" borderId="6" xfId="0" applyFont="1" applyBorder="1" applyAlignment="1">
      <alignment horizontal="left" indent="1"/>
    </xf>
    <xf numFmtId="2" fontId="15" fillId="0" borderId="35" xfId="0" applyNumberFormat="1" applyFont="1" applyBorder="1" applyAlignment="1">
      <alignment horizontal="right"/>
    </xf>
    <xf numFmtId="49" fontId="17" fillId="0" borderId="0" xfId="0" applyNumberFormat="1" applyFont="1" applyAlignment="1" applyProtection="1">
      <alignment horizontal="left" vertical="center"/>
      <protection locked="0"/>
    </xf>
    <xf numFmtId="49" fontId="103" fillId="52" borderId="0" xfId="0" applyNumberFormat="1" applyFont="1" applyFill="1" applyAlignment="1" applyProtection="1">
      <alignment horizontal="left" vertical="center"/>
      <protection locked="0"/>
    </xf>
    <xf numFmtId="0" fontId="101" fillId="53" borderId="0" xfId="265" applyFont="1" applyFill="1" applyAlignment="1">
      <alignment horizontal="center" vertical="center"/>
    </xf>
    <xf numFmtId="0" fontId="24" fillId="53" borderId="24" xfId="1" applyFont="1" applyFill="1" applyBorder="1" applyAlignment="1">
      <alignment horizontal="center" vertical="center"/>
    </xf>
    <xf numFmtId="10" fontId="24" fillId="53" borderId="26" xfId="0" applyNumberFormat="1" applyFont="1" applyFill="1" applyBorder="1" applyAlignment="1">
      <alignment horizontal="center" vertical="center"/>
    </xf>
    <xf numFmtId="2" fontId="24" fillId="53" borderId="24" xfId="1" applyNumberFormat="1" applyFont="1" applyFill="1" applyBorder="1" applyAlignment="1">
      <alignment horizontal="center" vertical="center"/>
    </xf>
    <xf numFmtId="2" fontId="24" fillId="54" borderId="24" xfId="1" applyNumberFormat="1" applyFont="1" applyFill="1" applyBorder="1" applyAlignment="1">
      <alignment horizontal="center" vertical="center"/>
    </xf>
    <xf numFmtId="0" fontId="101" fillId="55" borderId="0" xfId="265" applyFont="1" applyFill="1" applyAlignment="1">
      <alignment horizontal="center" vertical="center"/>
    </xf>
    <xf numFmtId="10" fontId="17" fillId="55" borderId="34" xfId="268" applyNumberFormat="1" applyFont="1" applyFill="1" applyBorder="1" applyAlignment="1" applyProtection="1">
      <alignment horizontal="right" vertical="center"/>
    </xf>
    <xf numFmtId="10" fontId="17" fillId="55" borderId="2" xfId="268" applyNumberFormat="1" applyFont="1" applyFill="1" applyBorder="1" applyAlignment="1" applyProtection="1">
      <alignment horizontal="right" vertical="center"/>
    </xf>
    <xf numFmtId="10" fontId="17" fillId="55" borderId="37" xfId="268" applyNumberFormat="1" applyFont="1" applyFill="1" applyBorder="1" applyAlignment="1" applyProtection="1">
      <alignment horizontal="right" vertical="center"/>
    </xf>
    <xf numFmtId="2" fontId="17" fillId="55" borderId="43" xfId="265" applyNumberFormat="1" applyFont="1" applyFill="1" applyBorder="1" applyAlignment="1">
      <alignment horizontal="right" vertical="center"/>
    </xf>
    <xf numFmtId="2" fontId="17" fillId="55" borderId="0" xfId="265" applyNumberFormat="1" applyFont="1" applyFill="1" applyAlignment="1">
      <alignment horizontal="right" vertical="center"/>
    </xf>
    <xf numFmtId="2" fontId="17" fillId="55" borderId="35" xfId="265" applyNumberFormat="1" applyFont="1" applyFill="1" applyBorder="1" applyAlignment="1">
      <alignment horizontal="right" vertical="center"/>
    </xf>
    <xf numFmtId="2" fontId="17" fillId="55" borderId="5" xfId="265" applyNumberFormat="1" applyFont="1" applyFill="1" applyBorder="1" applyAlignment="1">
      <alignment horizontal="right" vertical="center"/>
    </xf>
    <xf numFmtId="10" fontId="17" fillId="55" borderId="7" xfId="268" applyNumberFormat="1" applyFont="1" applyFill="1" applyBorder="1" applyAlignment="1" applyProtection="1">
      <alignment horizontal="right" vertical="center"/>
    </xf>
    <xf numFmtId="10" fontId="17" fillId="55" borderId="42" xfId="268" applyNumberFormat="1" applyFont="1" applyFill="1" applyBorder="1" applyAlignment="1" applyProtection="1">
      <alignment horizontal="right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19" fillId="0" borderId="25" xfId="0" applyFont="1" applyBorder="1" applyAlignment="1" applyProtection="1">
      <alignment horizontal="center" vertical="center"/>
      <protection locked="0"/>
    </xf>
    <xf numFmtId="0" fontId="19" fillId="0" borderId="25" xfId="0" applyFont="1" applyBorder="1" applyAlignment="1">
      <alignment horizontal="center" vertical="center"/>
    </xf>
    <xf numFmtId="49" fontId="19" fillId="0" borderId="25" xfId="0" applyNumberFormat="1" applyFont="1" applyBorder="1" applyAlignment="1" applyProtection="1">
      <alignment horizontal="center" vertical="center"/>
      <protection locked="0"/>
    </xf>
    <xf numFmtId="0" fontId="22" fillId="3" borderId="37" xfId="0" applyFont="1" applyFill="1" applyBorder="1" applyAlignment="1">
      <alignment horizontal="center" vertical="center"/>
    </xf>
    <xf numFmtId="0" fontId="22" fillId="3" borderId="20" xfId="0" applyFont="1" applyFill="1" applyBorder="1" applyAlignment="1">
      <alignment horizontal="right" vertical="center"/>
    </xf>
    <xf numFmtId="0" fontId="22" fillId="3" borderId="36" xfId="0" applyFont="1" applyFill="1" applyBorder="1" applyAlignment="1">
      <alignment horizontal="right" vertical="center"/>
    </xf>
    <xf numFmtId="0" fontId="22" fillId="3" borderId="0" xfId="0" applyFont="1" applyFill="1" applyAlignment="1">
      <alignment horizontal="right" vertical="center"/>
    </xf>
    <xf numFmtId="0" fontId="22" fillId="0" borderId="20" xfId="3" applyFont="1" applyBorder="1" applyAlignment="1">
      <alignment horizontal="center"/>
    </xf>
    <xf numFmtId="0" fontId="19" fillId="0" borderId="0" xfId="3" applyFont="1" applyAlignment="1">
      <alignment horizontal="center"/>
    </xf>
    <xf numFmtId="0" fontId="13" fillId="0" borderId="0" xfId="2" applyFont="1" applyFill="1" applyBorder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107" fillId="3" borderId="0" xfId="0" applyFont="1" applyFill="1"/>
    <xf numFmtId="10" fontId="24" fillId="3" borderId="40" xfId="0" applyNumberFormat="1" applyFont="1" applyFill="1" applyBorder="1" applyAlignment="1">
      <alignment horizontal="center" vertical="center"/>
    </xf>
    <xf numFmtId="167" fontId="15" fillId="3" borderId="0" xfId="304" applyFont="1" applyFill="1" applyBorder="1"/>
    <xf numFmtId="0" fontId="24" fillId="3" borderId="0" xfId="1" applyFont="1" applyFill="1" applyBorder="1" applyAlignment="1">
      <alignment horizontal="center" vertical="center"/>
    </xf>
    <xf numFmtId="2" fontId="24" fillId="0" borderId="0" xfId="1" applyNumberFormat="1" applyFont="1" applyFill="1" applyBorder="1" applyAlignment="1">
      <alignment horizontal="center" vertical="center"/>
    </xf>
    <xf numFmtId="49" fontId="94" fillId="3" borderId="0" xfId="0" applyNumberFormat="1" applyFont="1" applyFill="1" applyAlignment="1" applyProtection="1">
      <alignment horizontal="left" vertical="center"/>
      <protection locked="0"/>
    </xf>
    <xf numFmtId="49" fontId="22" fillId="3" borderId="0" xfId="0" applyNumberFormat="1" applyFont="1" applyFill="1" applyAlignment="1" applyProtection="1">
      <alignment horizontal="left" vertical="center"/>
      <protection locked="0"/>
    </xf>
    <xf numFmtId="0" fontId="109" fillId="3" borderId="0" xfId="0" applyFont="1" applyFill="1" applyAlignment="1">
      <alignment vertical="center"/>
    </xf>
    <xf numFmtId="49" fontId="17" fillId="3" borderId="0" xfId="0" applyNumberFormat="1" applyFont="1" applyFill="1" applyAlignment="1" applyProtection="1">
      <alignment horizontal="left" vertical="center" indent="1"/>
      <protection locked="0"/>
    </xf>
    <xf numFmtId="1" fontId="24" fillId="53" borderId="24" xfId="1" applyNumberFormat="1" applyFont="1" applyFill="1" applyBorder="1" applyAlignment="1">
      <alignment horizontal="center" vertical="center"/>
    </xf>
    <xf numFmtId="1" fontId="109" fillId="3" borderId="0" xfId="0" applyNumberFormat="1" applyFont="1" applyFill="1" applyAlignment="1">
      <alignment horizontal="center" vertical="center"/>
    </xf>
    <xf numFmtId="1" fontId="0" fillId="3" borderId="0" xfId="0" applyNumberFormat="1" applyFill="1" applyAlignment="1">
      <alignment vertical="center"/>
    </xf>
    <xf numFmtId="1" fontId="109" fillId="3" borderId="0" xfId="0" applyNumberFormat="1" applyFont="1" applyFill="1" applyAlignment="1">
      <alignment vertical="center"/>
    </xf>
    <xf numFmtId="0" fontId="110" fillId="3" borderId="0" xfId="0" applyFont="1" applyFill="1" applyAlignment="1">
      <alignment horizontal="left" vertical="center"/>
    </xf>
    <xf numFmtId="0" fontId="14" fillId="56" borderId="0" xfId="0" applyFont="1" applyFill="1" applyAlignment="1">
      <alignment horizontal="center" vertical="center"/>
    </xf>
    <xf numFmtId="2" fontId="15" fillId="55" borderId="26" xfId="268" applyNumberFormat="1" applyFont="1" applyFill="1" applyBorder="1" applyAlignment="1">
      <alignment horizontal="center" vertical="center"/>
    </xf>
    <xf numFmtId="2" fontId="24" fillId="55" borderId="44" xfId="1" applyNumberFormat="1" applyFont="1" applyFill="1" applyBorder="1" applyAlignment="1">
      <alignment horizontal="center" vertical="center"/>
    </xf>
    <xf numFmtId="0" fontId="111" fillId="3" borderId="0" xfId="2" quotePrefix="1" applyFont="1" applyFill="1" applyBorder="1" applyAlignment="1">
      <alignment horizontal="left"/>
    </xf>
    <xf numFmtId="0" fontId="24" fillId="53" borderId="0" xfId="1" applyFont="1" applyFill="1" applyBorder="1" applyAlignment="1">
      <alignment horizontal="center" vertical="center"/>
    </xf>
    <xf numFmtId="0" fontId="24" fillId="55" borderId="24" xfId="1" applyFont="1" applyFill="1" applyBorder="1" applyAlignment="1">
      <alignment horizontal="center" vertical="center"/>
    </xf>
    <xf numFmtId="2" fontId="24" fillId="55" borderId="24" xfId="1" applyNumberFormat="1" applyFont="1" applyFill="1" applyBorder="1" applyAlignment="1">
      <alignment horizontal="center" vertical="center"/>
    </xf>
    <xf numFmtId="0" fontId="24" fillId="55" borderId="44" xfId="1" applyFont="1" applyFill="1" applyBorder="1" applyAlignment="1">
      <alignment horizontal="center" vertical="center"/>
    </xf>
    <xf numFmtId="2" fontId="24" fillId="55" borderId="2" xfId="1" applyNumberFormat="1" applyFont="1" applyFill="1" applyBorder="1" applyAlignment="1">
      <alignment horizontal="center" vertical="center"/>
    </xf>
    <xf numFmtId="2" fontId="15" fillId="55" borderId="5" xfId="0" applyNumberFormat="1" applyFont="1" applyFill="1" applyBorder="1" applyAlignment="1">
      <alignment horizontal="right"/>
    </xf>
    <xf numFmtId="2" fontId="15" fillId="55" borderId="0" xfId="0" applyNumberFormat="1" applyFont="1" applyFill="1" applyAlignment="1">
      <alignment horizontal="right"/>
    </xf>
    <xf numFmtId="2" fontId="15" fillId="55" borderId="35" xfId="0" applyNumberFormat="1" applyFont="1" applyFill="1" applyBorder="1" applyAlignment="1">
      <alignment horizontal="right"/>
    </xf>
    <xf numFmtId="2" fontId="15" fillId="55" borderId="33" xfId="0" applyNumberFormat="1" applyFont="1" applyFill="1" applyBorder="1" applyAlignment="1">
      <alignment horizontal="right"/>
    </xf>
    <xf numFmtId="2" fontId="15" fillId="55" borderId="20" xfId="0" applyNumberFormat="1" applyFont="1" applyFill="1" applyBorder="1" applyAlignment="1">
      <alignment horizontal="right"/>
    </xf>
    <xf numFmtId="2" fontId="15" fillId="55" borderId="36" xfId="0" applyNumberFormat="1" applyFont="1" applyFill="1" applyBorder="1" applyAlignment="1">
      <alignment horizontal="right"/>
    </xf>
    <xf numFmtId="2" fontId="15" fillId="55" borderId="37" xfId="0" applyNumberFormat="1" applyFont="1" applyFill="1" applyBorder="1" applyAlignment="1">
      <alignment horizontal="right"/>
    </xf>
    <xf numFmtId="167" fontId="15" fillId="55" borderId="0" xfId="304" applyFont="1" applyFill="1" applyBorder="1" applyAlignment="1">
      <alignment horizontal="right"/>
    </xf>
    <xf numFmtId="2" fontId="15" fillId="55" borderId="38" xfId="0" applyNumberFormat="1" applyFont="1" applyFill="1" applyBorder="1"/>
    <xf numFmtId="0" fontId="12" fillId="0" borderId="34" xfId="0" applyFont="1" applyBorder="1"/>
    <xf numFmtId="0" fontId="15" fillId="0" borderId="38" xfId="0" applyFont="1" applyBorder="1" applyAlignment="1">
      <alignment horizontal="left" indent="1"/>
    </xf>
    <xf numFmtId="0" fontId="15" fillId="0" borderId="0" xfId="0" applyFont="1"/>
    <xf numFmtId="9" fontId="15" fillId="53" borderId="4" xfId="0" applyNumberFormat="1" applyFont="1" applyFill="1" applyBorder="1"/>
    <xf numFmtId="2" fontId="15" fillId="55" borderId="4" xfId="0" applyNumberFormat="1" applyFont="1" applyFill="1" applyBorder="1"/>
    <xf numFmtId="167" fontId="24" fillId="55" borderId="2" xfId="304" applyFont="1" applyFill="1" applyBorder="1" applyAlignment="1">
      <alignment horizontal="right" vertical="center"/>
    </xf>
    <xf numFmtId="167" fontId="24" fillId="55" borderId="37" xfId="304" applyFont="1" applyFill="1" applyBorder="1" applyAlignment="1">
      <alignment horizontal="right" vertical="center"/>
    </xf>
    <xf numFmtId="168" fontId="24" fillId="55" borderId="2" xfId="0" applyNumberFormat="1" applyFont="1" applyFill="1" applyBorder="1" applyAlignment="1">
      <alignment horizontal="right" vertical="center"/>
    </xf>
    <xf numFmtId="168" fontId="24" fillId="55" borderId="37" xfId="0" applyNumberFormat="1" applyFont="1" applyFill="1" applyBorder="1" applyAlignment="1">
      <alignment horizontal="right" vertical="center"/>
    </xf>
    <xf numFmtId="2" fontId="24" fillId="55" borderId="0" xfId="0" applyNumberFormat="1" applyFont="1" applyFill="1" applyAlignment="1">
      <alignment horizontal="right" vertical="center"/>
    </xf>
    <xf numFmtId="168" fontId="24" fillId="55" borderId="0" xfId="0" applyNumberFormat="1" applyFont="1" applyFill="1" applyAlignment="1">
      <alignment horizontal="right" vertical="center"/>
    </xf>
    <xf numFmtId="168" fontId="24" fillId="55" borderId="6" xfId="0" applyNumberFormat="1" applyFont="1" applyFill="1" applyBorder="1" applyAlignment="1">
      <alignment horizontal="right" vertical="center"/>
    </xf>
    <xf numFmtId="49" fontId="103" fillId="51" borderId="0" xfId="0" applyNumberFormat="1" applyFont="1" applyFill="1" applyAlignment="1" applyProtection="1">
      <alignment horizontal="left" vertical="center" indent="1"/>
      <protection locked="0"/>
    </xf>
    <xf numFmtId="2" fontId="15" fillId="53" borderId="26" xfId="268" applyNumberFormat="1" applyFont="1" applyFill="1" applyBorder="1" applyAlignment="1">
      <alignment horizontal="center" vertical="center"/>
    </xf>
    <xf numFmtId="0" fontId="24" fillId="3" borderId="0" xfId="1" applyFont="1" applyFill="1" applyBorder="1" applyAlignment="1">
      <alignment horizontal="left" vertical="center"/>
    </xf>
    <xf numFmtId="189" fontId="24" fillId="55" borderId="26" xfId="0" applyNumberFormat="1" applyFont="1" applyFill="1" applyBorder="1" applyAlignment="1">
      <alignment horizontal="center" vertical="center"/>
    </xf>
    <xf numFmtId="189" fontId="15" fillId="55" borderId="26" xfId="268" applyNumberFormat="1" applyFont="1" applyFill="1" applyBorder="1" applyAlignment="1">
      <alignment horizontal="center" vertical="center"/>
    </xf>
    <xf numFmtId="10" fontId="24" fillId="55" borderId="26" xfId="0" applyNumberFormat="1" applyFont="1" applyFill="1" applyBorder="1" applyAlignment="1">
      <alignment horizontal="center" vertical="center"/>
    </xf>
    <xf numFmtId="189" fontId="24" fillId="55" borderId="26" xfId="268" applyNumberFormat="1" applyFont="1" applyFill="1" applyBorder="1" applyAlignment="1">
      <alignment horizontal="center" vertical="center"/>
    </xf>
    <xf numFmtId="10" fontId="15" fillId="55" borderId="26" xfId="0" applyNumberFormat="1" applyFont="1" applyFill="1" applyBorder="1" applyAlignment="1">
      <alignment horizontal="center" vertical="center"/>
    </xf>
    <xf numFmtId="188" fontId="20" fillId="55" borderId="24" xfId="55" applyNumberFormat="1" applyFont="1" applyFill="1" applyBorder="1" applyAlignment="1" applyProtection="1">
      <alignment horizontal="center" vertical="center"/>
    </xf>
    <xf numFmtId="2" fontId="15" fillId="57" borderId="26" xfId="268" applyNumberFormat="1" applyFont="1" applyFill="1" applyBorder="1" applyAlignment="1">
      <alignment horizontal="center" vertical="center"/>
    </xf>
    <xf numFmtId="0" fontId="24" fillId="57" borderId="24" xfId="1" applyFont="1" applyFill="1" applyBorder="1" applyAlignment="1">
      <alignment horizontal="center" vertical="center"/>
    </xf>
    <xf numFmtId="0" fontId="24" fillId="57" borderId="0" xfId="1" applyFont="1" applyFill="1" applyBorder="1" applyAlignment="1">
      <alignment horizontal="center" vertical="center"/>
    </xf>
    <xf numFmtId="2" fontId="24" fillId="57" borderId="44" xfId="1" applyNumberFormat="1" applyFont="1" applyFill="1" applyBorder="1" applyAlignment="1">
      <alignment horizontal="center" vertical="center"/>
    </xf>
    <xf numFmtId="2" fontId="24" fillId="57" borderId="24" xfId="1" applyNumberFormat="1" applyFont="1" applyFill="1" applyBorder="1" applyAlignment="1">
      <alignment horizontal="center" vertical="center"/>
    </xf>
    <xf numFmtId="10" fontId="24" fillId="57" borderId="44" xfId="268" applyNumberFormat="1" applyFont="1" applyFill="1" applyBorder="1" applyAlignment="1">
      <alignment horizontal="center" vertical="center"/>
    </xf>
    <xf numFmtId="0" fontId="3" fillId="57" borderId="0" xfId="0" applyFont="1" applyFill="1" applyAlignment="1">
      <alignment horizontal="center" vertical="center"/>
    </xf>
    <xf numFmtId="9" fontId="15" fillId="57" borderId="26" xfId="268" applyFont="1" applyFill="1" applyBorder="1" applyAlignment="1">
      <alignment horizontal="center" vertical="center"/>
    </xf>
    <xf numFmtId="49" fontId="103" fillId="58" borderId="0" xfId="0" applyNumberFormat="1" applyFont="1" applyFill="1" applyAlignment="1" applyProtection="1">
      <alignment horizontal="left" vertical="center" indent="1"/>
      <protection locked="0"/>
    </xf>
    <xf numFmtId="0" fontId="14" fillId="57" borderId="0" xfId="0" applyFont="1" applyFill="1" applyAlignment="1">
      <alignment horizontal="center" vertical="center"/>
    </xf>
    <xf numFmtId="0" fontId="104" fillId="58" borderId="0" xfId="0" applyFont="1" applyFill="1" applyAlignment="1">
      <alignment vertical="center"/>
    </xf>
    <xf numFmtId="1" fontId="24" fillId="57" borderId="24" xfId="1" applyNumberFormat="1" applyFont="1" applyFill="1" applyBorder="1" applyAlignment="1">
      <alignment horizontal="center" vertical="center"/>
    </xf>
    <xf numFmtId="0" fontId="15" fillId="57" borderId="0" xfId="0" applyFont="1" applyFill="1" applyAlignment="1">
      <alignment horizontal="center" vertical="center"/>
    </xf>
    <xf numFmtId="10" fontId="24" fillId="57" borderId="26" xfId="0" applyNumberFormat="1" applyFont="1" applyFill="1" applyBorder="1" applyAlignment="1">
      <alignment horizontal="center" vertical="center"/>
    </xf>
    <xf numFmtId="0" fontId="113" fillId="3" borderId="0" xfId="0" applyFont="1" applyFill="1" applyAlignment="1">
      <alignment horizontal="center" vertical="center"/>
    </xf>
    <xf numFmtId="0" fontId="22" fillId="3" borderId="0" xfId="146" applyFont="1" applyFill="1" applyAlignment="1">
      <alignment horizontal="center" vertical="center"/>
    </xf>
    <xf numFmtId="169" fontId="24" fillId="53" borderId="24" xfId="339" applyNumberFormat="1" applyFont="1" applyFill="1" applyBorder="1" applyAlignment="1">
      <alignment horizontal="center" vertical="center"/>
    </xf>
    <xf numFmtId="0" fontId="3" fillId="59" borderId="0" xfId="0" applyFont="1" applyFill="1" applyAlignment="1">
      <alignment horizontal="center" vertical="center"/>
    </xf>
    <xf numFmtId="0" fontId="0" fillId="59" borderId="0" xfId="0" applyFill="1" applyAlignment="1">
      <alignment vertical="center"/>
    </xf>
    <xf numFmtId="169" fontId="0" fillId="3" borderId="0" xfId="339" applyNumberFormat="1" applyFont="1" applyFill="1" applyAlignment="1">
      <alignment vertical="center"/>
    </xf>
    <xf numFmtId="2" fontId="15" fillId="3" borderId="26" xfId="268" applyNumberFormat="1" applyFont="1" applyFill="1" applyBorder="1" applyAlignment="1">
      <alignment horizontal="center" vertical="center"/>
    </xf>
    <xf numFmtId="1" fontId="15" fillId="3" borderId="26" xfId="268" applyNumberFormat="1" applyFont="1" applyFill="1" applyBorder="1" applyAlignment="1">
      <alignment horizontal="center" vertical="center"/>
    </xf>
    <xf numFmtId="10" fontId="24" fillId="53" borderId="44" xfId="1" applyNumberFormat="1" applyFont="1" applyFill="1" applyBorder="1" applyAlignment="1">
      <alignment horizontal="center" vertical="center"/>
    </xf>
    <xf numFmtId="10" fontId="24" fillId="53" borderId="24" xfId="1" applyNumberFormat="1" applyFont="1" applyFill="1" applyBorder="1" applyAlignment="1">
      <alignment horizontal="center" vertical="center"/>
    </xf>
    <xf numFmtId="192" fontId="101" fillId="55" borderId="0" xfId="265" applyNumberFormat="1" applyFont="1" applyFill="1" applyAlignment="1">
      <alignment horizontal="center" vertical="center"/>
    </xf>
    <xf numFmtId="43" fontId="24" fillId="55" borderId="2" xfId="0" applyNumberFormat="1" applyFont="1" applyFill="1" applyBorder="1" applyAlignment="1">
      <alignment horizontal="right" vertical="center"/>
    </xf>
    <xf numFmtId="0" fontId="88" fillId="3" borderId="23" xfId="3" applyFont="1" applyFill="1" applyBorder="1" applyAlignment="1">
      <alignment horizontal="center"/>
    </xf>
  </cellXfs>
  <cellStyles count="340">
    <cellStyle name=" 1" xfId="4" xr:uid="{00000000-0005-0000-0000-000000000000}"/>
    <cellStyle name=" 1 2" xfId="5" xr:uid="{00000000-0005-0000-0000-000001000000}"/>
    <cellStyle name=" 1_29(d) - Gas extensions -tariffs" xfId="6" xr:uid="{00000000-0005-0000-0000-000002000000}"/>
    <cellStyle name="_Capex" xfId="7" xr:uid="{00000000-0005-0000-0000-000003000000}"/>
    <cellStyle name="_Capex 2" xfId="8" xr:uid="{00000000-0005-0000-0000-000004000000}"/>
    <cellStyle name="_Capex_29(d) - Gas extensions -tariffs" xfId="9" xr:uid="{00000000-0005-0000-0000-000005000000}"/>
    <cellStyle name="_UED AMP 2009-14 Final 250309 Less PU" xfId="10" xr:uid="{00000000-0005-0000-0000-000006000000}"/>
    <cellStyle name="_UED AMP 2009-14 Final 250309 Less PU_1011 monthly" xfId="11" xr:uid="{00000000-0005-0000-0000-000007000000}"/>
    <cellStyle name="20% - Accent1 2" xfId="12" xr:uid="{00000000-0005-0000-0000-000008000000}"/>
    <cellStyle name="20% - Accent1 2 2" xfId="292" xr:uid="{00000000-0005-0000-0000-000009000000}"/>
    <cellStyle name="20% - Accent2 2" xfId="13" xr:uid="{00000000-0005-0000-0000-00000A000000}"/>
    <cellStyle name="20% - Accent3 2" xfId="14" xr:uid="{00000000-0005-0000-0000-00000B000000}"/>
    <cellStyle name="20% - Accent4 2" xfId="15" xr:uid="{00000000-0005-0000-0000-00000C000000}"/>
    <cellStyle name="20% - Accent5 2" xfId="16" xr:uid="{00000000-0005-0000-0000-00000D000000}"/>
    <cellStyle name="20% - Accent6 2" xfId="17" xr:uid="{00000000-0005-0000-0000-00000E000000}"/>
    <cellStyle name="40% - Accent1 2" xfId="18" xr:uid="{00000000-0005-0000-0000-00000F000000}"/>
    <cellStyle name="40% - Accent2 2" xfId="19" xr:uid="{00000000-0005-0000-0000-000010000000}"/>
    <cellStyle name="40% - Accent3 2" xfId="20" xr:uid="{00000000-0005-0000-0000-000011000000}"/>
    <cellStyle name="40% - Accent4 2" xfId="21" xr:uid="{00000000-0005-0000-0000-000012000000}"/>
    <cellStyle name="40% - Accent5 2" xfId="22" xr:uid="{00000000-0005-0000-0000-000013000000}"/>
    <cellStyle name="40% - Accent6 2" xfId="23" xr:uid="{00000000-0005-0000-0000-000014000000}"/>
    <cellStyle name="60% - Accent1 2" xfId="24" xr:uid="{00000000-0005-0000-0000-000015000000}"/>
    <cellStyle name="60% - Accent2 2" xfId="25" xr:uid="{00000000-0005-0000-0000-000016000000}"/>
    <cellStyle name="60% - Accent3 2" xfId="26" xr:uid="{00000000-0005-0000-0000-000017000000}"/>
    <cellStyle name="60% - Accent4 2" xfId="27" xr:uid="{00000000-0005-0000-0000-000018000000}"/>
    <cellStyle name="60% - Accent5 2" xfId="28" xr:uid="{00000000-0005-0000-0000-000019000000}"/>
    <cellStyle name="60% - Accent6 2" xfId="29" xr:uid="{00000000-0005-0000-0000-00001A000000}"/>
    <cellStyle name="Accent1 - 20%" xfId="30" xr:uid="{00000000-0005-0000-0000-00001B000000}"/>
    <cellStyle name="Accent1 - 40%" xfId="31" xr:uid="{00000000-0005-0000-0000-00001C000000}"/>
    <cellStyle name="Accent1 - 60%" xfId="32" xr:uid="{00000000-0005-0000-0000-00001D000000}"/>
    <cellStyle name="Accent1 2" xfId="33" xr:uid="{00000000-0005-0000-0000-00001E000000}"/>
    <cellStyle name="Accent2 - 20%" xfId="34" xr:uid="{00000000-0005-0000-0000-00001F000000}"/>
    <cellStyle name="Accent2 - 40%" xfId="35" xr:uid="{00000000-0005-0000-0000-000020000000}"/>
    <cellStyle name="Accent2 - 60%" xfId="36" xr:uid="{00000000-0005-0000-0000-000021000000}"/>
    <cellStyle name="Accent2 2" xfId="37" xr:uid="{00000000-0005-0000-0000-000022000000}"/>
    <cellStyle name="Accent3 - 20%" xfId="38" xr:uid="{00000000-0005-0000-0000-000023000000}"/>
    <cellStyle name="Accent3 - 40%" xfId="39" xr:uid="{00000000-0005-0000-0000-000024000000}"/>
    <cellStyle name="Accent3 - 60%" xfId="40" xr:uid="{00000000-0005-0000-0000-000025000000}"/>
    <cellStyle name="Accent3 2" xfId="41" xr:uid="{00000000-0005-0000-0000-000026000000}"/>
    <cellStyle name="Accent4 - 20%" xfId="42" xr:uid="{00000000-0005-0000-0000-000027000000}"/>
    <cellStyle name="Accent4 - 40%" xfId="43" xr:uid="{00000000-0005-0000-0000-000028000000}"/>
    <cellStyle name="Accent4 - 60%" xfId="44" xr:uid="{00000000-0005-0000-0000-000029000000}"/>
    <cellStyle name="Accent4 2" xfId="45" xr:uid="{00000000-0005-0000-0000-00002A000000}"/>
    <cellStyle name="Accent5 - 20%" xfId="46" xr:uid="{00000000-0005-0000-0000-00002B000000}"/>
    <cellStyle name="Accent5 - 40%" xfId="47" xr:uid="{00000000-0005-0000-0000-00002C000000}"/>
    <cellStyle name="Accent5 - 60%" xfId="48" xr:uid="{00000000-0005-0000-0000-00002D000000}"/>
    <cellStyle name="Accent5 2" xfId="49" xr:uid="{00000000-0005-0000-0000-00002E000000}"/>
    <cellStyle name="Accent6 - 20%" xfId="50" xr:uid="{00000000-0005-0000-0000-00002F000000}"/>
    <cellStyle name="Accent6 - 40%" xfId="51" xr:uid="{00000000-0005-0000-0000-000030000000}"/>
    <cellStyle name="Accent6 - 60%" xfId="52" xr:uid="{00000000-0005-0000-0000-000031000000}"/>
    <cellStyle name="Accent6 2" xfId="53" xr:uid="{00000000-0005-0000-0000-000032000000}"/>
    <cellStyle name="Agara" xfId="54" xr:uid="{00000000-0005-0000-0000-000033000000}"/>
    <cellStyle name="Assumptions Right Number" xfId="55" xr:uid="{00000000-0005-0000-0000-000034000000}"/>
    <cellStyle name="Assumptions Right Number 2" xfId="273" xr:uid="{00000000-0005-0000-0000-000035000000}"/>
    <cellStyle name="B79812_.wvu.PrintTitlest" xfId="56" xr:uid="{00000000-0005-0000-0000-000036000000}"/>
    <cellStyle name="Bad 2" xfId="57" xr:uid="{00000000-0005-0000-0000-000037000000}"/>
    <cellStyle name="Black" xfId="58" xr:uid="{00000000-0005-0000-0000-000038000000}"/>
    <cellStyle name="Blockout" xfId="59" xr:uid="{00000000-0005-0000-0000-000039000000}"/>
    <cellStyle name="Blockout 2" xfId="60" xr:uid="{00000000-0005-0000-0000-00003A000000}"/>
    <cellStyle name="Blockout 2 2" xfId="306" xr:uid="{00000000-0005-0000-0000-00003B000000}"/>
    <cellStyle name="Blockout 3" xfId="305" xr:uid="{00000000-0005-0000-0000-00003C000000}"/>
    <cellStyle name="Blue" xfId="61" xr:uid="{00000000-0005-0000-0000-00003D000000}"/>
    <cellStyle name="Calcs_Divider" xfId="62" xr:uid="{00000000-0005-0000-0000-00003E000000}"/>
    <cellStyle name="Calculation 2" xfId="63" xr:uid="{00000000-0005-0000-0000-00003F000000}"/>
    <cellStyle name="Calculation 2 2" xfId="275" xr:uid="{00000000-0005-0000-0000-000040000000}"/>
    <cellStyle name="Check" xfId="64" xr:uid="{00000000-0005-0000-0000-000041000000}"/>
    <cellStyle name="Check 2" xfId="280" xr:uid="{00000000-0005-0000-0000-000042000000}"/>
    <cellStyle name="Check Cell 2" xfId="65" xr:uid="{00000000-0005-0000-0000-000043000000}"/>
    <cellStyle name="Column_Heading_1" xfId="66" xr:uid="{00000000-0005-0000-0000-000044000000}"/>
    <cellStyle name="Comma" xfId="304" builtinId="3"/>
    <cellStyle name="Comma [0]7Z_87C" xfId="67" xr:uid="{00000000-0005-0000-0000-000046000000}"/>
    <cellStyle name="Comma 0" xfId="68" xr:uid="{00000000-0005-0000-0000-000047000000}"/>
    <cellStyle name="Comma 1" xfId="69" xr:uid="{00000000-0005-0000-0000-000048000000}"/>
    <cellStyle name="Comma 1 2" xfId="70" xr:uid="{00000000-0005-0000-0000-000049000000}"/>
    <cellStyle name="Comma 10" xfId="274" xr:uid="{00000000-0005-0000-0000-00004A000000}"/>
    <cellStyle name="Comma 10 2" xfId="334" xr:uid="{00000000-0005-0000-0000-00004B000000}"/>
    <cellStyle name="Comma 11" xfId="269" xr:uid="{00000000-0005-0000-0000-00004C000000}"/>
    <cellStyle name="Comma 11 2" xfId="333" xr:uid="{00000000-0005-0000-0000-00004D000000}"/>
    <cellStyle name="Comma 12" xfId="337" xr:uid="{00000000-0005-0000-0000-00004E000000}"/>
    <cellStyle name="Comma 13" xfId="338" xr:uid="{00000000-0005-0000-0000-00004F000000}"/>
    <cellStyle name="Comma 14" xfId="339" xr:uid="{78F6AB27-EAB0-4441-8B15-BC069D0B4EFD}"/>
    <cellStyle name="Comma 2" xfId="71" xr:uid="{00000000-0005-0000-0000-000050000000}"/>
    <cellStyle name="Comma 2 2" xfId="72" xr:uid="{00000000-0005-0000-0000-000051000000}"/>
    <cellStyle name="Comma 2 2 2" xfId="308" xr:uid="{00000000-0005-0000-0000-000052000000}"/>
    <cellStyle name="Comma 2 3" xfId="73" xr:uid="{00000000-0005-0000-0000-000053000000}"/>
    <cellStyle name="Comma 2 3 2" xfId="74" xr:uid="{00000000-0005-0000-0000-000054000000}"/>
    <cellStyle name="Comma 2 3 2 2" xfId="310" xr:uid="{00000000-0005-0000-0000-000055000000}"/>
    <cellStyle name="Comma 2 3 3" xfId="309" xr:uid="{00000000-0005-0000-0000-000056000000}"/>
    <cellStyle name="Comma 2 4" xfId="75" xr:uid="{00000000-0005-0000-0000-000057000000}"/>
    <cellStyle name="Comma 2 4 2" xfId="311" xr:uid="{00000000-0005-0000-0000-000058000000}"/>
    <cellStyle name="Comma 2 5" xfId="76" xr:uid="{00000000-0005-0000-0000-000059000000}"/>
    <cellStyle name="Comma 2 5 2" xfId="312" xr:uid="{00000000-0005-0000-0000-00005A000000}"/>
    <cellStyle name="Comma 2 6" xfId="307" xr:uid="{00000000-0005-0000-0000-00005B000000}"/>
    <cellStyle name="Comma 3" xfId="77" xr:uid="{00000000-0005-0000-0000-00005C000000}"/>
    <cellStyle name="Comma 3 2" xfId="78" xr:uid="{00000000-0005-0000-0000-00005D000000}"/>
    <cellStyle name="Comma 3 3" xfId="79" xr:uid="{00000000-0005-0000-0000-00005E000000}"/>
    <cellStyle name="Comma 3 3 2" xfId="313" xr:uid="{00000000-0005-0000-0000-00005F000000}"/>
    <cellStyle name="Comma 4" xfId="80" xr:uid="{00000000-0005-0000-0000-000060000000}"/>
    <cellStyle name="Comma 4 2" xfId="314" xr:uid="{00000000-0005-0000-0000-000061000000}"/>
    <cellStyle name="Comma 5" xfId="81" xr:uid="{00000000-0005-0000-0000-000062000000}"/>
    <cellStyle name="Comma 5 2" xfId="315" xr:uid="{00000000-0005-0000-0000-000063000000}"/>
    <cellStyle name="Comma 6" xfId="82" xr:uid="{00000000-0005-0000-0000-000064000000}"/>
    <cellStyle name="Comma 6 2" xfId="316" xr:uid="{00000000-0005-0000-0000-000065000000}"/>
    <cellStyle name="Comma 7" xfId="83" xr:uid="{00000000-0005-0000-0000-000066000000}"/>
    <cellStyle name="Comma 7 2" xfId="317" xr:uid="{00000000-0005-0000-0000-000067000000}"/>
    <cellStyle name="Comma 8" xfId="84" xr:uid="{00000000-0005-0000-0000-000068000000}"/>
    <cellStyle name="Comma 8 2" xfId="318" xr:uid="{00000000-0005-0000-0000-000069000000}"/>
    <cellStyle name="Comma 9" xfId="267" xr:uid="{00000000-0005-0000-0000-00006A000000}"/>
    <cellStyle name="Comma 9 2" xfId="332" xr:uid="{00000000-0005-0000-0000-00006B000000}"/>
    <cellStyle name="Comma0" xfId="85" xr:uid="{00000000-0005-0000-0000-00006C000000}"/>
    <cellStyle name="Currency 11" xfId="86" xr:uid="{00000000-0005-0000-0000-00006D000000}"/>
    <cellStyle name="Currency 11 2" xfId="87" xr:uid="{00000000-0005-0000-0000-00006E000000}"/>
    <cellStyle name="Currency 11 2 2" xfId="320" xr:uid="{00000000-0005-0000-0000-00006F000000}"/>
    <cellStyle name="Currency 11 3" xfId="319" xr:uid="{00000000-0005-0000-0000-000070000000}"/>
    <cellStyle name="Currency 2" xfId="88" xr:uid="{00000000-0005-0000-0000-000071000000}"/>
    <cellStyle name="Currency 2 2" xfId="89" xr:uid="{00000000-0005-0000-0000-000072000000}"/>
    <cellStyle name="Currency 2 2 2" xfId="322" xr:uid="{00000000-0005-0000-0000-000073000000}"/>
    <cellStyle name="Currency 2 3" xfId="321" xr:uid="{00000000-0005-0000-0000-000074000000}"/>
    <cellStyle name="Currency 3" xfId="90" xr:uid="{00000000-0005-0000-0000-000075000000}"/>
    <cellStyle name="Currency 3 2" xfId="91" xr:uid="{00000000-0005-0000-0000-000076000000}"/>
    <cellStyle name="Currency 3 2 2" xfId="324" xr:uid="{00000000-0005-0000-0000-000077000000}"/>
    <cellStyle name="Currency 3 3" xfId="323" xr:uid="{00000000-0005-0000-0000-000078000000}"/>
    <cellStyle name="Currency 4" xfId="92" xr:uid="{00000000-0005-0000-0000-000079000000}"/>
    <cellStyle name="Currency 4 2" xfId="93" xr:uid="{00000000-0005-0000-0000-00007A000000}"/>
    <cellStyle name="Currency 4 2 2" xfId="326" xr:uid="{00000000-0005-0000-0000-00007B000000}"/>
    <cellStyle name="Currency 4 3" xfId="325" xr:uid="{00000000-0005-0000-0000-00007C000000}"/>
    <cellStyle name="Currency 5" xfId="94" xr:uid="{00000000-0005-0000-0000-00007D000000}"/>
    <cellStyle name="Currency 5 2" xfId="284" xr:uid="{00000000-0005-0000-0000-00007E000000}"/>
    <cellStyle name="Currency 5 2 2" xfId="335" xr:uid="{00000000-0005-0000-0000-00007F000000}"/>
    <cellStyle name="Currency 5 3" xfId="327" xr:uid="{00000000-0005-0000-0000-000080000000}"/>
    <cellStyle name="D4_B8B1_005004B79812_.wvu.PrintTitlest" xfId="95" xr:uid="{00000000-0005-0000-0000-000081000000}"/>
    <cellStyle name="Date" xfId="96" xr:uid="{00000000-0005-0000-0000-000082000000}"/>
    <cellStyle name="Date 2" xfId="97" xr:uid="{00000000-0005-0000-0000-000083000000}"/>
    <cellStyle name="Emphasis 1" xfId="98" xr:uid="{00000000-0005-0000-0000-000084000000}"/>
    <cellStyle name="Emphasis 2" xfId="99" xr:uid="{00000000-0005-0000-0000-000085000000}"/>
    <cellStyle name="Emphasis 3" xfId="100" xr:uid="{00000000-0005-0000-0000-000086000000}"/>
    <cellStyle name="Empty_Cell" xfId="101" xr:uid="{00000000-0005-0000-0000-000087000000}"/>
    <cellStyle name="Euro" xfId="102" xr:uid="{00000000-0005-0000-0000-000088000000}"/>
    <cellStyle name="Explanatory Text 2" xfId="103" xr:uid="{00000000-0005-0000-0000-000089000000}"/>
    <cellStyle name="Fixed" xfId="104" xr:uid="{00000000-0005-0000-0000-00008A000000}"/>
    <cellStyle name="Fixed 2" xfId="105" xr:uid="{00000000-0005-0000-0000-00008B000000}"/>
    <cellStyle name="Gilsans" xfId="106" xr:uid="{00000000-0005-0000-0000-00008C000000}"/>
    <cellStyle name="Gilsansl" xfId="107" xr:uid="{00000000-0005-0000-0000-00008D000000}"/>
    <cellStyle name="Good 2" xfId="108" xr:uid="{00000000-0005-0000-0000-00008E000000}"/>
    <cellStyle name="Header1" xfId="109" xr:uid="{00000000-0005-0000-0000-00008F000000}"/>
    <cellStyle name="Header2" xfId="110" xr:uid="{00000000-0005-0000-0000-000090000000}"/>
    <cellStyle name="Header3" xfId="111" xr:uid="{00000000-0005-0000-0000-000091000000}"/>
    <cellStyle name="Header4" xfId="112" xr:uid="{00000000-0005-0000-0000-000092000000}"/>
    <cellStyle name="Header5" xfId="113" xr:uid="{00000000-0005-0000-0000-000093000000}"/>
    <cellStyle name="Heading 1 2" xfId="114" xr:uid="{00000000-0005-0000-0000-000094000000}"/>
    <cellStyle name="Heading 1 2 2" xfId="115" xr:uid="{00000000-0005-0000-0000-000095000000}"/>
    <cellStyle name="Heading 1 3" xfId="116" xr:uid="{00000000-0005-0000-0000-000096000000}"/>
    <cellStyle name="Heading 2 2" xfId="117" xr:uid="{00000000-0005-0000-0000-000097000000}"/>
    <cellStyle name="Heading 2 2 2" xfId="118" xr:uid="{00000000-0005-0000-0000-000098000000}"/>
    <cellStyle name="Heading 2 3" xfId="119" xr:uid="{00000000-0005-0000-0000-000099000000}"/>
    <cellStyle name="Heading 3 2" xfId="120" xr:uid="{00000000-0005-0000-0000-00009A000000}"/>
    <cellStyle name="Heading 3 2 2" xfId="121" xr:uid="{00000000-0005-0000-0000-00009B000000}"/>
    <cellStyle name="Heading 3 3" xfId="122" xr:uid="{00000000-0005-0000-0000-00009C000000}"/>
    <cellStyle name="Heading 4 2" xfId="123" xr:uid="{00000000-0005-0000-0000-00009D000000}"/>
    <cellStyle name="Heading 4 2 2" xfId="124" xr:uid="{00000000-0005-0000-0000-00009E000000}"/>
    <cellStyle name="Heading 4 3" xfId="125" xr:uid="{00000000-0005-0000-0000-00009F000000}"/>
    <cellStyle name="Heading(4)" xfId="126" xr:uid="{00000000-0005-0000-0000-0000A0000000}"/>
    <cellStyle name="Hyperlink" xfId="2" builtinId="8"/>
    <cellStyle name="Hyperlink 2" xfId="127" xr:uid="{00000000-0005-0000-0000-0000A2000000}"/>
    <cellStyle name="Hyperlink 3" xfId="263" xr:uid="{00000000-0005-0000-0000-0000A3000000}"/>
    <cellStyle name="Hyperlink 4" xfId="282" xr:uid="{00000000-0005-0000-0000-0000A4000000}"/>
    <cellStyle name="Hyperlink Arrow" xfId="128" xr:uid="{00000000-0005-0000-0000-0000A5000000}"/>
    <cellStyle name="Hyperlink Text" xfId="129" xr:uid="{00000000-0005-0000-0000-0000A6000000}"/>
    <cellStyle name="import" xfId="293" xr:uid="{00000000-0005-0000-0000-0000A7000000}"/>
    <cellStyle name="import%" xfId="294" xr:uid="{00000000-0005-0000-0000-0000A8000000}"/>
    <cellStyle name="import_ICRC Electricity model 1-1  (1 Feb 2003) " xfId="295" xr:uid="{00000000-0005-0000-0000-0000A9000000}"/>
    <cellStyle name="Input" xfId="1" builtinId="20"/>
    <cellStyle name="Input 2" xfId="130" xr:uid="{00000000-0005-0000-0000-0000AB000000}"/>
    <cellStyle name="Input 2 2" xfId="276" xr:uid="{00000000-0005-0000-0000-0000AC000000}"/>
    <cellStyle name="Input|Date" xfId="131" xr:uid="{00000000-0005-0000-0000-0000AD000000}"/>
    <cellStyle name="Input1" xfId="132" xr:uid="{00000000-0005-0000-0000-0000AE000000}"/>
    <cellStyle name="Input1 2" xfId="133" xr:uid="{00000000-0005-0000-0000-0000AF000000}"/>
    <cellStyle name="Input1 2 2" xfId="329" xr:uid="{00000000-0005-0000-0000-0000B0000000}"/>
    <cellStyle name="Input1 3" xfId="296" xr:uid="{00000000-0005-0000-0000-0000B1000000}"/>
    <cellStyle name="Input1 3 2" xfId="336" xr:uid="{00000000-0005-0000-0000-0000B2000000}"/>
    <cellStyle name="Input1 4" xfId="328" xr:uid="{00000000-0005-0000-0000-0000B3000000}"/>
    <cellStyle name="Input1%" xfId="297" xr:uid="{00000000-0005-0000-0000-0000B4000000}"/>
    <cellStyle name="Input1_ICRC Electricity model 1-1  (1 Feb 2003) " xfId="298" xr:uid="{00000000-0005-0000-0000-0000B5000000}"/>
    <cellStyle name="Input1default" xfId="299" xr:uid="{00000000-0005-0000-0000-0000B6000000}"/>
    <cellStyle name="Input1default%" xfId="300" xr:uid="{00000000-0005-0000-0000-0000B7000000}"/>
    <cellStyle name="Input2" xfId="134" xr:uid="{00000000-0005-0000-0000-0000B8000000}"/>
    <cellStyle name="Input2 2" xfId="135" xr:uid="{00000000-0005-0000-0000-0000B9000000}"/>
    <cellStyle name="Input3" xfId="136" xr:uid="{00000000-0005-0000-0000-0000BA000000}"/>
    <cellStyle name="Input3 2" xfId="137" xr:uid="{00000000-0005-0000-0000-0000BB000000}"/>
    <cellStyle name="Input3 2 2" xfId="331" xr:uid="{00000000-0005-0000-0000-0000BC000000}"/>
    <cellStyle name="Input3 3" xfId="330" xr:uid="{00000000-0005-0000-0000-0000BD000000}"/>
    <cellStyle name="Inputs_Divider" xfId="138" xr:uid="{00000000-0005-0000-0000-0000BE000000}"/>
    <cellStyle name="InSheet" xfId="139" xr:uid="{00000000-0005-0000-0000-0000BF000000}"/>
    <cellStyle name="key result" xfId="301" xr:uid="{00000000-0005-0000-0000-0000C0000000}"/>
    <cellStyle name="Lines" xfId="140" xr:uid="{00000000-0005-0000-0000-0000C1000000}"/>
    <cellStyle name="Linked Cell 2" xfId="141" xr:uid="{00000000-0005-0000-0000-0000C2000000}"/>
    <cellStyle name="Local import" xfId="302" xr:uid="{00000000-0005-0000-0000-0000C3000000}"/>
    <cellStyle name="Local import %" xfId="303" xr:uid="{00000000-0005-0000-0000-0000C4000000}"/>
    <cellStyle name="Mine" xfId="142" xr:uid="{00000000-0005-0000-0000-0000C5000000}"/>
    <cellStyle name="Model Name" xfId="143" xr:uid="{00000000-0005-0000-0000-0000C6000000}"/>
    <cellStyle name="Neutral 2" xfId="144" xr:uid="{00000000-0005-0000-0000-0000C7000000}"/>
    <cellStyle name="Normal" xfId="0" builtinId="0"/>
    <cellStyle name="Normal - Style1" xfId="145" xr:uid="{00000000-0005-0000-0000-0000C9000000}"/>
    <cellStyle name="Normal 10" xfId="146" xr:uid="{00000000-0005-0000-0000-0000CA000000}"/>
    <cellStyle name="Normal 10 2" xfId="285" xr:uid="{00000000-0005-0000-0000-0000CB000000}"/>
    <cellStyle name="Normal 11" xfId="265" xr:uid="{00000000-0005-0000-0000-0000CC000000}"/>
    <cellStyle name="Normal 12" xfId="281" xr:uid="{00000000-0005-0000-0000-0000CD000000}"/>
    <cellStyle name="Normal 13" xfId="147" xr:uid="{00000000-0005-0000-0000-0000CE000000}"/>
    <cellStyle name="Normal 13 2" xfId="148" xr:uid="{00000000-0005-0000-0000-0000CF000000}"/>
    <cellStyle name="Normal 13_29(d) - Gas extensions -tariffs" xfId="149" xr:uid="{00000000-0005-0000-0000-0000D0000000}"/>
    <cellStyle name="Normal 14" xfId="271" xr:uid="{00000000-0005-0000-0000-0000D1000000}"/>
    <cellStyle name="Normal 15" xfId="150" xr:uid="{00000000-0005-0000-0000-0000D2000000}"/>
    <cellStyle name="Normal 16" xfId="151" xr:uid="{00000000-0005-0000-0000-0000D3000000}"/>
    <cellStyle name="Normal 2" xfId="3" xr:uid="{00000000-0005-0000-0000-0000D4000000}"/>
    <cellStyle name="Normal 2 2" xfId="152" xr:uid="{00000000-0005-0000-0000-0000D5000000}"/>
    <cellStyle name="Normal 2 2 2" xfId="153" xr:uid="{00000000-0005-0000-0000-0000D6000000}"/>
    <cellStyle name="Normal 2 3" xfId="154" xr:uid="{00000000-0005-0000-0000-0000D7000000}"/>
    <cellStyle name="Normal 2 3 2" xfId="155" xr:uid="{00000000-0005-0000-0000-0000D8000000}"/>
    <cellStyle name="Normal 2 3_29(d) - Gas extensions -tariffs" xfId="156" xr:uid="{00000000-0005-0000-0000-0000D9000000}"/>
    <cellStyle name="Normal 2 4" xfId="157" xr:uid="{00000000-0005-0000-0000-0000DA000000}"/>
    <cellStyle name="Normal 2 5" xfId="158" xr:uid="{00000000-0005-0000-0000-0000DB000000}"/>
    <cellStyle name="Normal 2 6" xfId="283" xr:uid="{00000000-0005-0000-0000-0000DC000000}"/>
    <cellStyle name="Normal 2_29(d) - Gas extensions -tariffs" xfId="159" xr:uid="{00000000-0005-0000-0000-0000DD000000}"/>
    <cellStyle name="Normal 3" xfId="160" xr:uid="{00000000-0005-0000-0000-0000DE000000}"/>
    <cellStyle name="Normal 3 2" xfId="161" xr:uid="{00000000-0005-0000-0000-0000DF000000}"/>
    <cellStyle name="Normal 3 3" xfId="290" xr:uid="{00000000-0005-0000-0000-0000E0000000}"/>
    <cellStyle name="Normal 3_29(d) - Gas extensions -tariffs" xfId="162" xr:uid="{00000000-0005-0000-0000-0000E1000000}"/>
    <cellStyle name="Normal 34" xfId="270" xr:uid="{00000000-0005-0000-0000-0000E2000000}"/>
    <cellStyle name="Normal 38" xfId="163" xr:uid="{00000000-0005-0000-0000-0000E3000000}"/>
    <cellStyle name="Normal 38 2" xfId="164" xr:uid="{00000000-0005-0000-0000-0000E4000000}"/>
    <cellStyle name="Normal 38_29(d) - Gas extensions -tariffs" xfId="165" xr:uid="{00000000-0005-0000-0000-0000E5000000}"/>
    <cellStyle name="Normal 4" xfId="166" xr:uid="{00000000-0005-0000-0000-0000E6000000}"/>
    <cellStyle name="Normal 4 2" xfId="167" xr:uid="{00000000-0005-0000-0000-0000E7000000}"/>
    <cellStyle name="Normal 4 3" xfId="168" xr:uid="{00000000-0005-0000-0000-0000E8000000}"/>
    <cellStyle name="Normal 4 3 2" xfId="286" xr:uid="{00000000-0005-0000-0000-0000E9000000}"/>
    <cellStyle name="Normal 4_29(d) - Gas extensions -tariffs" xfId="169" xr:uid="{00000000-0005-0000-0000-0000EA000000}"/>
    <cellStyle name="Normal 40" xfId="170" xr:uid="{00000000-0005-0000-0000-0000EB000000}"/>
    <cellStyle name="Normal 40 2" xfId="171" xr:uid="{00000000-0005-0000-0000-0000EC000000}"/>
    <cellStyle name="Normal 40_29(d) - Gas extensions -tariffs" xfId="172" xr:uid="{00000000-0005-0000-0000-0000ED000000}"/>
    <cellStyle name="Normal 5" xfId="173" xr:uid="{00000000-0005-0000-0000-0000EE000000}"/>
    <cellStyle name="Normal 5 2" xfId="174" xr:uid="{00000000-0005-0000-0000-0000EF000000}"/>
    <cellStyle name="Normal 6" xfId="175" xr:uid="{00000000-0005-0000-0000-0000F0000000}"/>
    <cellStyle name="Normal 6 2" xfId="176" xr:uid="{00000000-0005-0000-0000-0000F1000000}"/>
    <cellStyle name="Normal 7" xfId="177" xr:uid="{00000000-0005-0000-0000-0000F2000000}"/>
    <cellStyle name="Normal 7 2" xfId="178" xr:uid="{00000000-0005-0000-0000-0000F3000000}"/>
    <cellStyle name="Normal 7 2 2" xfId="287" xr:uid="{00000000-0005-0000-0000-0000F4000000}"/>
    <cellStyle name="Normal 8" xfId="179" xr:uid="{00000000-0005-0000-0000-0000F5000000}"/>
    <cellStyle name="Normal 9" xfId="180" xr:uid="{00000000-0005-0000-0000-0000F6000000}"/>
    <cellStyle name="Note 2" xfId="181" xr:uid="{00000000-0005-0000-0000-0000F7000000}"/>
    <cellStyle name="Note 2 2" xfId="277" xr:uid="{00000000-0005-0000-0000-0000F8000000}"/>
    <cellStyle name="OffSheet" xfId="182" xr:uid="{00000000-0005-0000-0000-0000F9000000}"/>
    <cellStyle name="Output 2" xfId="183" xr:uid="{00000000-0005-0000-0000-0000FA000000}"/>
    <cellStyle name="Output 2 2" xfId="278" xr:uid="{00000000-0005-0000-0000-0000FB000000}"/>
    <cellStyle name="Percent" xfId="268" builtinId="5"/>
    <cellStyle name="Percent [2]" xfId="184" xr:uid="{00000000-0005-0000-0000-0000FD000000}"/>
    <cellStyle name="Percent [2] 2" xfId="185" xr:uid="{00000000-0005-0000-0000-0000FE000000}"/>
    <cellStyle name="Percent [2]_29(d) - Gas extensions -tariffs" xfId="186" xr:uid="{00000000-0005-0000-0000-0000FF000000}"/>
    <cellStyle name="Percent 10" xfId="272" xr:uid="{00000000-0005-0000-0000-000000010000}"/>
    <cellStyle name="Percent 2" xfId="187" xr:uid="{00000000-0005-0000-0000-000001010000}"/>
    <cellStyle name="Percent 2 2" xfId="188" xr:uid="{00000000-0005-0000-0000-000002010000}"/>
    <cellStyle name="Percent 2 3" xfId="291" xr:uid="{00000000-0005-0000-0000-000003010000}"/>
    <cellStyle name="Percent 3" xfId="189" xr:uid="{00000000-0005-0000-0000-000004010000}"/>
    <cellStyle name="Percent 3 2" xfId="190" xr:uid="{00000000-0005-0000-0000-000005010000}"/>
    <cellStyle name="Percent 4" xfId="191" xr:uid="{00000000-0005-0000-0000-000006010000}"/>
    <cellStyle name="Percent 5" xfId="192" xr:uid="{00000000-0005-0000-0000-000007010000}"/>
    <cellStyle name="Percent 5 2" xfId="288" xr:uid="{00000000-0005-0000-0000-000008010000}"/>
    <cellStyle name="Percent 6" xfId="264" xr:uid="{00000000-0005-0000-0000-000009010000}"/>
    <cellStyle name="Percent 7" xfId="193" xr:uid="{00000000-0005-0000-0000-00000A010000}"/>
    <cellStyle name="Percent 8" xfId="266" xr:uid="{00000000-0005-0000-0000-00000B010000}"/>
    <cellStyle name="Percent 9" xfId="289" xr:uid="{00000000-0005-0000-0000-00000C010000}"/>
    <cellStyle name="Percentage" xfId="194" xr:uid="{00000000-0005-0000-0000-00000D010000}"/>
    <cellStyle name="Period Title" xfId="195" xr:uid="{00000000-0005-0000-0000-00000E010000}"/>
    <cellStyle name="PSChar" xfId="196" xr:uid="{00000000-0005-0000-0000-00000F010000}"/>
    <cellStyle name="PSDate" xfId="197" xr:uid="{00000000-0005-0000-0000-000010010000}"/>
    <cellStyle name="PSDec" xfId="198" xr:uid="{00000000-0005-0000-0000-000011010000}"/>
    <cellStyle name="PSDetail" xfId="199" xr:uid="{00000000-0005-0000-0000-000012010000}"/>
    <cellStyle name="PSHeading" xfId="200" xr:uid="{00000000-0005-0000-0000-000013010000}"/>
    <cellStyle name="PSInt" xfId="201" xr:uid="{00000000-0005-0000-0000-000014010000}"/>
    <cellStyle name="PSSpacer" xfId="202" xr:uid="{00000000-0005-0000-0000-000015010000}"/>
    <cellStyle name="Ratio" xfId="203" xr:uid="{00000000-0005-0000-0000-000016010000}"/>
    <cellStyle name="Ratio 2" xfId="204" xr:uid="{00000000-0005-0000-0000-000017010000}"/>
    <cellStyle name="Ratio_29(d) - Gas extensions -tariffs" xfId="205" xr:uid="{00000000-0005-0000-0000-000018010000}"/>
    <cellStyle name="Right Date" xfId="206" xr:uid="{00000000-0005-0000-0000-000019010000}"/>
    <cellStyle name="Right Number" xfId="207" xr:uid="{00000000-0005-0000-0000-00001A010000}"/>
    <cellStyle name="Right Year" xfId="208" xr:uid="{00000000-0005-0000-0000-00001B010000}"/>
    <cellStyle name="SAPError" xfId="209" xr:uid="{00000000-0005-0000-0000-00001C010000}"/>
    <cellStyle name="SAPError 2" xfId="210" xr:uid="{00000000-0005-0000-0000-00001D010000}"/>
    <cellStyle name="SAPKey" xfId="211" xr:uid="{00000000-0005-0000-0000-00001E010000}"/>
    <cellStyle name="SAPKey 2" xfId="212" xr:uid="{00000000-0005-0000-0000-00001F010000}"/>
    <cellStyle name="SAPLocked" xfId="213" xr:uid="{00000000-0005-0000-0000-000020010000}"/>
    <cellStyle name="SAPLocked 2" xfId="214" xr:uid="{00000000-0005-0000-0000-000021010000}"/>
    <cellStyle name="SAPOutput" xfId="215" xr:uid="{00000000-0005-0000-0000-000022010000}"/>
    <cellStyle name="SAPOutput 2" xfId="216" xr:uid="{00000000-0005-0000-0000-000023010000}"/>
    <cellStyle name="SAPSpace" xfId="217" xr:uid="{00000000-0005-0000-0000-000024010000}"/>
    <cellStyle name="SAPSpace 2" xfId="218" xr:uid="{00000000-0005-0000-0000-000025010000}"/>
    <cellStyle name="SAPText" xfId="219" xr:uid="{00000000-0005-0000-0000-000026010000}"/>
    <cellStyle name="SAPText 2" xfId="220" xr:uid="{00000000-0005-0000-0000-000027010000}"/>
    <cellStyle name="SAPUnLocked" xfId="221" xr:uid="{00000000-0005-0000-0000-000028010000}"/>
    <cellStyle name="SAPUnLocked 2" xfId="222" xr:uid="{00000000-0005-0000-0000-000029010000}"/>
    <cellStyle name="Sheet Title" xfId="223" xr:uid="{00000000-0005-0000-0000-00002A010000}"/>
    <cellStyle name="SheetHeader1" xfId="224" xr:uid="{00000000-0005-0000-0000-00002B010000}"/>
    <cellStyle name="SheetHeader2" xfId="225" xr:uid="{00000000-0005-0000-0000-00002C010000}"/>
    <cellStyle name="SheetHeader3" xfId="226" xr:uid="{00000000-0005-0000-0000-00002D010000}"/>
    <cellStyle name="Style 1" xfId="227" xr:uid="{00000000-0005-0000-0000-00002E010000}"/>
    <cellStyle name="Style 1 2" xfId="228" xr:uid="{00000000-0005-0000-0000-00002F010000}"/>
    <cellStyle name="Style 1_29(d) - Gas extensions -tariffs" xfId="229" xr:uid="{00000000-0005-0000-0000-000030010000}"/>
    <cellStyle name="Style2" xfId="230" xr:uid="{00000000-0005-0000-0000-000031010000}"/>
    <cellStyle name="Style3" xfId="231" xr:uid="{00000000-0005-0000-0000-000032010000}"/>
    <cellStyle name="Style4" xfId="232" xr:uid="{00000000-0005-0000-0000-000033010000}"/>
    <cellStyle name="Style4 2" xfId="233" xr:uid="{00000000-0005-0000-0000-000034010000}"/>
    <cellStyle name="Style4_29(d) - Gas extensions -tariffs" xfId="234" xr:uid="{00000000-0005-0000-0000-000035010000}"/>
    <cellStyle name="Style5" xfId="235" xr:uid="{00000000-0005-0000-0000-000036010000}"/>
    <cellStyle name="Style5 2" xfId="236" xr:uid="{00000000-0005-0000-0000-000037010000}"/>
    <cellStyle name="Style5_29(d) - Gas extensions -tariffs" xfId="237" xr:uid="{00000000-0005-0000-0000-000038010000}"/>
    <cellStyle name="Table Head Green" xfId="238" xr:uid="{00000000-0005-0000-0000-000039010000}"/>
    <cellStyle name="Table Head_pldt" xfId="239" xr:uid="{00000000-0005-0000-0000-00003A010000}"/>
    <cellStyle name="Table Source" xfId="240" xr:uid="{00000000-0005-0000-0000-00003B010000}"/>
    <cellStyle name="Table Units" xfId="241" xr:uid="{00000000-0005-0000-0000-00003C010000}"/>
    <cellStyle name="Table_Heading" xfId="242" xr:uid="{00000000-0005-0000-0000-00003D010000}"/>
    <cellStyle name="Technical_Input" xfId="243" xr:uid="{00000000-0005-0000-0000-00003E010000}"/>
    <cellStyle name="Text" xfId="244" xr:uid="{00000000-0005-0000-0000-00003F010000}"/>
    <cellStyle name="Text 2" xfId="245" xr:uid="{00000000-0005-0000-0000-000040010000}"/>
    <cellStyle name="Text 3" xfId="246" xr:uid="{00000000-0005-0000-0000-000041010000}"/>
    <cellStyle name="Text Head 1" xfId="247" xr:uid="{00000000-0005-0000-0000-000042010000}"/>
    <cellStyle name="Text Head 2" xfId="248" xr:uid="{00000000-0005-0000-0000-000043010000}"/>
    <cellStyle name="Text Indent 2" xfId="249" xr:uid="{00000000-0005-0000-0000-000044010000}"/>
    <cellStyle name="Theirs" xfId="250" xr:uid="{00000000-0005-0000-0000-000045010000}"/>
    <cellStyle name="Title 2" xfId="251" xr:uid="{00000000-0005-0000-0000-000046010000}"/>
    <cellStyle name="TOC 1" xfId="252" xr:uid="{00000000-0005-0000-0000-000047010000}"/>
    <cellStyle name="TOC 2" xfId="253" xr:uid="{00000000-0005-0000-0000-000048010000}"/>
    <cellStyle name="TOC 3" xfId="254" xr:uid="{00000000-0005-0000-0000-000049010000}"/>
    <cellStyle name="Total 2" xfId="255" xr:uid="{00000000-0005-0000-0000-00004A010000}"/>
    <cellStyle name="Total 2 2" xfId="279" xr:uid="{00000000-0005-0000-0000-00004B010000}"/>
    <cellStyle name="Totals" xfId="256" xr:uid="{00000000-0005-0000-0000-00004C010000}"/>
    <cellStyle name="unit" xfId="257" xr:uid="{00000000-0005-0000-0000-00004D010000}"/>
    <cellStyle name="User_Input" xfId="258" xr:uid="{00000000-0005-0000-0000-00004E010000}"/>
    <cellStyle name="Warning Text 2" xfId="259" xr:uid="{00000000-0005-0000-0000-00004F010000}"/>
    <cellStyle name="year" xfId="260" xr:uid="{00000000-0005-0000-0000-000050010000}"/>
    <cellStyle name="year 2" xfId="261" xr:uid="{00000000-0005-0000-0000-000051010000}"/>
    <cellStyle name="year_29(d) - Gas extensions -tariffs" xfId="262" xr:uid="{00000000-0005-0000-0000-000052010000}"/>
  </cellStyles>
  <dxfs count="18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00FF"/>
      <color rgb="FFFFFF99"/>
      <color rgb="FFDAEEF3"/>
      <color rgb="FF0000FF"/>
      <color rgb="FF006100"/>
      <color rgb="FFC6EFCE"/>
      <color rgb="FFFFCC99"/>
      <color rgb="FFCC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calcChain" Target="calcChain.xml" Id="rId13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haredStrings" Target="sharedStrings.xml" Id="rId12" /><Relationship Type="http://schemas.openxmlformats.org/officeDocument/2006/relationships/customXml" Target="../customXml/item4.xml" Id="rId1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styles" Target="styles.xml" Id="rId11" /><Relationship Type="http://schemas.openxmlformats.org/officeDocument/2006/relationships/worksheet" Target="worksheets/sheet5.xml" Id="rId5" /><Relationship Type="http://schemas.openxmlformats.org/officeDocument/2006/relationships/customXml" Target="../customXml/item2.xml" Id="rId15" /><Relationship Type="http://schemas.openxmlformats.org/officeDocument/2006/relationships/theme" Target="theme/theme1.xml" Id="rId10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customXml" Target="../customXml/item1.xml" Id="rId14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autoPageBreaks="0"/>
  </sheetPr>
  <dimension ref="A1:AB15"/>
  <sheetViews>
    <sheetView zoomScale="110" zoomScaleNormal="110" workbookViewId="0"/>
  </sheetViews>
  <sheetFormatPr defaultColWidth="0" defaultRowHeight="18" customHeight="1" zeroHeight="1"/>
  <cols>
    <col min="1" max="2" width="1.28515625" style="2" customWidth="1"/>
    <col min="3" max="3" width="26.42578125" style="1" customWidth="1"/>
    <col min="4" max="4" width="79.28515625" style="1" customWidth="1"/>
    <col min="5" max="5" width="2.85546875" style="1" customWidth="1"/>
    <col min="6" max="6" width="2.85546875" style="2" customWidth="1"/>
    <col min="7" max="28" width="12.7109375" style="2" hidden="1" customWidth="1"/>
    <col min="29" max="16384" width="9.140625" style="2" hidden="1"/>
  </cols>
  <sheetData>
    <row r="1" spans="2:4" s="5" customFormat="1" ht="18" customHeight="1">
      <c r="B1" s="3" t="str">
        <f>'Input | General'!$B$1</f>
        <v>AGN(SA) 2026-31 Gas AA Proposal - Capital expenditure sharing scheme model</v>
      </c>
      <c r="D1" s="4"/>
    </row>
    <row r="2" spans="2:4" ht="18" customHeight="1">
      <c r="B2" s="26" t="s">
        <v>26</v>
      </c>
    </row>
    <row r="3" spans="2:4" ht="18" customHeight="1">
      <c r="C3" s="2"/>
    </row>
    <row r="4" spans="2:4" s="8" customFormat="1" ht="18" customHeight="1">
      <c r="C4" s="22" t="s">
        <v>27</v>
      </c>
      <c r="D4" s="7"/>
    </row>
    <row r="5" spans="2:4" ht="11.25" customHeight="1"/>
    <row r="6" spans="2:4" ht="11.25" customHeight="1">
      <c r="C6" s="24" t="s">
        <v>28</v>
      </c>
      <c r="D6" s="24" t="s">
        <v>29</v>
      </c>
    </row>
    <row r="7" spans="2:4" ht="11.25" customHeight="1">
      <c r="C7" s="82" t="s">
        <v>31</v>
      </c>
      <c r="D7" s="25" t="s">
        <v>42</v>
      </c>
    </row>
    <row r="8" spans="2:4" ht="11.25" customHeight="1">
      <c r="C8" s="82" t="s">
        <v>75</v>
      </c>
      <c r="D8" s="25" t="s">
        <v>74</v>
      </c>
    </row>
    <row r="9" spans="2:4" ht="11.25" customHeight="1">
      <c r="C9" s="82" t="s">
        <v>51</v>
      </c>
      <c r="D9" s="25" t="s">
        <v>34</v>
      </c>
    </row>
    <row r="10" spans="2:4" ht="11.25" customHeight="1">
      <c r="C10" s="154" t="s">
        <v>153</v>
      </c>
      <c r="D10" s="25" t="s">
        <v>139</v>
      </c>
    </row>
    <row r="11" spans="2:4" ht="11.25" customHeight="1">
      <c r="C11" s="82" t="s">
        <v>111</v>
      </c>
      <c r="D11" s="25" t="s">
        <v>112</v>
      </c>
    </row>
    <row r="12" spans="2:4" ht="11.25" customHeight="1">
      <c r="C12" s="82" t="s">
        <v>54</v>
      </c>
      <c r="D12" s="25" t="s">
        <v>35</v>
      </c>
    </row>
    <row r="13" spans="2:4" ht="11.25" customHeight="1">
      <c r="C13" s="82" t="s">
        <v>76</v>
      </c>
      <c r="D13" s="25" t="s">
        <v>50</v>
      </c>
    </row>
    <row r="14" spans="2:4" ht="12.75" customHeight="1"/>
    <row r="15" spans="2:4" s="8" customFormat="1" ht="12.75" customHeight="1">
      <c r="C15" s="22" t="s">
        <v>30</v>
      </c>
      <c r="D15" s="7"/>
    </row>
  </sheetData>
  <hyperlinks>
    <hyperlink ref="C7" location="'Input | General'!A1" display="Input | General" xr:uid="{00000000-0004-0000-0000-000000000000}"/>
    <hyperlink ref="C9" location="'Input | Reported Capex'!A1" display="Input | Reported Capex" xr:uid="{00000000-0004-0000-0000-000001000000}"/>
    <hyperlink ref="C8" location="'Input | Inflation and Disc Rate'!A1" display="Input | Inflation and Disc Rate" xr:uid="{00000000-0004-0000-0000-000002000000}"/>
    <hyperlink ref="C12" location="'Calc | CESS Revenue Increments'!A1" display="Calc | CESS Revenue Increments" xr:uid="{00000000-0004-0000-0000-000003000000}"/>
    <hyperlink ref="C13" location="'Output | Models'!A1" display="Output | Models" xr:uid="{00000000-0004-0000-0000-000004000000}"/>
    <hyperlink ref="C11" location="'Input | Asset Performance Index'!A1" display="Input | Asset performance index" xr:uid="{1487CCB5-ACC1-4C8D-B2B9-E4D5A3D6D806}"/>
    <hyperlink ref="C10" location="'Input | Reported Performance'!A1" display="Input | Reported Performance'!" xr:uid="{7C90EC87-A989-43F5-8072-368B1F3E8E10}"/>
  </hyperlink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FFFF99"/>
  </sheetPr>
  <dimension ref="A1:V22"/>
  <sheetViews>
    <sheetView zoomScaleNormal="100" workbookViewId="0"/>
  </sheetViews>
  <sheetFormatPr defaultColWidth="0" defaultRowHeight="0" customHeight="1" zeroHeight="1"/>
  <cols>
    <col min="1" max="2" width="1.28515625" style="11" customWidth="1"/>
    <col min="3" max="3" width="56.7109375" style="12" customWidth="1"/>
    <col min="4" max="4" width="14.28515625" style="11" customWidth="1"/>
    <col min="5" max="8" width="12.7109375" style="11" customWidth="1"/>
    <col min="9" max="9" width="9.42578125" style="11" customWidth="1"/>
    <col min="10" max="10" width="11.42578125" style="11" customWidth="1"/>
    <col min="11" max="12" width="2.85546875" style="11" customWidth="1"/>
    <col min="13" max="22" width="9.140625" style="11" hidden="1" customWidth="1"/>
    <col min="23" max="16384" width="12.7109375" style="11" hidden="1"/>
  </cols>
  <sheetData>
    <row r="1" spans="2:9" s="2" customFormat="1" ht="18" customHeight="1">
      <c r="B1" s="3" t="str">
        <f>$D$6&amp;" "&amp;$D$8&amp;" "&amp;D7&amp;" - "&amp;"Capital expenditure sharing scheme model"</f>
        <v>AGN(SA) 2026-31 Gas AA Proposal - Capital expenditure sharing scheme model</v>
      </c>
      <c r="F1" s="79"/>
      <c r="G1" s="80" t="s">
        <v>43</v>
      </c>
      <c r="H1" s="107" t="s">
        <v>44</v>
      </c>
      <c r="I1" s="112" t="s">
        <v>32</v>
      </c>
    </row>
    <row r="2" spans="2:9" s="2" customFormat="1" ht="18" customHeight="1">
      <c r="B2" s="10" t="s">
        <v>31</v>
      </c>
    </row>
    <row r="3" spans="2:9" s="2" customFormat="1" ht="3" customHeight="1">
      <c r="B3" s="1"/>
    </row>
    <row r="4" spans="2:9" s="50" customFormat="1" ht="12.75" customHeight="1">
      <c r="B4" s="22" t="s">
        <v>31</v>
      </c>
    </row>
    <row r="5" spans="2:9" s="23" customFormat="1" ht="11.25" customHeight="1">
      <c r="C5" s="24"/>
    </row>
    <row r="6" spans="2:9" s="57" customFormat="1" ht="11.25" customHeight="1">
      <c r="C6" s="56" t="s">
        <v>0</v>
      </c>
      <c r="D6" s="108" t="s">
        <v>161</v>
      </c>
    </row>
    <row r="7" spans="2:9" s="57" customFormat="1" ht="11.25" customHeight="1">
      <c r="C7" s="56" t="s">
        <v>83</v>
      </c>
      <c r="D7" s="108" t="s">
        <v>95</v>
      </c>
      <c r="I7" s="66"/>
    </row>
    <row r="8" spans="2:9" s="57" customFormat="1" ht="11.25" customHeight="1">
      <c r="C8" s="56" t="s">
        <v>84</v>
      </c>
      <c r="D8" s="108" t="s">
        <v>159</v>
      </c>
    </row>
    <row r="9" spans="2:9" s="57" customFormat="1" ht="11.25" customHeight="1">
      <c r="C9" s="135" t="s">
        <v>94</v>
      </c>
      <c r="D9" s="155" t="s">
        <v>160</v>
      </c>
    </row>
    <row r="10" spans="2:9" s="57" customFormat="1" ht="11.25" customHeight="1">
      <c r="C10" s="56"/>
    </row>
    <row r="11" spans="2:9" s="57" customFormat="1" ht="11.25" customHeight="1">
      <c r="C11" s="74" t="s">
        <v>82</v>
      </c>
    </row>
    <row r="12" spans="2:9" s="57" customFormat="1" ht="11.25" customHeight="1">
      <c r="C12" s="56"/>
      <c r="D12" s="58" t="s">
        <v>59</v>
      </c>
      <c r="E12" s="58" t="s">
        <v>60</v>
      </c>
      <c r="F12" s="58" t="s">
        <v>61</v>
      </c>
      <c r="G12" s="58" t="s">
        <v>62</v>
      </c>
      <c r="H12" s="58" t="s">
        <v>63</v>
      </c>
    </row>
    <row r="13" spans="2:9" s="57" customFormat="1" ht="11.25" customHeight="1">
      <c r="C13" s="56" t="s">
        <v>57</v>
      </c>
      <c r="D13" s="156" t="str">
        <f t="shared" ref="D13:F13" si="0">IF(LEN(E13)&gt;4,CONCATENATE(LEFT(E13,4)-1&amp;"–"&amp;IF(RIGHT(E13,2)="00","99",IF(RIGHT(E13,2)-1&lt;10,"0","")&amp;RIGHT(E13,2)-1)),E13-1)</f>
        <v>2021–22</v>
      </c>
      <c r="E13" s="156" t="str">
        <f t="shared" si="0"/>
        <v>2022–23</v>
      </c>
      <c r="F13" s="156" t="str">
        <f t="shared" si="0"/>
        <v>2023–24</v>
      </c>
      <c r="G13" s="156" t="str">
        <f>IF(LEN(H13)&gt;4,CONCATENATE(LEFT(H13,4)-1&amp;"–"&amp;IF(RIGHT(H13,2)="00","99",IF(RIGHT(H13,2)-1&lt;10,"0","")&amp;RIGHT(H13,2)-1)),H13-1)</f>
        <v>2024–25</v>
      </c>
      <c r="H13" s="156" t="str">
        <f>IF(LEN(D9)&gt;4,CONCATENATE(LEFT(D9,4)-1&amp;"–"&amp;IF(RIGHT(D9,2)="00","99",IF(RIGHT(D9,2)-1&lt;10,"0","")&amp;RIGHT(D9,2)-1)),D9-1)</f>
        <v>2025–26</v>
      </c>
    </row>
    <row r="14" spans="2:9" s="57" customFormat="1" ht="11.25" customHeight="1">
      <c r="C14" s="56" t="s">
        <v>1</v>
      </c>
      <c r="D14" s="108" t="s">
        <v>8</v>
      </c>
      <c r="E14" s="108" t="s">
        <v>8</v>
      </c>
      <c r="F14" s="108" t="s">
        <v>8</v>
      </c>
      <c r="G14" s="108" t="s">
        <v>8</v>
      </c>
      <c r="H14" s="108" t="s">
        <v>8</v>
      </c>
    </row>
    <row r="15" spans="2:9" s="57" customFormat="1" ht="11.25" customHeight="1">
      <c r="C15" s="56" t="s">
        <v>2</v>
      </c>
      <c r="D15" s="108" t="s">
        <v>7</v>
      </c>
      <c r="E15" s="108" t="s">
        <v>7</v>
      </c>
      <c r="F15" s="108" t="s">
        <v>7</v>
      </c>
      <c r="G15" s="108" t="s">
        <v>25</v>
      </c>
      <c r="H15" s="108" t="s">
        <v>25</v>
      </c>
    </row>
    <row r="16" spans="2:9" s="57" customFormat="1" ht="11.25" customHeight="1">
      <c r="C16" s="56" t="s">
        <v>154</v>
      </c>
      <c r="D16" s="108" t="s">
        <v>8</v>
      </c>
      <c r="E16" s="108" t="s">
        <v>8</v>
      </c>
      <c r="F16" s="108" t="s">
        <v>8</v>
      </c>
      <c r="G16" s="108" t="s">
        <v>8</v>
      </c>
      <c r="H16" s="108" t="s">
        <v>164</v>
      </c>
    </row>
    <row r="18" spans="2:8" s="57" customFormat="1" ht="11.25" customHeight="1">
      <c r="C18" s="56"/>
      <c r="D18" s="58" t="s">
        <v>59</v>
      </c>
      <c r="E18" s="58" t="s">
        <v>60</v>
      </c>
      <c r="F18" s="58" t="s">
        <v>61</v>
      </c>
      <c r="G18" s="58" t="s">
        <v>62</v>
      </c>
      <c r="H18" s="58" t="s">
        <v>63</v>
      </c>
    </row>
    <row r="19" spans="2:8" s="57" customFormat="1" ht="11.25" customHeight="1">
      <c r="C19" s="56" t="s">
        <v>58</v>
      </c>
      <c r="D19" s="156" t="str">
        <f>D9</f>
        <v>2026-27</v>
      </c>
      <c r="E19" s="156" t="str">
        <f>IF(LEN(D19)&gt;4,CONCATENATE(LEFT(D19,4)+1&amp;"–"&amp;IF(RIGHT(D19,2)+1&gt;9,"","0")&amp;RIGHT(D19,2)+1),D19+1)</f>
        <v>2027–28</v>
      </c>
      <c r="F19" s="156" t="str">
        <f t="shared" ref="F19:H19" si="1">IF(LEN(E19)&gt;4,CONCATENATE(LEFT(E19,4)+1&amp;"–"&amp;IF(RIGHT(E19,2)+1&gt;9,"","0")&amp;RIGHT(E19,2)+1),E19+1)</f>
        <v>2028–29</v>
      </c>
      <c r="G19" s="156" t="str">
        <f t="shared" si="1"/>
        <v>2029–30</v>
      </c>
      <c r="H19" s="156" t="str">
        <f t="shared" si="1"/>
        <v>2030–31</v>
      </c>
    </row>
    <row r="20" spans="2:8" s="57" customFormat="1" ht="11.25" customHeight="1">
      <c r="C20" s="66"/>
      <c r="D20" s="66"/>
      <c r="E20" s="66"/>
      <c r="F20" s="66"/>
      <c r="G20" s="66"/>
      <c r="H20" s="66"/>
    </row>
    <row r="21" spans="2:8" s="57" customFormat="1" ht="11.25" customHeight="1"/>
    <row r="22" spans="2:8" s="50" customFormat="1" ht="12.75" customHeight="1">
      <c r="B22" s="22" t="s">
        <v>30</v>
      </c>
    </row>
  </sheetData>
  <dataValidations count="2">
    <dataValidation type="list" allowBlank="1" showInputMessage="1" showErrorMessage="1" sqref="D14:H14 D16:H16" xr:uid="{00000000-0002-0000-0200-000000000000}">
      <formula1>"Yes, No, N/A"</formula1>
    </dataValidation>
    <dataValidation type="list" allowBlank="1" showInputMessage="1" showErrorMessage="1" sqref="D15:H15" xr:uid="{00000000-0002-0000-0200-000001000000}">
      <formula1>"Actual, Estimate, N/A"</formula1>
    </dataValidation>
  </dataValidations>
  <pageMargins left="0.7" right="0.7" top="0.75" bottom="0.75" header="0.3" footer="0.3"/>
  <pageSetup paperSize="9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99"/>
  </sheetPr>
  <dimension ref="A1:AG24"/>
  <sheetViews>
    <sheetView showGridLines="0" zoomScale="110" zoomScaleNormal="110" workbookViewId="0"/>
  </sheetViews>
  <sheetFormatPr defaultColWidth="0" defaultRowHeight="18" customHeight="1" zeroHeight="1"/>
  <cols>
    <col min="1" max="2" width="1.140625" style="18" customWidth="1"/>
    <col min="3" max="3" width="36.7109375" style="18" customWidth="1"/>
    <col min="4" max="5" width="22.85546875" style="18" customWidth="1"/>
    <col min="6" max="6" width="12.7109375" style="18" customWidth="1"/>
    <col min="7" max="13" width="12.7109375" style="2" customWidth="1"/>
    <col min="14" max="14" width="12.5703125" style="17" customWidth="1"/>
    <col min="15" max="17" width="12.7109375" style="18" customWidth="1"/>
    <col min="18" max="19" width="2.85546875" style="18" customWidth="1"/>
    <col min="20" max="33" width="12.7109375" style="18" hidden="1" customWidth="1"/>
    <col min="34" max="16384" width="9.140625" style="18" hidden="1"/>
  </cols>
  <sheetData>
    <row r="1" spans="2:16" s="2" customFormat="1" ht="18" customHeight="1">
      <c r="B1" s="3" t="str">
        <f>'Input | General'!$B$1</f>
        <v>AGN(SA) 2026-31 Gas AA Proposal - Capital expenditure sharing scheme model</v>
      </c>
      <c r="D1" s="3"/>
      <c r="E1" s="3"/>
      <c r="F1" s="3"/>
      <c r="G1" s="79"/>
      <c r="H1" s="80" t="s">
        <v>43</v>
      </c>
      <c r="I1" s="107" t="s">
        <v>44</v>
      </c>
      <c r="J1" s="112" t="s">
        <v>32</v>
      </c>
      <c r="N1" s="81"/>
      <c r="O1" s="66"/>
      <c r="P1" s="66"/>
    </row>
    <row r="2" spans="2:16" s="2" customFormat="1" ht="18" customHeight="1">
      <c r="C2" s="10" t="s">
        <v>85</v>
      </c>
      <c r="D2" s="10"/>
      <c r="E2" s="10"/>
      <c r="F2" s="10"/>
    </row>
    <row r="3" spans="2:16" s="2" customFormat="1" ht="3" customHeight="1">
      <c r="C3" s="1"/>
      <c r="D3" s="1"/>
      <c r="E3" s="1"/>
      <c r="F3" s="1"/>
      <c r="M3" s="17"/>
    </row>
    <row r="4" spans="2:16" s="68" customFormat="1" ht="12.75" customHeight="1">
      <c r="C4" s="22" t="s">
        <v>39</v>
      </c>
      <c r="D4" s="69"/>
      <c r="E4" s="69"/>
      <c r="F4" s="69"/>
      <c r="M4" s="70"/>
    </row>
    <row r="5" spans="2:16" ht="11.25" customHeight="1">
      <c r="B5" s="2"/>
      <c r="C5" s="13"/>
      <c r="D5" s="66"/>
      <c r="E5" s="66"/>
      <c r="F5" s="66"/>
      <c r="M5" s="17"/>
      <c r="N5" s="2"/>
    </row>
    <row r="6" spans="2:16" ht="11.25" customHeight="1">
      <c r="B6" s="2"/>
      <c r="C6" s="13"/>
      <c r="D6" s="62" t="s">
        <v>6</v>
      </c>
      <c r="E6" s="62" t="s">
        <v>48</v>
      </c>
      <c r="F6" s="62"/>
      <c r="M6" s="17"/>
      <c r="N6" s="2"/>
    </row>
    <row r="7" spans="2:16" ht="11.25" customHeight="1">
      <c r="B7" s="2"/>
      <c r="C7" s="13"/>
      <c r="D7" s="66"/>
      <c r="E7" s="66"/>
      <c r="F7" s="123" t="str">
        <f>IF(LEN(G7)&gt;4,CONCATENATE(LEFT(G7,4)-1&amp;"–"&amp;IF(RIGHT(G7,2)="00","99",IF(RIGHT(G7,2)-1&lt;10,"0","")&amp;RIGHT(G7,2)-1)),G7-1)</f>
        <v>2020–21</v>
      </c>
      <c r="G7" s="122" t="str">
        <f>'Input | General'!D13</f>
        <v>2021–22</v>
      </c>
      <c r="H7" s="122" t="str">
        <f>'Input | General'!E13</f>
        <v>2022–23</v>
      </c>
      <c r="I7" s="122" t="str">
        <f>'Input | General'!F13</f>
        <v>2023–24</v>
      </c>
      <c r="J7" s="122" t="str">
        <f>'Input | General'!G13</f>
        <v>2024–25</v>
      </c>
      <c r="K7" s="122" t="str">
        <f>'Input | General'!H13</f>
        <v>2025–26</v>
      </c>
      <c r="L7" s="122" t="str">
        <f>'Input | General'!D19</f>
        <v>2026-27</v>
      </c>
      <c r="M7" s="122" t="str">
        <f>'Input | General'!E19</f>
        <v>2027–28</v>
      </c>
      <c r="N7" s="122" t="str">
        <f>'Input | General'!F19</f>
        <v>2028–29</v>
      </c>
      <c r="O7" s="122" t="str">
        <f>'Input | General'!G19</f>
        <v>2029–30</v>
      </c>
      <c r="P7" s="122" t="str">
        <f>'Input | General'!H19</f>
        <v>2030–31</v>
      </c>
    </row>
    <row r="8" spans="2:16" ht="11.25" customHeight="1">
      <c r="B8" s="2"/>
      <c r="C8" s="67" t="s">
        <v>77</v>
      </c>
      <c r="D8" s="65" t="str">
        <f>'Input | General'!$D$6</f>
        <v>AGN(SA)</v>
      </c>
      <c r="E8" s="65" t="s">
        <v>47</v>
      </c>
      <c r="F8" s="65"/>
      <c r="G8" s="109">
        <v>3.4982935153583528E-2</v>
      </c>
      <c r="H8" s="109">
        <v>7.8318219291014124E-2</v>
      </c>
      <c r="I8" s="109">
        <v>4.0519877675840865E-2</v>
      </c>
      <c r="J8" s="109">
        <v>2.4246877296105973E-2</v>
      </c>
      <c r="K8" s="109">
        <v>0.03</v>
      </c>
      <c r="L8" s="72"/>
      <c r="M8" s="72"/>
      <c r="N8" s="72"/>
      <c r="O8" s="72"/>
      <c r="P8" s="72"/>
    </row>
    <row r="9" spans="2:16" ht="11.25" customHeight="1">
      <c r="B9" s="2"/>
      <c r="C9" s="67" t="s">
        <v>78</v>
      </c>
      <c r="D9" s="65" t="str">
        <f>'Input | General'!$D$6</f>
        <v>AGN(SA)</v>
      </c>
      <c r="E9" s="65" t="s">
        <v>47</v>
      </c>
      <c r="F9" s="65"/>
      <c r="G9" s="92"/>
      <c r="H9" s="92"/>
      <c r="I9" s="92"/>
      <c r="J9" s="92"/>
      <c r="K9" s="92"/>
      <c r="L9" s="109">
        <v>2.6597593508804751E-2</v>
      </c>
      <c r="M9" s="186">
        <f t="shared" ref="M9:P9" si="0">L9</f>
        <v>2.6597593508804751E-2</v>
      </c>
      <c r="N9" s="186">
        <f t="shared" si="0"/>
        <v>2.6597593508804751E-2</v>
      </c>
      <c r="O9" s="186">
        <f t="shared" si="0"/>
        <v>2.6597593508804751E-2</v>
      </c>
      <c r="P9" s="186">
        <f t="shared" si="0"/>
        <v>2.6597593508804751E-2</v>
      </c>
    </row>
    <row r="10" spans="2:16" ht="11.25" customHeight="1">
      <c r="B10" s="2"/>
      <c r="C10" s="97" t="str">
        <f>"CPI Index (base year "&amp;F7&amp;")"</f>
        <v>CPI Index (base year 2020–21)</v>
      </c>
      <c r="D10" s="65" t="str">
        <f>'Input | General'!$D$6</f>
        <v>AGN(SA)</v>
      </c>
      <c r="E10" s="65" t="s">
        <v>26</v>
      </c>
      <c r="F10" s="184">
        <v>1</v>
      </c>
      <c r="G10" s="185">
        <f t="shared" ref="G10:K10" si="1">IF(G7&lt;&gt;"",(F10*(1+G8)),"")</f>
        <v>1.0349829351535835</v>
      </c>
      <c r="H10" s="185">
        <f t="shared" si="1"/>
        <v>1.1160409556313993</v>
      </c>
      <c r="I10" s="185">
        <f t="shared" si="1"/>
        <v>1.1612627986348121</v>
      </c>
      <c r="J10" s="185">
        <f t="shared" si="1"/>
        <v>1.189419795221843</v>
      </c>
      <c r="K10" s="185">
        <f t="shared" si="1"/>
        <v>1.2251023890784984</v>
      </c>
      <c r="L10" s="185">
        <f>IF(L7&lt;&gt;"",(K10*(1+L9)),"")</f>
        <v>1.2576871644298739</v>
      </c>
      <c r="M10" s="185">
        <f t="shared" ref="M10:P10" si="2">IF(M7&lt;&gt;"",(L10*(1+M9)),"")</f>
        <v>1.2911386163906211</v>
      </c>
      <c r="N10" s="185">
        <f t="shared" si="2"/>
        <v>1.3254797964728995</v>
      </c>
      <c r="O10" s="185">
        <f t="shared" si="2"/>
        <v>1.3607343693036189</v>
      </c>
      <c r="P10" s="185">
        <f t="shared" si="2"/>
        <v>1.3969266289318163</v>
      </c>
    </row>
    <row r="11" spans="2:16" ht="11.25" customHeight="1">
      <c r="B11" s="2"/>
      <c r="C11" s="67"/>
      <c r="D11" s="65"/>
      <c r="E11" s="65"/>
      <c r="F11" s="65"/>
      <c r="G11" s="72"/>
      <c r="H11" s="72"/>
      <c r="I11" s="72"/>
      <c r="J11" s="72"/>
      <c r="K11" s="93"/>
      <c r="L11" s="93"/>
      <c r="M11" s="93"/>
      <c r="N11" s="93"/>
      <c r="O11" s="93"/>
      <c r="P11" s="93"/>
    </row>
    <row r="12" spans="2:16" ht="11.25" customHeight="1">
      <c r="B12" s="2"/>
      <c r="C12" s="67"/>
      <c r="D12" s="65"/>
      <c r="E12" s="65"/>
      <c r="F12" s="65"/>
      <c r="G12" s="91"/>
      <c r="H12" s="91"/>
      <c r="I12" s="91"/>
      <c r="J12" s="91"/>
      <c r="K12" s="18"/>
      <c r="L12" s="18"/>
      <c r="M12" s="18"/>
      <c r="N12" s="18"/>
    </row>
    <row r="13" spans="2:16" ht="11.25" customHeight="1">
      <c r="B13" s="2"/>
      <c r="C13" s="67" t="s">
        <v>77</v>
      </c>
      <c r="D13" s="65" t="s">
        <v>45</v>
      </c>
      <c r="E13" s="65" t="s">
        <v>47</v>
      </c>
      <c r="F13" s="65"/>
      <c r="G13" s="203">
        <f>G8</f>
        <v>3.4982935153583528E-2</v>
      </c>
      <c r="H13" s="203">
        <f t="shared" ref="H13:K13" si="3">H8</f>
        <v>7.8318219291014124E-2</v>
      </c>
      <c r="I13" s="203">
        <f t="shared" si="3"/>
        <v>4.0519877675840865E-2</v>
      </c>
      <c r="J13" s="203">
        <f t="shared" si="3"/>
        <v>2.4246877296105973E-2</v>
      </c>
      <c r="K13" s="203">
        <f t="shared" si="3"/>
        <v>0.03</v>
      </c>
      <c r="L13" s="138"/>
      <c r="M13" s="91"/>
      <c r="N13" s="91"/>
      <c r="O13" s="91"/>
      <c r="P13" s="91"/>
    </row>
    <row r="14" spans="2:16" ht="11.25" customHeight="1">
      <c r="B14" s="2"/>
      <c r="C14" s="67" t="s">
        <v>78</v>
      </c>
      <c r="D14" s="65" t="s">
        <v>45</v>
      </c>
      <c r="E14" s="65" t="s">
        <v>47</v>
      </c>
      <c r="F14" s="65"/>
      <c r="G14" s="72"/>
      <c r="H14" s="72"/>
      <c r="I14" s="72"/>
      <c r="J14" s="93"/>
      <c r="K14" s="93"/>
      <c r="L14" s="203">
        <f>L9</f>
        <v>2.6597593508804751E-2</v>
      </c>
      <c r="M14" s="186">
        <f>L14</f>
        <v>2.6597593508804751E-2</v>
      </c>
      <c r="N14" s="186">
        <f>M14</f>
        <v>2.6597593508804751E-2</v>
      </c>
      <c r="O14" s="186">
        <f>N14</f>
        <v>2.6597593508804751E-2</v>
      </c>
      <c r="P14" s="186">
        <f t="shared" ref="P14" si="4">O14</f>
        <v>2.6597593508804751E-2</v>
      </c>
    </row>
    <row r="15" spans="2:16" ht="11.25" customHeight="1">
      <c r="B15" s="2"/>
      <c r="C15" s="97" t="str">
        <f>"CPI Index (base year "&amp;F7&amp;")"</f>
        <v>CPI Index (base year 2020–21)</v>
      </c>
      <c r="D15" s="65" t="s">
        <v>45</v>
      </c>
      <c r="E15" s="65" t="s">
        <v>26</v>
      </c>
      <c r="F15" s="184">
        <v>1</v>
      </c>
      <c r="G15" s="185">
        <f>IF(G7&lt;&gt;"",(F15*(1+G13)),"")</f>
        <v>1.0349829351535835</v>
      </c>
      <c r="H15" s="185">
        <f>IF(H7&lt;&gt;"",(G15*(1+H13)),"")</f>
        <v>1.1160409556313993</v>
      </c>
      <c r="I15" s="185">
        <f>IF(I7&lt;&gt;"",(H15*(1+I13)),"")</f>
        <v>1.1612627986348121</v>
      </c>
      <c r="J15" s="187">
        <f t="shared" ref="J15:K15" si="5">IF(J7&lt;&gt;"",(I15*(1+J13)),"")</f>
        <v>1.189419795221843</v>
      </c>
      <c r="K15" s="187">
        <f t="shared" si="5"/>
        <v>1.2251023890784984</v>
      </c>
      <c r="L15" s="187">
        <f>IF(L7&lt;&gt;"",(K15*(1+L14)),"")</f>
        <v>1.2576871644298739</v>
      </c>
      <c r="M15" s="185">
        <f>IF(M7&lt;&gt;"",(L15*(1+M14)),"")</f>
        <v>1.2911386163906211</v>
      </c>
      <c r="N15" s="185">
        <f t="shared" ref="N15:P15" si="6">IF(N7&lt;&gt;"",(M15*(1+N14)),"")</f>
        <v>1.3254797964728995</v>
      </c>
      <c r="O15" s="185">
        <f t="shared" si="6"/>
        <v>1.3607343693036189</v>
      </c>
      <c r="P15" s="185">
        <f t="shared" si="6"/>
        <v>1.3969266289318163</v>
      </c>
    </row>
    <row r="17" spans="2:16" s="68" customFormat="1" ht="12.75" customHeight="1">
      <c r="C17" s="22" t="s">
        <v>64</v>
      </c>
      <c r="D17" s="69"/>
      <c r="E17" s="69"/>
      <c r="F17" s="69"/>
      <c r="M17" s="70"/>
    </row>
    <row r="18" spans="2:16" ht="11.25" customHeight="1">
      <c r="B18" s="66"/>
      <c r="C18" s="66"/>
      <c r="D18" s="66"/>
      <c r="E18" s="66"/>
      <c r="F18" s="62"/>
      <c r="M18" s="17"/>
      <c r="N18" s="2"/>
    </row>
    <row r="19" spans="2:16" ht="11.25" customHeight="1">
      <c r="C19" s="13"/>
      <c r="D19" s="62" t="s">
        <v>6</v>
      </c>
      <c r="E19" s="62" t="s">
        <v>48</v>
      </c>
      <c r="F19" s="66"/>
      <c r="G19" s="122" t="str">
        <f>G7</f>
        <v>2021–22</v>
      </c>
      <c r="H19" s="122" t="str">
        <f t="shared" ref="H19:P19" si="7">H7</f>
        <v>2022–23</v>
      </c>
      <c r="I19" s="122" t="str">
        <f t="shared" si="7"/>
        <v>2023–24</v>
      </c>
      <c r="J19" s="122" t="str">
        <f t="shared" si="7"/>
        <v>2024–25</v>
      </c>
      <c r="K19" s="122" t="str">
        <f t="shared" si="7"/>
        <v>2025–26</v>
      </c>
      <c r="L19" s="122" t="str">
        <f t="shared" si="7"/>
        <v>2026-27</v>
      </c>
      <c r="M19" s="122" t="str">
        <f t="shared" si="7"/>
        <v>2027–28</v>
      </c>
      <c r="N19" s="122" t="str">
        <f t="shared" si="7"/>
        <v>2028–29</v>
      </c>
      <c r="O19" s="122" t="str">
        <f t="shared" si="7"/>
        <v>2029–30</v>
      </c>
      <c r="P19" s="122" t="str">
        <f t="shared" si="7"/>
        <v>2030–31</v>
      </c>
    </row>
    <row r="20" spans="2:16" ht="11.25" customHeight="1">
      <c r="C20" s="67" t="s">
        <v>10</v>
      </c>
      <c r="D20" s="65" t="s">
        <v>45</v>
      </c>
      <c r="E20" s="65" t="s">
        <v>47</v>
      </c>
      <c r="F20" s="66"/>
      <c r="G20" s="109">
        <v>2.8994637906181928E-2</v>
      </c>
      <c r="H20" s="109">
        <v>2.8189251650922342E-2</v>
      </c>
      <c r="I20" s="109">
        <v>2.8740015675159557E-2</v>
      </c>
      <c r="J20" s="109">
        <v>2.8921903460650666E-2</v>
      </c>
      <c r="K20" s="109">
        <v>2.9115095031160988E-2</v>
      </c>
      <c r="L20" s="93"/>
      <c r="M20" s="93"/>
      <c r="N20" s="93"/>
      <c r="O20" s="93"/>
      <c r="P20" s="93"/>
    </row>
    <row r="21" spans="2:16" ht="11.25" customHeight="1">
      <c r="C21" s="105" t="s">
        <v>90</v>
      </c>
      <c r="D21" s="65" t="s">
        <v>45</v>
      </c>
      <c r="E21" s="65" t="s">
        <v>47</v>
      </c>
      <c r="F21" s="66"/>
      <c r="G21" s="137"/>
      <c r="H21" s="137"/>
      <c r="I21" s="137"/>
      <c r="J21" s="137"/>
      <c r="K21" s="137"/>
      <c r="L21" s="109">
        <v>3.2954400416795253E-2</v>
      </c>
      <c r="M21" s="109">
        <v>3.3363518850985721E-2</v>
      </c>
      <c r="N21" s="109">
        <v>3.4181755719366526E-2</v>
      </c>
      <c r="O21" s="109">
        <v>3.5058438078346119E-2</v>
      </c>
      <c r="P21" s="109">
        <v>3.6870248286903842E-2</v>
      </c>
    </row>
    <row r="22" spans="2:16" ht="11.25" customHeight="1">
      <c r="C22" s="67" t="s">
        <v>65</v>
      </c>
      <c r="D22" s="65" t="s">
        <v>56</v>
      </c>
      <c r="E22" s="65" t="s">
        <v>47</v>
      </c>
      <c r="F22" s="66"/>
      <c r="G22" s="188">
        <f>IF(AND(G8&lt;&gt;"",G20&lt;&gt;""),((1+G20)*(1+G8)-1),"")</f>
        <v>6.4991890597438928E-2</v>
      </c>
      <c r="H22" s="188">
        <f>IF(AND(H8&lt;&gt;"",H20&lt;&gt;""),((1+H20)*(1+H8)-1),"")</f>
        <v>0.10871520293438297</v>
      </c>
      <c r="I22" s="188">
        <f>IF(AND(I8&lt;&gt;"",I20&lt;&gt;""),((1+I20)*(1+I8)-1),"")</f>
        <v>7.0424435270559638E-2</v>
      </c>
      <c r="J22" s="188">
        <f>IF(AND(J8&lt;&gt;"",J20&lt;&gt;""),((1+J20)*(1+J8)-1),"")</f>
        <v>5.3870046601136812E-2</v>
      </c>
      <c r="K22" s="188">
        <f>IF(AND(K8&lt;&gt;"",K20&lt;&gt;""),((1+K20)*(1+K8)-1),"")</f>
        <v>5.9988547882095844E-2</v>
      </c>
      <c r="L22" s="188">
        <f>IF(AND(L9&lt;&gt;"",L21&lt;&gt;""),((1+L21)*(1+L9)-1),"")</f>
        <v>6.0428501672212365E-2</v>
      </c>
      <c r="M22" s="188">
        <f>IF(AND(M9&lt;&gt;"",M21&lt;&gt;""),((1+M21)*(1+M9)-1),"")</f>
        <v>6.0848501672212452E-2</v>
      </c>
      <c r="N22" s="188">
        <f>IF(AND(N9&lt;&gt;"",N21&lt;&gt;""),((1+N21)*(1+N9)-1),"")</f>
        <v>6.1688501672212182E-2</v>
      </c>
      <c r="O22" s="188">
        <f t="shared" ref="O22:P22" si="8">IF(AND(O9&lt;&gt;"",O21&lt;&gt;""),((1+O21)*(1+O9)-1),"")</f>
        <v>6.2588501672212304E-2</v>
      </c>
      <c r="P22" s="188">
        <f t="shared" si="8"/>
        <v>6.4448501672212499E-2</v>
      </c>
    </row>
    <row r="23" spans="2:16" ht="11.25" customHeight="1">
      <c r="B23" s="2"/>
      <c r="C23" s="67"/>
      <c r="D23" s="65"/>
      <c r="E23" s="65"/>
      <c r="F23" s="66"/>
      <c r="G23" s="72"/>
      <c r="H23" s="16"/>
      <c r="I23" s="16"/>
      <c r="J23" s="16"/>
      <c r="K23" s="16"/>
      <c r="M23" s="17"/>
      <c r="N23" s="2"/>
    </row>
    <row r="24" spans="2:16" s="50" customFormat="1" ht="12.75" customHeight="1">
      <c r="B24" s="22" t="s">
        <v>30</v>
      </c>
      <c r="D24" s="51"/>
      <c r="E24" s="5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rgb="FFFFFF99"/>
  </sheetPr>
  <dimension ref="A1:W34"/>
  <sheetViews>
    <sheetView zoomScale="110" zoomScaleNormal="110" workbookViewId="0">
      <selection activeCell="C32" sqref="C32"/>
    </sheetView>
  </sheetViews>
  <sheetFormatPr defaultColWidth="0" defaultRowHeight="18" customHeight="1" zeroHeight="1"/>
  <cols>
    <col min="1" max="2" width="1.28515625" style="2" customWidth="1"/>
    <col min="3" max="3" width="49.85546875" style="13" customWidth="1"/>
    <col min="4" max="4" width="23.7109375" style="13" customWidth="1"/>
    <col min="5" max="5" width="13.42578125" style="13" customWidth="1"/>
    <col min="6" max="6" width="9.140625" style="13" customWidth="1"/>
    <col min="7" max="7" width="2.85546875" style="13" customWidth="1"/>
    <col min="8" max="12" width="13.7109375" style="2" bestFit="1" customWidth="1"/>
    <col min="13" max="14" width="2.85546875" style="2" customWidth="1"/>
    <col min="15" max="23" width="0" style="2" hidden="1" customWidth="1"/>
    <col min="24" max="16384" width="12.7109375" style="2" hidden="1"/>
  </cols>
  <sheetData>
    <row r="1" spans="2:12" ht="18" customHeight="1">
      <c r="B1" s="3" t="str">
        <f>'Input | General'!$B$1</f>
        <v>AGN(SA) 2026-31 Gas AA Proposal - Capital expenditure sharing scheme model</v>
      </c>
      <c r="D1" s="3"/>
      <c r="E1" s="3"/>
      <c r="F1" s="3"/>
      <c r="G1" s="3"/>
      <c r="H1" s="79"/>
      <c r="I1" s="80" t="s">
        <v>43</v>
      </c>
      <c r="J1" s="107" t="s">
        <v>44</v>
      </c>
      <c r="K1" s="112" t="s">
        <v>32</v>
      </c>
    </row>
    <row r="2" spans="2:12" ht="18" customHeight="1">
      <c r="B2" s="10" t="s">
        <v>33</v>
      </c>
      <c r="D2" s="10"/>
      <c r="E2" s="10"/>
      <c r="F2" s="10"/>
      <c r="G2" s="10"/>
    </row>
    <row r="3" spans="2:12" ht="3" customHeight="1">
      <c r="C3" s="1"/>
      <c r="D3" s="1"/>
      <c r="E3" s="1"/>
      <c r="F3" s="1"/>
      <c r="G3" s="1"/>
    </row>
    <row r="4" spans="2:12" s="8" customFormat="1" ht="12.75" customHeight="1">
      <c r="B4" s="22" t="s">
        <v>36</v>
      </c>
      <c r="D4" s="6"/>
      <c r="E4" s="6"/>
      <c r="F4" s="6"/>
      <c r="G4" s="6"/>
    </row>
    <row r="5" spans="2:12" ht="10.5" customHeight="1">
      <c r="D5" s="55"/>
      <c r="E5" s="55"/>
      <c r="F5" s="55"/>
      <c r="G5" s="55"/>
    </row>
    <row r="6" spans="2:12" s="55" customFormat="1" ht="10.5" customHeight="1">
      <c r="D6" s="62" t="s">
        <v>6</v>
      </c>
      <c r="E6" s="62" t="s">
        <v>48</v>
      </c>
      <c r="F6" s="62" t="s">
        <v>4</v>
      </c>
      <c r="G6" s="52"/>
      <c r="H6" s="124" t="str">
        <f>IF('Input | General'!D14="Yes",'Input | General'!D13,"n/a")</f>
        <v>2021–22</v>
      </c>
      <c r="I6" s="124" t="str">
        <f>IF('Input | General'!E14="Yes",'Input | General'!E13,"n/a")</f>
        <v>2022–23</v>
      </c>
      <c r="J6" s="124" t="str">
        <f>IF('Input | General'!F14="Yes",'Input | General'!F13,"n/a")</f>
        <v>2023–24</v>
      </c>
      <c r="K6" s="124" t="str">
        <f>IF('Input | General'!G14="Yes",'Input | General'!G13,"n/a")</f>
        <v>2024–25</v>
      </c>
      <c r="L6" s="124" t="str">
        <f>IF('Input | General'!H14="Yes",'Input | General'!H13,"n/a")</f>
        <v>2025–26</v>
      </c>
    </row>
    <row r="7" spans="2:12" s="55" customFormat="1" ht="10.5" customHeight="1"/>
    <row r="8" spans="2:12" ht="10.5" customHeight="1">
      <c r="C8" s="67" t="s">
        <v>3</v>
      </c>
      <c r="D8" s="65" t="s">
        <v>45</v>
      </c>
      <c r="E8" s="65" t="s">
        <v>46</v>
      </c>
      <c r="F8" s="65" t="str">
        <f>'Input | Inflation and Disc Rate'!$F$7</f>
        <v>2020–21</v>
      </c>
      <c r="G8" s="55"/>
      <c r="H8" s="110">
        <v>108.06491959008569</v>
      </c>
      <c r="I8" s="110">
        <v>109.7541844228479</v>
      </c>
      <c r="J8" s="110">
        <v>99.976053490148061</v>
      </c>
      <c r="K8" s="110">
        <v>102.08467217464474</v>
      </c>
      <c r="L8" s="110">
        <v>92.89717049437391</v>
      </c>
    </row>
    <row r="9" spans="2:12" ht="10.5" customHeight="1">
      <c r="C9" s="67" t="s">
        <v>92</v>
      </c>
      <c r="D9" s="65" t="s">
        <v>45</v>
      </c>
      <c r="E9" s="65" t="s">
        <v>46</v>
      </c>
      <c r="F9" s="65" t="str">
        <f>'Input | Inflation and Disc Rate'!$F$7</f>
        <v>2020–21</v>
      </c>
      <c r="G9" s="55"/>
      <c r="H9" s="110">
        <v>9.0093042417191363E-2</v>
      </c>
      <c r="I9" s="110">
        <v>9.0093042417191363E-2</v>
      </c>
      <c r="J9" s="110">
        <v>9.0093042417191363E-2</v>
      </c>
      <c r="K9" s="110">
        <v>9.0093042417191363E-2</v>
      </c>
      <c r="L9" s="110">
        <v>9.0093042417191363E-2</v>
      </c>
    </row>
    <row r="10" spans="2:12" ht="10.5" customHeight="1">
      <c r="C10" s="67" t="s">
        <v>86</v>
      </c>
      <c r="D10" s="65" t="s">
        <v>45</v>
      </c>
      <c r="E10" s="65" t="s">
        <v>46</v>
      </c>
      <c r="F10" s="65" t="str">
        <f>'Input | Inflation and Disc Rate'!$F$7</f>
        <v>2020–21</v>
      </c>
      <c r="G10" s="55"/>
      <c r="H10" s="110">
        <v>0</v>
      </c>
      <c r="I10" s="110">
        <v>0</v>
      </c>
      <c r="J10" s="110">
        <v>0</v>
      </c>
      <c r="K10" s="110">
        <v>0</v>
      </c>
      <c r="L10" s="110">
        <v>0</v>
      </c>
    </row>
    <row r="11" spans="2:12" ht="10.5" customHeight="1">
      <c r="C11" s="67" t="s">
        <v>91</v>
      </c>
      <c r="D11" s="65" t="s">
        <v>45</v>
      </c>
      <c r="E11" s="65" t="s">
        <v>46</v>
      </c>
      <c r="F11" s="65" t="str">
        <f>'Input | Inflation and Disc Rate'!$F$7</f>
        <v>2020–21</v>
      </c>
      <c r="G11" s="55"/>
      <c r="H11" s="110">
        <v>27.665861231342781</v>
      </c>
      <c r="I11" s="110">
        <v>24.528628812684321</v>
      </c>
      <c r="J11" s="110">
        <v>23.879914746705619</v>
      </c>
      <c r="K11" s="110">
        <v>24.659557606808004</v>
      </c>
      <c r="L11" s="110">
        <v>25.563898353157853</v>
      </c>
    </row>
    <row r="12" spans="2:12" s="55" customFormat="1" ht="10.5" customHeight="1">
      <c r="H12" s="54"/>
      <c r="I12" s="54"/>
      <c r="J12" s="54"/>
      <c r="K12" s="54"/>
      <c r="L12" s="54"/>
    </row>
    <row r="13" spans="2:12" ht="10.5" customHeight="1">
      <c r="C13" s="64" t="s">
        <v>5</v>
      </c>
      <c r="D13" s="63" t="s">
        <v>56</v>
      </c>
      <c r="E13" s="125" t="s">
        <v>46</v>
      </c>
      <c r="F13" s="126" t="str">
        <f>'Input | Inflation and Disc Rate'!$F$7</f>
        <v>2020–21</v>
      </c>
      <c r="G13" s="55"/>
      <c r="H13" s="159">
        <f>IF(H6="n/a", "", H8-H9-H10-H11)</f>
        <v>80.308965316325725</v>
      </c>
      <c r="I13" s="159">
        <f t="shared" ref="I13:L13" si="0">IF(I6="n/a", "", I8-I9-I10-I11)</f>
        <v>85.135462567746387</v>
      </c>
      <c r="J13" s="159">
        <f t="shared" si="0"/>
        <v>76.006045701025243</v>
      </c>
      <c r="K13" s="159">
        <f t="shared" si="0"/>
        <v>77.335021525419535</v>
      </c>
      <c r="L13" s="159">
        <f t="shared" si="0"/>
        <v>67.243179098798862</v>
      </c>
    </row>
    <row r="14" spans="2:12" ht="10.5" customHeight="1">
      <c r="D14" s="55"/>
      <c r="E14" s="55"/>
      <c r="F14" s="55"/>
      <c r="G14" s="55"/>
    </row>
    <row r="15" spans="2:12" s="8" customFormat="1" ht="12.75" customHeight="1">
      <c r="B15" s="61" t="s">
        <v>37</v>
      </c>
      <c r="D15" s="15"/>
      <c r="E15" s="15"/>
      <c r="F15" s="15"/>
      <c r="G15" s="15"/>
    </row>
    <row r="17" spans="2:12" ht="10.5" customHeight="1">
      <c r="B17" s="60"/>
      <c r="C17" s="55"/>
      <c r="D17" s="62" t="s">
        <v>6</v>
      </c>
      <c r="E17" s="62" t="s">
        <v>48</v>
      </c>
      <c r="F17" s="62" t="s">
        <v>4</v>
      </c>
      <c r="G17" s="52"/>
      <c r="H17" s="124" t="str">
        <f>H6</f>
        <v>2021–22</v>
      </c>
      <c r="I17" s="124" t="str">
        <f t="shared" ref="I17:L17" si="1">I6</f>
        <v>2022–23</v>
      </c>
      <c r="J17" s="124" t="str">
        <f t="shared" si="1"/>
        <v>2023–24</v>
      </c>
      <c r="K17" s="124" t="str">
        <f t="shared" si="1"/>
        <v>2024–25</v>
      </c>
      <c r="L17" s="124" t="str">
        <f t="shared" si="1"/>
        <v>2025–26</v>
      </c>
    </row>
    <row r="18" spans="2:12" ht="10.5" customHeight="1">
      <c r="B18" s="60"/>
      <c r="C18" s="55"/>
      <c r="D18" s="55"/>
      <c r="E18" s="55"/>
      <c r="F18" s="55"/>
      <c r="G18" s="55"/>
      <c r="H18" s="55"/>
      <c r="I18" s="55"/>
      <c r="J18" s="55"/>
      <c r="K18" s="55"/>
      <c r="L18" s="55"/>
    </row>
    <row r="19" spans="2:12" ht="10.5" customHeight="1">
      <c r="B19" s="60"/>
      <c r="C19" s="67" t="s">
        <v>73</v>
      </c>
      <c r="D19" s="65" t="s">
        <v>45</v>
      </c>
      <c r="E19" s="65" t="s">
        <v>46</v>
      </c>
      <c r="F19" s="65" t="s">
        <v>49</v>
      </c>
      <c r="G19" s="55"/>
      <c r="H19" s="110">
        <v>93.585303999999994</v>
      </c>
      <c r="I19" s="110">
        <v>98.713052000000005</v>
      </c>
      <c r="J19" s="110">
        <v>97.223055958482036</v>
      </c>
      <c r="K19" s="110">
        <v>137.80066456448642</v>
      </c>
      <c r="L19" s="110">
        <v>100.761201290366</v>
      </c>
    </row>
    <row r="20" spans="2:12" ht="10.5" customHeight="1">
      <c r="B20" s="60"/>
      <c r="C20" s="67" t="s">
        <v>92</v>
      </c>
      <c r="D20" s="65" t="s">
        <v>45</v>
      </c>
      <c r="E20" s="65" t="s">
        <v>46</v>
      </c>
      <c r="F20" s="65" t="s">
        <v>49</v>
      </c>
      <c r="G20" s="99"/>
      <c r="H20" s="111">
        <v>4.2613719999999997</v>
      </c>
      <c r="I20" s="110">
        <v>5.780278</v>
      </c>
      <c r="J20" s="110">
        <v>3.8728001269853767</v>
      </c>
      <c r="K20" s="110">
        <v>4.1264843333426109</v>
      </c>
      <c r="L20" s="110">
        <v>4.3202610000000004</v>
      </c>
    </row>
    <row r="21" spans="2:12" ht="10.5" customHeight="1">
      <c r="B21" s="60"/>
      <c r="C21" s="98" t="s">
        <v>86</v>
      </c>
      <c r="D21" s="65" t="s">
        <v>45</v>
      </c>
      <c r="E21" s="65" t="s">
        <v>46</v>
      </c>
      <c r="F21" s="65" t="s">
        <v>49</v>
      </c>
      <c r="G21" s="99"/>
      <c r="H21" s="111">
        <v>7.0151789999999992E-2</v>
      </c>
      <c r="I21" s="110">
        <v>0</v>
      </c>
      <c r="J21" s="110">
        <v>0</v>
      </c>
      <c r="K21" s="110">
        <v>0</v>
      </c>
      <c r="L21" s="110">
        <v>0</v>
      </c>
    </row>
    <row r="22" spans="2:12" ht="10.5" customHeight="1">
      <c r="B22" s="60"/>
      <c r="C22" s="106" t="s">
        <v>91</v>
      </c>
      <c r="D22" s="65" t="s">
        <v>45</v>
      </c>
      <c r="E22" s="65" t="s">
        <v>46</v>
      </c>
      <c r="F22" s="65" t="s">
        <v>49</v>
      </c>
      <c r="G22" s="55"/>
      <c r="H22" s="111">
        <v>21.411207000000001</v>
      </c>
      <c r="I22" s="110">
        <v>24.356534</v>
      </c>
      <c r="J22" s="110">
        <v>25.068183174615385</v>
      </c>
      <c r="K22" s="110">
        <v>26.478617785683326</v>
      </c>
      <c r="L22" s="110">
        <v>32.523020753484481</v>
      </c>
    </row>
    <row r="23" spans="2:12" ht="10.5" customHeight="1">
      <c r="B23" s="60"/>
      <c r="C23" s="55"/>
      <c r="D23" s="55"/>
      <c r="E23" s="55"/>
      <c r="F23" s="55"/>
      <c r="G23" s="55"/>
      <c r="H23" s="54"/>
      <c r="I23" s="54"/>
      <c r="J23" s="54"/>
      <c r="K23" s="54"/>
      <c r="L23" s="54"/>
    </row>
    <row r="24" spans="2:12" ht="10.5" customHeight="1">
      <c r="B24" s="60"/>
      <c r="C24" s="64" t="s">
        <v>72</v>
      </c>
      <c r="D24" s="63" t="s">
        <v>56</v>
      </c>
      <c r="E24" s="127" t="s">
        <v>46</v>
      </c>
      <c r="F24" s="127" t="s">
        <v>49</v>
      </c>
      <c r="G24" s="55"/>
      <c r="H24" s="159">
        <f>IF(H17="n/a", "", H19-H20-H21-H22)</f>
        <v>67.842573209999998</v>
      </c>
      <c r="I24" s="159">
        <f t="shared" ref="I24:L24" si="2">IF(I17="n/a", "", I19-I20-I21-I22)</f>
        <v>68.576240000000013</v>
      </c>
      <c r="J24" s="159">
        <f t="shared" si="2"/>
        <v>68.282072656881269</v>
      </c>
      <c r="K24" s="159">
        <f t="shared" si="2"/>
        <v>107.1955624454605</v>
      </c>
      <c r="L24" s="159">
        <f t="shared" si="2"/>
        <v>63.91791953688152</v>
      </c>
    </row>
    <row r="25" spans="2:12" ht="10.5" customHeight="1">
      <c r="B25" s="60"/>
      <c r="C25" s="2"/>
    </row>
    <row r="26" spans="2:12" s="8" customFormat="1" ht="12.75" customHeight="1">
      <c r="B26" s="61" t="s">
        <v>38</v>
      </c>
      <c r="D26" s="15"/>
      <c r="E26" s="15"/>
      <c r="F26" s="15"/>
      <c r="G26" s="15"/>
    </row>
    <row r="27" spans="2:12" ht="10.5" customHeight="1">
      <c r="D27" s="55"/>
      <c r="E27" s="55"/>
      <c r="F27" s="55"/>
      <c r="G27" s="55"/>
    </row>
    <row r="28" spans="2:12" ht="10.5" customHeight="1">
      <c r="D28" s="55"/>
      <c r="E28" s="55"/>
      <c r="F28" s="55"/>
      <c r="G28" s="55"/>
      <c r="H28" s="124" t="str">
        <f>'Input | General'!D19</f>
        <v>2026-27</v>
      </c>
      <c r="I28" s="124" t="str">
        <f>'Input | General'!E19</f>
        <v>2027–28</v>
      </c>
      <c r="J28" s="124" t="str">
        <f>'Input | General'!F19</f>
        <v>2028–29</v>
      </c>
      <c r="K28" s="124" t="str">
        <f>'Input | General'!G19</f>
        <v>2029–30</v>
      </c>
      <c r="L28" s="124" t="str">
        <f>'Input | General'!H19</f>
        <v>2030–31</v>
      </c>
    </row>
    <row r="29" spans="2:12" s="14" customFormat="1" ht="10.5" customHeight="1">
      <c r="C29" s="13"/>
      <c r="D29" s="55"/>
      <c r="E29" s="55"/>
      <c r="F29" s="55"/>
      <c r="G29" s="55"/>
    </row>
    <row r="30" spans="2:12" ht="11.25" customHeight="1">
      <c r="C30" s="71" t="s">
        <v>80</v>
      </c>
      <c r="D30" s="65" t="str">
        <f>'Input | General'!$D$6</f>
        <v>AGN(SA)</v>
      </c>
      <c r="E30" s="65" t="s">
        <v>46</v>
      </c>
      <c r="F30" s="65" t="s">
        <v>49</v>
      </c>
      <c r="G30" s="55"/>
      <c r="H30" s="110">
        <v>0</v>
      </c>
      <c r="I30" s="110">
        <v>0</v>
      </c>
      <c r="J30" s="110">
        <v>0</v>
      </c>
      <c r="K30" s="110">
        <v>0</v>
      </c>
      <c r="L30" s="110">
        <v>0</v>
      </c>
    </row>
    <row r="31" spans="2:12" ht="11.25" customHeight="1">
      <c r="C31" s="71" t="s">
        <v>80</v>
      </c>
      <c r="D31" s="53" t="s">
        <v>56</v>
      </c>
      <c r="E31" s="65" t="s">
        <v>46</v>
      </c>
      <c r="F31" s="65" t="str">
        <f>'Input | Inflation and Disc Rate'!$F$7</f>
        <v>2020–21</v>
      </c>
      <c r="G31" s="55"/>
      <c r="H31" s="157">
        <f>IF(H30&lt;&gt;"",H30/('Input | Inflation and Disc Rate'!K10*(1+'Input | Inflation and Disc Rate'!L9)^0.5),"")</f>
        <v>0</v>
      </c>
      <c r="I31" s="157">
        <f>IF(I30&lt;&gt;"",I30/('Input | Inflation and Disc Rate'!L10*(1+'Input | Inflation and Disc Rate'!M9)^0.5),"")</f>
        <v>0</v>
      </c>
      <c r="J31" s="157">
        <f>IF(J30&lt;&gt;"",J30/('Input | Inflation and Disc Rate'!M10*(1+'Input | Inflation and Disc Rate'!N9)^0.5),"")</f>
        <v>0</v>
      </c>
      <c r="K31" s="157">
        <f>IF(K30&lt;&gt;"",K30/('Input | Inflation and Disc Rate'!N10*(1+'Input | Inflation and Disc Rate'!O9)^0.5),"")</f>
        <v>0</v>
      </c>
      <c r="L31" s="157">
        <f>IF(L30&lt;&gt;"",L30/('Input | Inflation and Disc Rate'!O10*(1+'Input | Inflation and Disc Rate'!P9)^0.5),"")</f>
        <v>0</v>
      </c>
    </row>
    <row r="32" spans="2:12" ht="11.25" customHeight="1">
      <c r="C32" s="71" t="s">
        <v>80</v>
      </c>
      <c r="D32" s="53" t="s">
        <v>45</v>
      </c>
      <c r="E32" s="65" t="s">
        <v>46</v>
      </c>
      <c r="F32" s="65" t="s">
        <v>49</v>
      </c>
      <c r="G32" s="55"/>
      <c r="H32" s="157">
        <f>IF(H30&lt;&gt;"",H31*'Input | Inflation and Disc Rate'!K15*(1+'Input | Inflation and Disc Rate'!L14)^0.5,"")</f>
        <v>0</v>
      </c>
      <c r="I32" s="157">
        <f>IF(I30&lt;&gt;"",I31*'Input | Inflation and Disc Rate'!L15*(1+'Input | Inflation and Disc Rate'!M14)^0.5,"")</f>
        <v>0</v>
      </c>
      <c r="J32" s="157">
        <f>IF(J30&lt;&gt;"",J31*'Input | Inflation and Disc Rate'!M15*(1+'Input | Inflation and Disc Rate'!N14)^0.5,"")</f>
        <v>0</v>
      </c>
      <c r="K32" s="157">
        <f>IF(K30&lt;&gt;"",K31*'Input | Inflation and Disc Rate'!N15*(1+'Input | Inflation and Disc Rate'!O14)^0.5,"")</f>
        <v>0</v>
      </c>
      <c r="L32" s="157">
        <f>IF(L30&lt;&gt;"",L31*'Input | Inflation and Disc Rate'!O15*(1+'Input | Inflation and Disc Rate'!P14)^0.5,"")</f>
        <v>0</v>
      </c>
    </row>
    <row r="34" spans="2:2" s="50" customFormat="1" ht="12.75" customHeight="1">
      <c r="B34" s="22" t="s">
        <v>30</v>
      </c>
    </row>
  </sheetData>
  <conditionalFormatting sqref="H20:H22">
    <cfRule type="expression" dxfId="17" priority="2">
      <formula>IF($H$6&lt;&gt;"","FALSE","TRUE")</formula>
    </cfRule>
  </conditionalFormatting>
  <conditionalFormatting sqref="H8:L11">
    <cfRule type="expression" dxfId="16" priority="5">
      <formula>IF($H$6&lt;&gt;"","FALSE","TRUE")</formula>
    </cfRule>
  </conditionalFormatting>
  <conditionalFormatting sqref="H19:L19">
    <cfRule type="expression" dxfId="15" priority="14">
      <formula>IF($H$6&lt;&gt;"","FALSE","TRUE")</formula>
    </cfRule>
  </conditionalFormatting>
  <conditionalFormatting sqref="H30:L30">
    <cfRule type="expression" dxfId="14" priority="3">
      <formula>IF($H$6&lt;&gt;"","FALSE","TRUE")</formula>
    </cfRule>
  </conditionalFormatting>
  <conditionalFormatting sqref="I20:L22">
    <cfRule type="expression" dxfId="13" priority="1">
      <formula>IF($H$6&lt;&gt;"","FALSE","TRUE")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DA410-CA49-447E-A60C-B24619D33814}">
  <sheetPr>
    <tabColor rgb="FFFFCC99"/>
  </sheetPr>
  <dimension ref="A1:X61"/>
  <sheetViews>
    <sheetView zoomScale="110" zoomScaleNormal="110" workbookViewId="0">
      <selection activeCell="K35" sqref="K35"/>
    </sheetView>
  </sheetViews>
  <sheetFormatPr defaultColWidth="0" defaultRowHeight="18" customHeight="1" zeroHeight="1"/>
  <cols>
    <col min="1" max="2" width="1.28515625" style="2" customWidth="1"/>
    <col min="3" max="3" width="49.85546875" style="13" customWidth="1"/>
    <col min="4" max="4" width="23.7109375" style="13" customWidth="1"/>
    <col min="5" max="5" width="25.28515625" style="13" customWidth="1"/>
    <col min="6" max="6" width="9.140625" style="13" customWidth="1"/>
    <col min="7" max="7" width="2.85546875" style="13" customWidth="1"/>
    <col min="8" max="9" width="13.7109375" style="2" bestFit="1" customWidth="1"/>
    <col min="10" max="10" width="16.28515625" style="2" customWidth="1"/>
    <col min="11" max="12" width="13.7109375" style="2" bestFit="1" customWidth="1"/>
    <col min="13" max="13" width="2.85546875" style="2" customWidth="1"/>
    <col min="14" max="14" width="14.5703125" style="2" customWidth="1"/>
    <col min="15" max="15" width="2.85546875" style="2" customWidth="1"/>
    <col min="16" max="24" width="0" style="2" hidden="1" customWidth="1"/>
    <col min="25" max="16384" width="12.7109375" style="2" hidden="1"/>
  </cols>
  <sheetData>
    <row r="1" spans="2:12" ht="18" customHeight="1">
      <c r="B1" s="3" t="str">
        <f>'Input | General'!$B$1</f>
        <v>AGN(SA) 2026-31 Gas AA Proposal - Capital expenditure sharing scheme model</v>
      </c>
      <c r="D1" s="3"/>
      <c r="E1" s="3"/>
      <c r="F1" s="3"/>
      <c r="G1" s="3"/>
      <c r="H1" s="79"/>
      <c r="I1" s="80" t="s">
        <v>43</v>
      </c>
      <c r="J1" s="107" t="s">
        <v>44</v>
      </c>
      <c r="K1" s="112" t="s">
        <v>32</v>
      </c>
    </row>
    <row r="2" spans="2:12" ht="18" customHeight="1">
      <c r="B2" s="10" t="s">
        <v>113</v>
      </c>
      <c r="D2" s="10"/>
      <c r="E2" s="142"/>
      <c r="F2" s="10"/>
      <c r="G2" s="10"/>
    </row>
    <row r="3" spans="2:12" ht="13.5" customHeight="1">
      <c r="C3" s="1"/>
      <c r="D3" s="1"/>
      <c r="E3" s="1"/>
      <c r="F3" s="1"/>
      <c r="G3" s="1"/>
    </row>
    <row r="4" spans="2:12" s="8" customFormat="1" ht="12.75" customHeight="1">
      <c r="B4" s="22" t="s">
        <v>114</v>
      </c>
      <c r="D4" s="6"/>
      <c r="E4" s="6"/>
      <c r="F4" s="6"/>
      <c r="G4" s="6"/>
    </row>
    <row r="5" spans="2:12" ht="10.5" customHeight="1">
      <c r="D5" s="55"/>
      <c r="E5" s="55"/>
      <c r="F5" s="55"/>
      <c r="G5" s="55"/>
    </row>
    <row r="6" spans="2:12" s="55" customFormat="1" ht="10.5" customHeight="1">
      <c r="D6" s="62" t="s">
        <v>6</v>
      </c>
      <c r="E6" s="62" t="s">
        <v>48</v>
      </c>
      <c r="F6" s="62" t="s">
        <v>4</v>
      </c>
      <c r="G6" s="52"/>
      <c r="H6" s="124" t="str">
        <f>IF('Input | General'!D16="Yes",'Input | General'!D13,"n/a")</f>
        <v>2021–22</v>
      </c>
      <c r="I6" s="124" t="str">
        <f>IF('Input | General'!E16="Yes",'Input | General'!E13,"n/a")</f>
        <v>2022–23</v>
      </c>
      <c r="J6" s="124" t="str">
        <f>IF('Input | General'!F16="Yes",'Input | General'!F13,"n/a")</f>
        <v>2023–24</v>
      </c>
      <c r="K6" s="124" t="str">
        <f>IF('Input | General'!G16="Yes",'Input | General'!G13,"n/a")</f>
        <v>2024–25</v>
      </c>
      <c r="L6" s="124" t="str">
        <f>IF('Input | General'!H16="Yes",'Input | General'!H13,"n/a")</f>
        <v>n/a</v>
      </c>
    </row>
    <row r="7" spans="2:12" s="55" customFormat="1" ht="10.5" customHeight="1">
      <c r="C7" s="143" t="s">
        <v>115</v>
      </c>
    </row>
    <row r="8" spans="2:12" s="55" customFormat="1" ht="10.5" customHeight="1">
      <c r="H8" s="144"/>
    </row>
    <row r="9" spans="2:12" ht="10.5" customHeight="1">
      <c r="C9" s="145" t="s">
        <v>116</v>
      </c>
      <c r="D9" s="65" t="str">
        <f>'Input | General'!$D$6</f>
        <v>AGN(SA)</v>
      </c>
      <c r="E9" s="65" t="s">
        <v>117</v>
      </c>
      <c r="F9" s="65" t="s">
        <v>118</v>
      </c>
      <c r="G9" s="55"/>
      <c r="H9" s="146">
        <v>466417</v>
      </c>
      <c r="I9" s="146">
        <f>H10</f>
        <v>471641</v>
      </c>
      <c r="J9" s="146">
        <v>476885</v>
      </c>
      <c r="K9" s="146">
        <v>483336</v>
      </c>
      <c r="L9" s="146"/>
    </row>
    <row r="10" spans="2:12" s="55" customFormat="1" ht="10.5" customHeight="1">
      <c r="C10" s="145" t="s">
        <v>119</v>
      </c>
      <c r="D10" s="65" t="str">
        <f>'Input | General'!$D$6</f>
        <v>AGN(SA)</v>
      </c>
      <c r="E10" s="65" t="s">
        <v>117</v>
      </c>
      <c r="F10" s="65" t="s">
        <v>118</v>
      </c>
      <c r="H10" s="146">
        <v>471641</v>
      </c>
      <c r="I10" s="146">
        <v>476885</v>
      </c>
      <c r="J10" s="146">
        <v>483336</v>
      </c>
      <c r="K10" s="146">
        <v>487990.39460000006</v>
      </c>
      <c r="L10" s="146"/>
    </row>
    <row r="11" spans="2:12" s="55" customFormat="1" ht="10.5" customHeight="1">
      <c r="H11" s="147"/>
      <c r="I11" s="147"/>
      <c r="J11" s="147"/>
      <c r="K11" s="147"/>
      <c r="L11" s="147"/>
    </row>
    <row r="12" spans="2:12" ht="10.5" customHeight="1">
      <c r="C12" s="64" t="s">
        <v>120</v>
      </c>
      <c r="D12" s="63" t="s">
        <v>56</v>
      </c>
      <c r="E12" s="125" t="s">
        <v>117</v>
      </c>
      <c r="F12" s="126" t="s">
        <v>118</v>
      </c>
      <c r="G12" s="55"/>
      <c r="H12" s="112">
        <f>IFERROR(AVERAGE(H9:H10),NA())</f>
        <v>469029</v>
      </c>
      <c r="I12" s="112">
        <f>IFERROR(AVERAGE(I9:I10),NA())</f>
        <v>474263</v>
      </c>
      <c r="J12" s="112">
        <f>IFERROR(AVERAGE(J9:J10),NA())</f>
        <v>480110.5</v>
      </c>
      <c r="K12" s="214">
        <f>IFERROR(AVERAGE(K9:K10),NA())</f>
        <v>485663.1973</v>
      </c>
      <c r="L12" s="112"/>
    </row>
    <row r="13" spans="2:12" s="55" customFormat="1" ht="20.25" customHeight="1"/>
    <row r="14" spans="2:12" s="55" customFormat="1" ht="10.5" customHeight="1"/>
    <row r="15" spans="2:12" ht="10.5" customHeight="1">
      <c r="B15" s="60"/>
      <c r="C15" s="145" t="str">
        <f>"Conversion to per "&amp;H15&amp;" customer basis"</f>
        <v>Conversion to per 1000 customer basis</v>
      </c>
      <c r="D15" s="151" t="s">
        <v>138</v>
      </c>
      <c r="E15" s="65" t="s">
        <v>117</v>
      </c>
      <c r="F15" s="65" t="s">
        <v>118</v>
      </c>
      <c r="H15" s="107">
        <v>1000</v>
      </c>
    </row>
    <row r="18" spans="2:12" s="55" customFormat="1" ht="10.5" customHeight="1">
      <c r="C18" s="143" t="s">
        <v>121</v>
      </c>
      <c r="H18" s="148"/>
      <c r="I18" s="148"/>
      <c r="J18" s="148"/>
    </row>
    <row r="19" spans="2:12" s="55" customFormat="1" ht="10.5" customHeight="1">
      <c r="H19" s="144"/>
    </row>
    <row r="20" spans="2:12" ht="10.5" customHeight="1">
      <c r="C20" s="145" t="s">
        <v>116</v>
      </c>
      <c r="D20" s="65" t="str">
        <f>'Input | General'!$D$6</f>
        <v>AGN(SA)</v>
      </c>
      <c r="E20" s="65" t="s">
        <v>122</v>
      </c>
      <c r="F20" s="65" t="s">
        <v>118</v>
      </c>
      <c r="G20" s="55"/>
      <c r="H20" s="146">
        <v>8270</v>
      </c>
      <c r="I20" s="146">
        <f>H21</f>
        <v>8316.5</v>
      </c>
      <c r="J20" s="146">
        <f>I21</f>
        <v>8410.6806569600067</v>
      </c>
      <c r="K20" s="146">
        <f>J21</f>
        <v>8454.8605499997066</v>
      </c>
      <c r="L20" s="146"/>
    </row>
    <row r="21" spans="2:12" s="55" customFormat="1" ht="10.5" customHeight="1">
      <c r="C21" s="145" t="s">
        <v>119</v>
      </c>
      <c r="D21" s="65" t="str">
        <f>'Input | General'!$D$6</f>
        <v>AGN(SA)</v>
      </c>
      <c r="E21" s="65" t="s">
        <v>123</v>
      </c>
      <c r="F21" s="65" t="s">
        <v>118</v>
      </c>
      <c r="H21" s="146">
        <v>8316.5</v>
      </c>
      <c r="I21" s="146">
        <v>8410.6806569600067</v>
      </c>
      <c r="J21" s="146">
        <v>8454.8605499997066</v>
      </c>
      <c r="K21" s="146">
        <v>8508.0087092350623</v>
      </c>
      <c r="L21" s="146"/>
    </row>
    <row r="22" spans="2:12" s="55" customFormat="1" ht="10.5" customHeight="1">
      <c r="H22" s="148"/>
      <c r="I22" s="148"/>
      <c r="J22" s="144"/>
    </row>
    <row r="23" spans="2:12" ht="10.5" customHeight="1">
      <c r="C23" s="64" t="s">
        <v>124</v>
      </c>
      <c r="D23" s="63" t="s">
        <v>56</v>
      </c>
      <c r="E23" s="125" t="s">
        <v>123</v>
      </c>
      <c r="F23" s="126" t="s">
        <v>118</v>
      </c>
      <c r="G23" s="55"/>
      <c r="H23" s="112">
        <f>IFERROR(AVERAGE(H20:H21),NA())</f>
        <v>8293.25</v>
      </c>
      <c r="I23" s="112">
        <f>IFERROR(AVERAGE(I20:I21),NA())</f>
        <v>8363.5903284800042</v>
      </c>
      <c r="J23" s="112">
        <f>IFERROR(AVERAGE(J20:J21),NA())</f>
        <v>8432.7706034798575</v>
      </c>
      <c r="K23" s="112">
        <f>IFERROR(AVERAGE(K20:K21),NA())</f>
        <v>8481.4346296173844</v>
      </c>
      <c r="L23" s="112"/>
    </row>
    <row r="24" spans="2:12" s="55" customFormat="1" ht="10.5" customHeight="1">
      <c r="H24" s="149"/>
      <c r="I24" s="149"/>
      <c r="J24" s="149"/>
    </row>
    <row r="25" spans="2:12" s="8" customFormat="1" ht="12.75" customHeight="1">
      <c r="B25" s="22" t="s">
        <v>125</v>
      </c>
      <c r="D25" s="6"/>
      <c r="E25" s="6"/>
      <c r="F25" s="6"/>
      <c r="G25" s="6"/>
    </row>
    <row r="26" spans="2:12" ht="10.5" customHeight="1">
      <c r="D26" s="55"/>
      <c r="E26" s="55"/>
      <c r="F26" s="55"/>
      <c r="G26" s="55"/>
    </row>
    <row r="27" spans="2:12" s="55" customFormat="1" ht="10.5" customHeight="1">
      <c r="D27" s="62" t="s">
        <v>6</v>
      </c>
      <c r="E27" s="62" t="s">
        <v>48</v>
      </c>
      <c r="F27" s="62" t="s">
        <v>4</v>
      </c>
      <c r="G27" s="52"/>
      <c r="H27" s="124" t="str">
        <f>H6</f>
        <v>2021–22</v>
      </c>
      <c r="I27" s="124" t="str">
        <f>I6</f>
        <v>2022–23</v>
      </c>
      <c r="J27" s="124" t="str">
        <f>J6</f>
        <v>2023–24</v>
      </c>
      <c r="K27" s="124" t="str">
        <f>K6</f>
        <v>2024–25</v>
      </c>
      <c r="L27" s="124" t="str">
        <f>L6</f>
        <v>n/a</v>
      </c>
    </row>
    <row r="28" spans="2:12" s="55" customFormat="1" ht="10.5" customHeight="1">
      <c r="C28" s="143" t="s">
        <v>126</v>
      </c>
      <c r="K28" s="55" t="s">
        <v>175</v>
      </c>
    </row>
    <row r="29" spans="2:12" s="55" customFormat="1" ht="10.5" customHeight="1">
      <c r="H29" s="144"/>
    </row>
    <row r="30" spans="2:12" s="55" customFormat="1" ht="10.5" customHeight="1">
      <c r="C30" s="145" t="s">
        <v>127</v>
      </c>
      <c r="D30" s="65" t="str">
        <f>'Input | General'!$D$6</f>
        <v>AGN(SA)</v>
      </c>
      <c r="E30" s="65" t="s">
        <v>128</v>
      </c>
      <c r="F30" s="65" t="s">
        <v>118</v>
      </c>
      <c r="H30" s="146">
        <v>247</v>
      </c>
      <c r="I30" s="146">
        <v>267</v>
      </c>
      <c r="J30" s="146">
        <v>317</v>
      </c>
      <c r="K30" s="146">
        <f>233+233/10*2</f>
        <v>279.60000000000002</v>
      </c>
      <c r="L30" s="146"/>
    </row>
    <row r="31" spans="2:12" s="55" customFormat="1" ht="10.5" customHeight="1">
      <c r="C31" s="145" t="s">
        <v>129</v>
      </c>
      <c r="D31" s="65" t="str">
        <f>'Input | General'!$D$6</f>
        <v>AGN(SA)</v>
      </c>
      <c r="E31" s="65" t="s">
        <v>130</v>
      </c>
      <c r="F31" s="65" t="s">
        <v>118</v>
      </c>
      <c r="H31" s="146">
        <v>322835</v>
      </c>
      <c r="I31" s="146">
        <v>151415</v>
      </c>
      <c r="J31" s="146">
        <v>123166</v>
      </c>
      <c r="K31" s="146">
        <f>116093+116093/10*2</f>
        <v>139311.6</v>
      </c>
      <c r="L31" s="146"/>
    </row>
    <row r="33" spans="3:11" s="55" customFormat="1" ht="10.5" customHeight="1">
      <c r="C33" s="143" t="s">
        <v>131</v>
      </c>
    </row>
    <row r="34" spans="3:11" s="55" customFormat="1" ht="10.5" customHeight="1">
      <c r="H34" s="144"/>
    </row>
    <row r="35" spans="3:11" s="55" customFormat="1" ht="10.5" customHeight="1">
      <c r="C35" s="145" t="s">
        <v>132</v>
      </c>
      <c r="D35" s="65" t="str">
        <f>'Input | General'!$D$6</f>
        <v>AGN(SA)</v>
      </c>
      <c r="E35" s="65" t="s">
        <v>133</v>
      </c>
      <c r="F35" s="65" t="s">
        <v>118</v>
      </c>
      <c r="H35" s="146">
        <v>498</v>
      </c>
      <c r="I35" s="146">
        <v>317</v>
      </c>
      <c r="J35" s="146">
        <v>251</v>
      </c>
      <c r="K35" s="146">
        <f>206+206/10*2</f>
        <v>247.2</v>
      </c>
    </row>
    <row r="36" spans="3:11" s="55" customFormat="1" ht="10.5" customHeight="1">
      <c r="C36" s="145" t="s">
        <v>134</v>
      </c>
      <c r="D36" s="65" t="str">
        <f>'Input | General'!$D$6</f>
        <v>AGN(SA)</v>
      </c>
      <c r="E36" s="65" t="s">
        <v>133</v>
      </c>
      <c r="F36" s="65" t="s">
        <v>118</v>
      </c>
      <c r="H36" s="146">
        <v>1026</v>
      </c>
      <c r="I36" s="146">
        <v>841</v>
      </c>
      <c r="J36" s="146">
        <v>757</v>
      </c>
      <c r="K36" s="146">
        <f>AVERAGE(H36:J36)</f>
        <v>874.66666666666663</v>
      </c>
    </row>
    <row r="37" spans="3:11" s="55" customFormat="1" ht="10.5" customHeight="1">
      <c r="C37" s="145" t="s">
        <v>135</v>
      </c>
      <c r="D37" s="65" t="str">
        <f>'Input | General'!$D$6</f>
        <v>AGN(SA)</v>
      </c>
      <c r="E37" s="65" t="s">
        <v>133</v>
      </c>
      <c r="F37" s="65" t="s">
        <v>118</v>
      </c>
      <c r="H37" s="146">
        <v>4204</v>
      </c>
      <c r="I37" s="146">
        <v>3401</v>
      </c>
      <c r="J37" s="146">
        <v>3941</v>
      </c>
      <c r="K37" s="146">
        <f>3054+3054/10*2</f>
        <v>3664.8</v>
      </c>
    </row>
    <row r="38" spans="3:11" s="55" customFormat="1" ht="10.5" customHeight="1">
      <c r="H38" s="144"/>
      <c r="J38" s="150"/>
    </row>
    <row r="39" spans="3:11" s="55" customFormat="1" ht="10.5" hidden="1" customHeight="1">
      <c r="C39" s="143" t="s">
        <v>148</v>
      </c>
      <c r="H39" s="144"/>
      <c r="J39" s="150"/>
    </row>
    <row r="40" spans="3:11" s="55" customFormat="1" ht="10.5" hidden="1" customHeight="1">
      <c r="H40" s="144"/>
      <c r="J40" s="150"/>
    </row>
    <row r="41" spans="3:11" s="55" customFormat="1" ht="10.5" hidden="1" customHeight="1">
      <c r="C41" s="145" t="s">
        <v>148</v>
      </c>
      <c r="D41" s="65" t="str">
        <f>'Input | General'!$D$6</f>
        <v>AGN(SA)</v>
      </c>
      <c r="E41" s="65" t="s">
        <v>133</v>
      </c>
      <c r="F41" s="65" t="s">
        <v>118</v>
      </c>
      <c r="H41" s="201"/>
      <c r="I41" s="201"/>
      <c r="J41" s="201"/>
      <c r="K41" s="201"/>
    </row>
    <row r="42" spans="3:11" s="55" customFormat="1" ht="10.5" hidden="1" customHeight="1"/>
    <row r="43" spans="3:11" s="55" customFormat="1" ht="10.5" hidden="1" customHeight="1">
      <c r="C43" s="143" t="s">
        <v>149</v>
      </c>
    </row>
    <row r="44" spans="3:11" s="55" customFormat="1" ht="10.5" hidden="1" customHeight="1"/>
    <row r="45" spans="3:11" s="55" customFormat="1" ht="10.5" hidden="1" customHeight="1">
      <c r="C45" s="145" t="s">
        <v>150</v>
      </c>
      <c r="D45" s="65" t="str">
        <f>'Input | General'!$D$6</f>
        <v>AGN(SA)</v>
      </c>
      <c r="E45" s="65" t="s">
        <v>133</v>
      </c>
      <c r="F45" s="65" t="s">
        <v>118</v>
      </c>
      <c r="H45" s="201"/>
      <c r="I45" s="201"/>
      <c r="J45" s="201"/>
      <c r="K45" s="201"/>
    </row>
    <row r="46" spans="3:11" s="55" customFormat="1" ht="10.5" hidden="1" customHeight="1">
      <c r="C46" s="145" t="s">
        <v>151</v>
      </c>
      <c r="D46" s="65" t="str">
        <f>'Input | General'!$D$6</f>
        <v>AGN(SA)</v>
      </c>
      <c r="E46" s="65" t="s">
        <v>133</v>
      </c>
      <c r="F46" s="65" t="s">
        <v>118</v>
      </c>
      <c r="H46" s="201"/>
      <c r="I46" s="201"/>
      <c r="J46" s="201"/>
      <c r="K46" s="201"/>
    </row>
    <row r="47" spans="3:11" s="55" customFormat="1" ht="10.5" hidden="1" customHeight="1">
      <c r="C47" s="145" t="s">
        <v>152</v>
      </c>
      <c r="D47" s="65" t="str">
        <f>'Input | General'!$D$6</f>
        <v>AGN(SA)</v>
      </c>
      <c r="E47" s="65" t="s">
        <v>133</v>
      </c>
      <c r="F47" s="65" t="s">
        <v>118</v>
      </c>
      <c r="H47" s="201"/>
      <c r="I47" s="201"/>
      <c r="J47" s="201"/>
      <c r="K47" s="201"/>
    </row>
    <row r="49" spans="2:14" s="8" customFormat="1" ht="12.75" customHeight="1">
      <c r="B49" s="61" t="s">
        <v>136</v>
      </c>
      <c r="D49" s="15"/>
      <c r="E49" s="15"/>
      <c r="F49" s="15"/>
      <c r="G49" s="15"/>
    </row>
    <row r="50" spans="2:14" ht="10.5" customHeight="1">
      <c r="B50" s="60"/>
      <c r="C50" s="2"/>
    </row>
    <row r="51" spans="2:14" ht="10.5" customHeight="1">
      <c r="B51" s="60"/>
      <c r="C51" s="55"/>
      <c r="D51" s="62" t="s">
        <v>6</v>
      </c>
      <c r="E51" s="62" t="s">
        <v>48</v>
      </c>
      <c r="F51" s="62" t="s">
        <v>4</v>
      </c>
      <c r="G51" s="52"/>
      <c r="H51" s="124" t="str">
        <f>H6</f>
        <v>2021–22</v>
      </c>
      <c r="I51" s="124" t="str">
        <f>I6</f>
        <v>2022–23</v>
      </c>
      <c r="J51" s="124" t="str">
        <f>J6</f>
        <v>2023–24</v>
      </c>
      <c r="K51" s="124" t="str">
        <f>K6</f>
        <v>2024–25</v>
      </c>
      <c r="L51" s="124" t="str">
        <f>L6</f>
        <v>n/a</v>
      </c>
      <c r="M51" s="55"/>
      <c r="N51" s="124" t="s">
        <v>137</v>
      </c>
    </row>
    <row r="52" spans="2:14" ht="10.5" customHeight="1">
      <c r="B52" s="60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</row>
    <row r="53" spans="2:14" ht="10.5" customHeight="1">
      <c r="B53" s="60"/>
      <c r="C53" s="145" t="s">
        <v>100</v>
      </c>
      <c r="D53" s="65" t="s">
        <v>56</v>
      </c>
      <c r="E53" s="65" t="s">
        <v>140</v>
      </c>
      <c r="F53" s="65" t="s">
        <v>118</v>
      </c>
      <c r="G53" s="55"/>
      <c r="H53" s="152">
        <f>IF(H$51="n/a","",H30/H$12*$H$15)</f>
        <v>0.52661988917529623</v>
      </c>
      <c r="I53" s="152">
        <f t="shared" ref="I53:L53" si="0">IF(I$51="n/a","",I30/I$12*$H$15)</f>
        <v>0.56297876916394485</v>
      </c>
      <c r="J53" s="152">
        <f t="shared" si="0"/>
        <v>0.6602646682378327</v>
      </c>
      <c r="K53" s="152">
        <f>IF(K$51="n/a","",K30/K$12*$H$15)</f>
        <v>0.57570761291860406</v>
      </c>
      <c r="L53" s="152" t="str">
        <f t="shared" si="0"/>
        <v/>
      </c>
      <c r="N53" s="152">
        <f>AVERAGEIF(H53:L53,"&lt;&gt;#N/A")</f>
        <v>0.5813927348739194</v>
      </c>
    </row>
    <row r="54" spans="2:14" ht="10.5" customHeight="1">
      <c r="B54" s="60"/>
      <c r="C54" s="145" t="s">
        <v>99</v>
      </c>
      <c r="D54" s="65" t="s">
        <v>56</v>
      </c>
      <c r="E54" s="65" t="s">
        <v>141</v>
      </c>
      <c r="F54" s="65" t="s">
        <v>118</v>
      </c>
      <c r="G54" s="99"/>
      <c r="H54" s="152">
        <f>IF(H$51="n/a","",H31/H$12*$H$15)</f>
        <v>688.30498753808399</v>
      </c>
      <c r="I54" s="152">
        <f t="shared" ref="I54:L54" si="1">IF(I$51="n/a","",I31/I$12*$H$15)</f>
        <v>319.26378401857198</v>
      </c>
      <c r="J54" s="152">
        <f t="shared" si="1"/>
        <v>256.53677642959275</v>
      </c>
      <c r="K54" s="152">
        <f t="shared" si="1"/>
        <v>286.84817127278757</v>
      </c>
      <c r="L54" s="152" t="str">
        <f t="shared" si="1"/>
        <v/>
      </c>
      <c r="N54" s="152">
        <f>AVERAGEIF(H54:L54,"&lt;&gt;#N/A")</f>
        <v>387.73842981475906</v>
      </c>
    </row>
    <row r="55" spans="2:14" ht="10.5" customHeight="1">
      <c r="B55" s="60"/>
      <c r="C55" s="145" t="s">
        <v>163</v>
      </c>
      <c r="D55" s="65" t="s">
        <v>56</v>
      </c>
      <c r="E55" s="65" t="s">
        <v>142</v>
      </c>
      <c r="F55" s="65" t="s">
        <v>118</v>
      </c>
      <c r="G55" s="99"/>
      <c r="H55" s="152">
        <f>IF(H$51="n/a","",H35/H$23)</f>
        <v>6.0048834895849036E-2</v>
      </c>
      <c r="I55" s="152">
        <f t="shared" ref="I55:K55" si="2">IF(I$51="n/a","",I35/I$23)</f>
        <v>3.7902382535469244E-2</v>
      </c>
      <c r="J55" s="152">
        <f t="shared" si="2"/>
        <v>2.9764831963580585E-2</v>
      </c>
      <c r="K55" s="152">
        <f t="shared" si="2"/>
        <v>2.9146012531508683E-2</v>
      </c>
      <c r="L55" s="152" t="str">
        <f t="shared" ref="L55:L56" si="3">IF(L$51="n/a","",SUM(L35,L36)/L$23)</f>
        <v/>
      </c>
      <c r="N55" s="152">
        <f>AVERAGEIF(H55:L55,"&lt;&gt;#N/A")</f>
        <v>3.921551548160189E-2</v>
      </c>
    </row>
    <row r="56" spans="2:14" ht="10.5" customHeight="1">
      <c r="B56" s="60"/>
      <c r="C56" s="145" t="s">
        <v>162</v>
      </c>
      <c r="D56" s="65" t="s">
        <v>56</v>
      </c>
      <c r="E56" s="65" t="s">
        <v>145</v>
      </c>
      <c r="F56" s="65" t="s">
        <v>118</v>
      </c>
      <c r="G56" s="99"/>
      <c r="H56" s="152">
        <f>IF(H$51="n/a","",H36/H$12*$H$15)</f>
        <v>2.1874980011896921</v>
      </c>
      <c r="I56" s="152">
        <f t="shared" ref="I56:K56" si="4">IF(I$51="n/a","",I36/I$12*$H$15)</f>
        <v>1.773277696130628</v>
      </c>
      <c r="J56" s="152">
        <f t="shared" si="4"/>
        <v>1.5767203591673167</v>
      </c>
      <c r="K56" s="152">
        <f t="shared" si="4"/>
        <v>1.8009737437987801</v>
      </c>
      <c r="L56" s="152" t="str">
        <f t="shared" si="3"/>
        <v/>
      </c>
      <c r="N56" s="152">
        <f>AVERAGEIF(H56:L56,"&lt;&gt;#N/A")</f>
        <v>1.8346174500716041</v>
      </c>
    </row>
    <row r="57" spans="2:14" ht="10.5" customHeight="1">
      <c r="B57" s="60"/>
      <c r="C57" s="181" t="s">
        <v>103</v>
      </c>
      <c r="D57" s="65" t="s">
        <v>56</v>
      </c>
      <c r="E57" s="65" t="s">
        <v>145</v>
      </c>
      <c r="F57" s="65" t="s">
        <v>118</v>
      </c>
      <c r="G57" s="99"/>
      <c r="H57" s="152">
        <f>IF(H$51="n/a","",H37/H$12*$H$15)</f>
        <v>8.9631984376232587</v>
      </c>
      <c r="I57" s="152">
        <f>IF(I$51="n/a","",I37/I$12*$H$15)</f>
        <v>7.1711265690133956</v>
      </c>
      <c r="J57" s="152">
        <f>IF(J$51="n/a","",J37/J$12*$H$15)</f>
        <v>8.2085269953479454</v>
      </c>
      <c r="K57" s="152">
        <f t="shared" ref="K57:L57" si="5">IF(K$51="n/a","",K37/K$12*$H$15)</f>
        <v>7.5459701710447069</v>
      </c>
      <c r="L57" s="152" t="str">
        <f t="shared" si="5"/>
        <v/>
      </c>
      <c r="N57" s="152">
        <f>AVERAGEIF(H57:L57,"&lt;&gt;#N/A")</f>
        <v>7.9722055432573269</v>
      </c>
    </row>
    <row r="58" spans="2:14" ht="10.5" hidden="1" customHeight="1">
      <c r="B58" s="60"/>
      <c r="C58" s="198" t="s">
        <v>144</v>
      </c>
      <c r="D58" s="199" t="s">
        <v>56</v>
      </c>
      <c r="E58" s="199" t="s">
        <v>143</v>
      </c>
      <c r="F58" s="199" t="s">
        <v>118</v>
      </c>
      <c r="G58" s="200"/>
      <c r="H58" s="190"/>
      <c r="I58" s="190"/>
      <c r="J58" s="190"/>
      <c r="K58" s="190"/>
      <c r="L58" s="190"/>
      <c r="M58" s="196"/>
      <c r="N58" s="190"/>
    </row>
    <row r="59" spans="2:14" ht="10.5" hidden="1" customHeight="1">
      <c r="B59" s="60"/>
      <c r="C59" s="198" t="s">
        <v>146</v>
      </c>
      <c r="D59" s="199" t="s">
        <v>56</v>
      </c>
      <c r="E59" s="199" t="s">
        <v>147</v>
      </c>
      <c r="F59" s="199" t="s">
        <v>118</v>
      </c>
      <c r="G59" s="200"/>
      <c r="H59" s="197"/>
      <c r="I59" s="197"/>
      <c r="J59" s="197"/>
      <c r="K59" s="197"/>
      <c r="L59" s="190"/>
      <c r="M59" s="196"/>
      <c r="N59" s="190"/>
    </row>
    <row r="60" spans="2:14" ht="10.5" customHeight="1">
      <c r="B60" s="60"/>
      <c r="C60" s="2"/>
      <c r="M60" s="59"/>
    </row>
    <row r="61" spans="2:14" s="50" customFormat="1" ht="12.75" customHeight="1">
      <c r="B61" s="22" t="s">
        <v>30</v>
      </c>
      <c r="D61" s="51"/>
      <c r="E61" s="51"/>
      <c r="F61" s="51"/>
    </row>
  </sheetData>
  <conditionalFormatting sqref="H41:K41">
    <cfRule type="expression" dxfId="12" priority="1">
      <formula>H$6="n/a"</formula>
    </cfRule>
  </conditionalFormatting>
  <conditionalFormatting sqref="H45:K47">
    <cfRule type="expression" dxfId="11" priority="4">
      <formula>H$6="n/a"</formula>
    </cfRule>
  </conditionalFormatting>
  <conditionalFormatting sqref="H9:L10">
    <cfRule type="expression" dxfId="10" priority="14">
      <formula>H$6="n/a"</formula>
    </cfRule>
  </conditionalFormatting>
  <conditionalFormatting sqref="H20:L21">
    <cfRule type="expression" dxfId="9" priority="12">
      <formula>H$6="n/a"</formula>
    </cfRule>
  </conditionalFormatting>
  <conditionalFormatting sqref="H30:L31">
    <cfRule type="expression" dxfId="8" priority="10">
      <formula>H$6="n/a"</formula>
    </cfRule>
  </conditionalFormatting>
  <conditionalFormatting sqref="H35:L37">
    <cfRule type="expression" dxfId="7" priority="7">
      <formula>H$6="n/a"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B3A73-F354-4F28-AB5D-A165A34F1255}">
  <sheetPr>
    <tabColor rgb="FFFFFF99"/>
  </sheetPr>
  <dimension ref="A1:AR49"/>
  <sheetViews>
    <sheetView topLeftCell="B10" workbookViewId="0">
      <selection activeCell="R26" sqref="R26"/>
    </sheetView>
  </sheetViews>
  <sheetFormatPr defaultColWidth="0" defaultRowHeight="18" customHeight="1" zeroHeight="1"/>
  <cols>
    <col min="1" max="2" width="1.28515625" style="2" customWidth="1"/>
    <col min="3" max="3" width="49.7109375" style="13" customWidth="1"/>
    <col min="4" max="4" width="23.7109375" style="13" customWidth="1"/>
    <col min="5" max="5" width="22.28515625" style="13" customWidth="1"/>
    <col min="6" max="6" width="9.28515625" style="13" customWidth="1"/>
    <col min="7" max="7" width="2.7109375" style="13" customWidth="1"/>
    <col min="8" max="12" width="13.7109375" style="2" bestFit="1" customWidth="1"/>
    <col min="13" max="13" width="12.7109375" style="2" customWidth="1"/>
    <col min="14" max="14" width="13.7109375" style="2" bestFit="1" customWidth="1"/>
    <col min="15" max="43" width="12.7109375" style="2" customWidth="1"/>
    <col min="44" max="44" width="2.7109375" style="2" customWidth="1"/>
    <col min="45" max="16384" width="12.7109375" style="2" hidden="1"/>
  </cols>
  <sheetData>
    <row r="1" spans="2:13" ht="18" customHeight="1">
      <c r="B1" s="3" t="s">
        <v>177</v>
      </c>
      <c r="D1" s="3"/>
      <c r="E1" s="3"/>
      <c r="F1" s="3"/>
      <c r="G1" s="3"/>
      <c r="H1" s="79"/>
      <c r="I1" s="80" t="s">
        <v>43</v>
      </c>
      <c r="J1" s="107" t="s">
        <v>44</v>
      </c>
      <c r="K1" s="112" t="s">
        <v>32</v>
      </c>
    </row>
    <row r="2" spans="2:13" ht="18" customHeight="1">
      <c r="B2" s="10" t="s">
        <v>165</v>
      </c>
      <c r="D2" s="10"/>
      <c r="E2" s="10"/>
      <c r="F2" s="10"/>
      <c r="G2" s="10"/>
      <c r="H2" s="204"/>
    </row>
    <row r="3" spans="2:13" ht="3" customHeight="1">
      <c r="C3" s="1"/>
      <c r="D3" s="1"/>
      <c r="E3" s="1"/>
      <c r="F3" s="1"/>
      <c r="G3" s="1"/>
    </row>
    <row r="4" spans="2:13" s="8" customFormat="1" ht="12.75" customHeight="1">
      <c r="B4" s="22" t="s">
        <v>166</v>
      </c>
      <c r="D4" s="6"/>
      <c r="E4" s="6"/>
      <c r="F4" s="6"/>
      <c r="G4" s="6"/>
    </row>
    <row r="5" spans="2:13" ht="10.5" customHeight="1">
      <c r="D5" s="55"/>
      <c r="E5" s="55"/>
      <c r="F5" s="55"/>
      <c r="G5" s="55"/>
    </row>
    <row r="6" spans="2:13" s="55" customFormat="1" ht="10.5" customHeight="1">
      <c r="D6" s="62" t="s">
        <v>6</v>
      </c>
      <c r="E6" s="62" t="s">
        <v>48</v>
      </c>
      <c r="F6" s="62" t="s">
        <v>4</v>
      </c>
      <c r="G6" s="52"/>
      <c r="H6" s="205" t="s">
        <v>167</v>
      </c>
      <c r="I6" s="205" t="s">
        <v>168</v>
      </c>
      <c r="J6" s="205" t="s">
        <v>169</v>
      </c>
      <c r="K6" s="205" t="s">
        <v>170</v>
      </c>
      <c r="L6" s="205" t="s">
        <v>171</v>
      </c>
    </row>
    <row r="7" spans="2:13" s="55" customFormat="1" ht="10.5" customHeight="1">
      <c r="C7" s="143" t="s">
        <v>115</v>
      </c>
    </row>
    <row r="8" spans="2:13" s="55" customFormat="1" ht="10.5" customHeight="1"/>
    <row r="9" spans="2:13" ht="10.5" customHeight="1">
      <c r="C9" s="145" t="s">
        <v>116</v>
      </c>
      <c r="D9" s="65" t="s">
        <v>176</v>
      </c>
      <c r="E9" s="65" t="s">
        <v>117</v>
      </c>
      <c r="F9" s="65" t="s">
        <v>118</v>
      </c>
      <c r="G9" s="55"/>
      <c r="H9" s="206">
        <v>423437</v>
      </c>
      <c r="I9" s="206">
        <v>430221</v>
      </c>
      <c r="J9" s="206">
        <v>435916</v>
      </c>
      <c r="K9" s="206">
        <v>441894</v>
      </c>
      <c r="L9" s="206">
        <v>448213</v>
      </c>
      <c r="M9" s="207" t="s">
        <v>172</v>
      </c>
    </row>
    <row r="10" spans="2:13" s="55" customFormat="1" ht="10.5" customHeight="1">
      <c r="C10" s="145" t="s">
        <v>119</v>
      </c>
      <c r="D10" s="65" t="s">
        <v>176</v>
      </c>
      <c r="E10" s="65" t="s">
        <v>117</v>
      </c>
      <c r="F10" s="65" t="s">
        <v>118</v>
      </c>
      <c r="H10" s="206">
        <v>430221</v>
      </c>
      <c r="I10" s="206">
        <v>435916</v>
      </c>
      <c r="J10" s="206">
        <v>441894</v>
      </c>
      <c r="K10" s="206">
        <v>448213</v>
      </c>
      <c r="L10" s="206">
        <v>454390</v>
      </c>
      <c r="M10" s="208"/>
    </row>
    <row r="11" spans="2:13" s="55" customFormat="1" ht="10.5" customHeight="1">
      <c r="H11" s="209"/>
      <c r="I11" s="209"/>
      <c r="J11" s="209"/>
      <c r="K11" s="209"/>
      <c r="L11" s="209"/>
    </row>
    <row r="12" spans="2:13" ht="10.5" customHeight="1">
      <c r="C12" s="64" t="s">
        <v>120</v>
      </c>
      <c r="D12" s="63" t="s">
        <v>56</v>
      </c>
      <c r="E12" s="125" t="s">
        <v>117</v>
      </c>
      <c r="F12" s="126" t="s">
        <v>118</v>
      </c>
      <c r="G12" s="55"/>
      <c r="H12" s="206">
        <v>426829</v>
      </c>
      <c r="I12" s="206">
        <v>433068.5</v>
      </c>
      <c r="J12" s="206">
        <v>438905</v>
      </c>
      <c r="K12" s="206">
        <v>445053.5</v>
      </c>
      <c r="L12" s="206">
        <v>451301.5</v>
      </c>
    </row>
    <row r="13" spans="2:13" s="55" customFormat="1" ht="10.5" customHeight="1"/>
    <row r="14" spans="2:13" s="55" customFormat="1" ht="10.5" customHeight="1"/>
    <row r="15" spans="2:13" ht="10.5" customHeight="1">
      <c r="B15" s="60"/>
      <c r="C15" s="145" t="str">
        <f>"Conversion to per "&amp;H15&amp;" customer basis"</f>
        <v>Conversion to per 1000 customer basis</v>
      </c>
      <c r="D15" s="65" t="s">
        <v>176</v>
      </c>
      <c r="E15" s="65" t="s">
        <v>117</v>
      </c>
      <c r="F15" s="65" t="s">
        <v>118</v>
      </c>
      <c r="H15" s="146">
        <v>1000</v>
      </c>
    </row>
    <row r="18" spans="2:13" s="55" customFormat="1" ht="10.5" customHeight="1">
      <c r="C18" s="143" t="s">
        <v>121</v>
      </c>
    </row>
    <row r="19" spans="2:13" s="55" customFormat="1" ht="10.5" customHeight="1"/>
    <row r="20" spans="2:13" ht="10.5" customHeight="1">
      <c r="C20" s="145" t="s">
        <v>116</v>
      </c>
      <c r="D20" s="65" t="s">
        <v>176</v>
      </c>
      <c r="E20" s="65" t="s">
        <v>123</v>
      </c>
      <c r="F20" s="65" t="s">
        <v>118</v>
      </c>
      <c r="G20" s="55"/>
      <c r="H20" s="146">
        <v>7741</v>
      </c>
      <c r="I20" s="146">
        <v>7829</v>
      </c>
      <c r="J20" s="146">
        <v>7902</v>
      </c>
      <c r="K20" s="146">
        <v>7977</v>
      </c>
      <c r="L20" s="146">
        <v>8072</v>
      </c>
      <c r="M20" s="207" t="s">
        <v>172</v>
      </c>
    </row>
    <row r="21" spans="2:13" s="55" customFormat="1" ht="10.5" customHeight="1">
      <c r="C21" s="145" t="s">
        <v>119</v>
      </c>
      <c r="D21" s="65" t="s">
        <v>176</v>
      </c>
      <c r="E21" s="65" t="s">
        <v>123</v>
      </c>
      <c r="F21" s="65" t="s">
        <v>118</v>
      </c>
      <c r="H21" s="146">
        <v>7829</v>
      </c>
      <c r="I21" s="146">
        <v>7902</v>
      </c>
      <c r="J21" s="146">
        <v>7977</v>
      </c>
      <c r="K21" s="146">
        <v>8072</v>
      </c>
      <c r="L21" s="146">
        <v>8140</v>
      </c>
      <c r="M21" s="208"/>
    </row>
    <row r="22" spans="2:13" s="55" customFormat="1" ht="10.5" customHeight="1"/>
    <row r="23" spans="2:13" ht="10.5" customHeight="1">
      <c r="C23" s="64" t="s">
        <v>124</v>
      </c>
      <c r="D23" s="63" t="s">
        <v>56</v>
      </c>
      <c r="E23" s="125" t="s">
        <v>123</v>
      </c>
      <c r="F23" s="126" t="s">
        <v>118</v>
      </c>
      <c r="G23" s="55"/>
      <c r="H23" s="146">
        <v>7785</v>
      </c>
      <c r="I23" s="146">
        <v>7865.5</v>
      </c>
      <c r="J23" s="146">
        <v>7939.5</v>
      </c>
      <c r="K23" s="146">
        <v>8024.5</v>
      </c>
      <c r="L23" s="146">
        <v>8106</v>
      </c>
    </row>
    <row r="24" spans="2:13" s="55" customFormat="1" ht="10.5" customHeight="1"/>
    <row r="25" spans="2:13" s="8" customFormat="1" ht="12.75" customHeight="1">
      <c r="B25" s="22" t="s">
        <v>173</v>
      </c>
      <c r="D25" s="6"/>
      <c r="E25" s="6"/>
      <c r="F25" s="6"/>
      <c r="G25" s="6"/>
    </row>
    <row r="26" spans="2:13" ht="10.5" customHeight="1">
      <c r="D26" s="55"/>
      <c r="E26" s="55"/>
      <c r="F26" s="55"/>
      <c r="G26" s="55"/>
    </row>
    <row r="27" spans="2:13" s="55" customFormat="1" ht="10.5" customHeight="1">
      <c r="D27" s="62" t="s">
        <v>6</v>
      </c>
      <c r="E27" s="62" t="s">
        <v>48</v>
      </c>
      <c r="F27" s="62" t="s">
        <v>4</v>
      </c>
      <c r="G27" s="52"/>
      <c r="H27" s="124" t="str">
        <f>H6</f>
        <v>2014/15</v>
      </c>
      <c r="I27" s="124" t="str">
        <f>I6</f>
        <v>2015/16</v>
      </c>
      <c r="J27" s="124" t="str">
        <f>J6</f>
        <v>2016/17</v>
      </c>
      <c r="K27" s="124" t="str">
        <f>K6</f>
        <v>2017/18</v>
      </c>
      <c r="L27" s="124" t="str">
        <f>L6</f>
        <v>2018/19</v>
      </c>
    </row>
    <row r="28" spans="2:13" s="55" customFormat="1" ht="10.5" customHeight="1">
      <c r="C28" s="143" t="s">
        <v>126</v>
      </c>
    </row>
    <row r="29" spans="2:13" s="55" customFormat="1" ht="10.5" customHeight="1"/>
    <row r="30" spans="2:13" s="55" customFormat="1" ht="10.5" customHeight="1">
      <c r="C30" s="145" t="s">
        <v>127</v>
      </c>
      <c r="D30" s="65" t="s">
        <v>176</v>
      </c>
      <c r="E30" s="65" t="s">
        <v>128</v>
      </c>
      <c r="F30" s="65" t="s">
        <v>118</v>
      </c>
      <c r="H30" s="146">
        <v>146</v>
      </c>
      <c r="I30" s="146">
        <v>229</v>
      </c>
      <c r="J30" s="146">
        <v>322</v>
      </c>
      <c r="K30" s="146">
        <v>302</v>
      </c>
      <c r="L30" s="146">
        <v>293</v>
      </c>
    </row>
    <row r="31" spans="2:13" s="55" customFormat="1" ht="10.5" customHeight="1">
      <c r="C31" s="145" t="s">
        <v>129</v>
      </c>
      <c r="D31" s="65" t="s">
        <v>176</v>
      </c>
      <c r="E31" s="65" t="s">
        <v>130</v>
      </c>
      <c r="F31" s="65" t="s">
        <v>118</v>
      </c>
      <c r="H31" s="146">
        <v>113397.13478672298</v>
      </c>
      <c r="I31" s="146">
        <v>56294.938295603693</v>
      </c>
      <c r="J31" s="146">
        <v>96065.783331388375</v>
      </c>
      <c r="K31" s="146">
        <v>140739.7377</v>
      </c>
      <c r="L31" s="146">
        <v>272785.92479999998</v>
      </c>
    </row>
    <row r="33" spans="2:14" s="55" customFormat="1" ht="10.5" customHeight="1">
      <c r="C33" s="143" t="s">
        <v>131</v>
      </c>
      <c r="N33" s="2"/>
    </row>
    <row r="34" spans="2:14" s="55" customFormat="1" ht="10.5" customHeight="1">
      <c r="N34" s="2"/>
    </row>
    <row r="35" spans="2:14" s="55" customFormat="1" ht="10.5" customHeight="1">
      <c r="C35" s="145" t="s">
        <v>132</v>
      </c>
      <c r="D35" s="65" t="s">
        <v>176</v>
      </c>
      <c r="E35" s="65" t="s">
        <v>133</v>
      </c>
      <c r="F35" s="65" t="s">
        <v>118</v>
      </c>
      <c r="H35" s="146">
        <v>1288</v>
      </c>
      <c r="I35" s="146">
        <v>1151</v>
      </c>
      <c r="J35" s="146">
        <v>620</v>
      </c>
      <c r="K35" s="146">
        <v>638</v>
      </c>
      <c r="L35" s="146">
        <v>518</v>
      </c>
      <c r="N35" s="2"/>
    </row>
    <row r="36" spans="2:14" s="55" customFormat="1" ht="10.5" customHeight="1">
      <c r="C36" s="145" t="s">
        <v>134</v>
      </c>
      <c r="D36" s="65" t="s">
        <v>176</v>
      </c>
      <c r="E36" s="65" t="s">
        <v>133</v>
      </c>
      <c r="F36" s="65" t="s">
        <v>118</v>
      </c>
      <c r="H36" s="146">
        <v>1618</v>
      </c>
      <c r="I36" s="146">
        <v>2951</v>
      </c>
      <c r="J36" s="146">
        <v>1140</v>
      </c>
      <c r="K36" s="146">
        <v>1348</v>
      </c>
      <c r="L36" s="146">
        <v>1149</v>
      </c>
      <c r="N36" s="2"/>
    </row>
    <row r="37" spans="2:14" s="55" customFormat="1" ht="10.5" customHeight="1">
      <c r="C37" s="145" t="s">
        <v>135</v>
      </c>
      <c r="D37" s="65" t="s">
        <v>176</v>
      </c>
      <c r="E37" s="65" t="s">
        <v>133</v>
      </c>
      <c r="F37" s="65" t="s">
        <v>118</v>
      </c>
      <c r="H37" s="146">
        <v>5828</v>
      </c>
      <c r="I37" s="146">
        <v>4822</v>
      </c>
      <c r="J37" s="146">
        <v>5354</v>
      </c>
      <c r="K37" s="146">
        <v>5484</v>
      </c>
      <c r="L37" s="146">
        <v>5614</v>
      </c>
      <c r="N37" s="2"/>
    </row>
    <row r="38" spans="2:14" s="55" customFormat="1" ht="15">
      <c r="N38" s="2"/>
    </row>
    <row r="39" spans="2:14" s="8" customFormat="1" ht="12.75" customHeight="1">
      <c r="B39" s="61" t="s">
        <v>136</v>
      </c>
      <c r="D39" s="15"/>
      <c r="E39" s="15"/>
      <c r="F39" s="15"/>
      <c r="G39" s="15"/>
    </row>
    <row r="40" spans="2:14" ht="10.5" customHeight="1">
      <c r="B40" s="60"/>
      <c r="C40" s="2"/>
    </row>
    <row r="41" spans="2:14" ht="10.5" customHeight="1">
      <c r="B41" s="60"/>
      <c r="C41" s="55"/>
      <c r="D41" s="62" t="s">
        <v>6</v>
      </c>
      <c r="E41" s="62" t="s">
        <v>48</v>
      </c>
      <c r="F41" s="62" t="s">
        <v>4</v>
      </c>
      <c r="G41" s="52"/>
      <c r="H41" s="124" t="str">
        <f>H6</f>
        <v>2014/15</v>
      </c>
      <c r="I41" s="124" t="str">
        <f>I6</f>
        <v>2015/16</v>
      </c>
      <c r="J41" s="124" t="str">
        <f>J6</f>
        <v>2016/17</v>
      </c>
      <c r="K41" s="124" t="str">
        <f>K6</f>
        <v>2017/18</v>
      </c>
      <c r="L41" s="124" t="str">
        <f>L6</f>
        <v>2018/19</v>
      </c>
      <c r="N41" s="124" t="s">
        <v>137</v>
      </c>
    </row>
    <row r="42" spans="2:14" ht="10.5" customHeight="1">
      <c r="B42" s="60"/>
      <c r="C42" s="55"/>
      <c r="D42" s="55"/>
      <c r="E42" s="55"/>
      <c r="F42" s="55"/>
      <c r="G42" s="55"/>
      <c r="H42" s="55"/>
      <c r="I42" s="55"/>
      <c r="J42" s="55"/>
      <c r="K42" s="55"/>
      <c r="L42" s="55"/>
      <c r="N42" s="55"/>
    </row>
    <row r="43" spans="2:14" ht="10.5" customHeight="1">
      <c r="B43" s="60"/>
      <c r="C43" s="67" t="s">
        <v>100</v>
      </c>
      <c r="D43" s="65" t="s">
        <v>56</v>
      </c>
      <c r="E43" s="65" t="str">
        <f>"outages per "&amp;H15&amp;" customers"</f>
        <v>outages per 1000 customers</v>
      </c>
      <c r="F43" s="65" t="s">
        <v>118</v>
      </c>
      <c r="G43" s="55"/>
      <c r="H43" s="210">
        <f>H30/H$12*$H$15</f>
        <v>0.34205735786462493</v>
      </c>
      <c r="I43" s="210">
        <f t="shared" ref="I43:L44" si="0">I30/I$12*$H$15</f>
        <v>0.52878470726917337</v>
      </c>
      <c r="J43" s="210">
        <f t="shared" si="0"/>
        <v>0.73364395484216405</v>
      </c>
      <c r="K43" s="210">
        <f t="shared" si="0"/>
        <v>0.67857010449305533</v>
      </c>
      <c r="L43" s="210">
        <f t="shared" si="0"/>
        <v>0.64923338389081364</v>
      </c>
      <c r="N43" s="210">
        <f>AVERAGE(H43:L43)</f>
        <v>0.58645790167196621</v>
      </c>
    </row>
    <row r="44" spans="2:14" ht="10.5" customHeight="1">
      <c r="B44" s="60"/>
      <c r="C44" s="67" t="s">
        <v>99</v>
      </c>
      <c r="D44" s="65" t="s">
        <v>56</v>
      </c>
      <c r="E44" s="65" t="str">
        <f>"minutes per "&amp;H15&amp;" customers"</f>
        <v>minutes per 1000 customers</v>
      </c>
      <c r="F44" s="65" t="s">
        <v>118</v>
      </c>
      <c r="G44" s="99"/>
      <c r="H44" s="211">
        <f>H31/H$12*$H$15</f>
        <v>265.67345420935078</v>
      </c>
      <c r="I44" s="211">
        <f t="shared" si="0"/>
        <v>129.99084046889507</v>
      </c>
      <c r="J44" s="211">
        <f t="shared" si="0"/>
        <v>218.87602859705032</v>
      </c>
      <c r="K44" s="211">
        <f t="shared" si="0"/>
        <v>316.23105469342448</v>
      </c>
      <c r="L44" s="211">
        <f t="shared" si="0"/>
        <v>604.44276121395558</v>
      </c>
      <c r="N44" s="210">
        <f>AVERAGE(H44:L44)</f>
        <v>307.04282783653525</v>
      </c>
    </row>
    <row r="45" spans="2:14" ht="10.5" customHeight="1">
      <c r="B45" s="60"/>
      <c r="C45" s="67" t="s">
        <v>163</v>
      </c>
      <c r="D45" s="65" t="s">
        <v>56</v>
      </c>
      <c r="E45" s="65" t="s">
        <v>142</v>
      </c>
      <c r="F45" s="65" t="s">
        <v>118</v>
      </c>
      <c r="G45" s="99"/>
      <c r="H45" s="210">
        <f>H35/H23</f>
        <v>0.16544637122671804</v>
      </c>
      <c r="I45" s="210">
        <f>I35/I23</f>
        <v>0.14633526158540461</v>
      </c>
      <c r="J45" s="210">
        <f>J35/J23</f>
        <v>7.8090559858933178E-2</v>
      </c>
      <c r="K45" s="210">
        <f>K35/K23</f>
        <v>7.9506511309115832E-2</v>
      </c>
      <c r="L45" s="210">
        <f>L35/L23</f>
        <v>6.3903281519861826E-2</v>
      </c>
      <c r="N45" s="210">
        <f>AVERAGE(H45:L45)</f>
        <v>0.10665639710000671</v>
      </c>
    </row>
    <row r="46" spans="2:14" ht="10.5" customHeight="1">
      <c r="B46" s="60"/>
      <c r="C46" s="98" t="s">
        <v>174</v>
      </c>
      <c r="D46" s="65" t="s">
        <v>56</v>
      </c>
      <c r="E46" s="65" t="str">
        <f>"events per "&amp;H15&amp;" customers"</f>
        <v>events per 1000 customers</v>
      </c>
      <c r="F46" s="65" t="s">
        <v>118</v>
      </c>
      <c r="G46" s="99"/>
      <c r="H46" s="210">
        <f>H36/H12*$H$15</f>
        <v>3.7907452398970078</v>
      </c>
      <c r="I46" s="210">
        <f>I36/I12*$H$15</f>
        <v>6.814164502844239</v>
      </c>
      <c r="J46" s="210">
        <f>J36/J12*$H$15</f>
        <v>2.5973730078262949</v>
      </c>
      <c r="K46" s="210">
        <f>K36/K12*$H$15</f>
        <v>3.028849340584896</v>
      </c>
      <c r="L46" s="210">
        <f>L36/L12*$H$15</f>
        <v>2.5459698228346239</v>
      </c>
      <c r="N46" s="210">
        <f>AVERAGE(H46:L46)</f>
        <v>3.7554203827974129</v>
      </c>
    </row>
    <row r="47" spans="2:14" ht="10.5" customHeight="1">
      <c r="B47" s="60"/>
      <c r="C47" s="98" t="s">
        <v>103</v>
      </c>
      <c r="D47" s="65" t="s">
        <v>56</v>
      </c>
      <c r="E47" s="65" t="str">
        <f>"leaks per "&amp;H15&amp;" customers"</f>
        <v>leaks per 1000 customers</v>
      </c>
      <c r="F47" s="65" t="s">
        <v>118</v>
      </c>
      <c r="G47" s="99"/>
      <c r="H47" s="210">
        <f>H37/H12*$H$15</f>
        <v>13.654180011198864</v>
      </c>
      <c r="I47" s="210">
        <f>I37/I12*$H$15</f>
        <v>11.134497198480148</v>
      </c>
      <c r="J47" s="210">
        <f>J37/J12*$H$15</f>
        <v>12.198539547282442</v>
      </c>
      <c r="K47" s="210">
        <f>K37/K12*$H$15</f>
        <v>12.322114082913627</v>
      </c>
      <c r="L47" s="210">
        <f>L37/L12*$H$15</f>
        <v>12.439577532979616</v>
      </c>
      <c r="N47" s="210">
        <f>AVERAGE(H47:L47)</f>
        <v>12.34978167457094</v>
      </c>
    </row>
    <row r="49" spans="2:2" s="50" customFormat="1" ht="12.75" customHeight="1">
      <c r="B49" s="22" t="s">
        <v>30</v>
      </c>
    </row>
  </sheetData>
  <conditionalFormatting sqref="H15">
    <cfRule type="expression" dxfId="6" priority="5">
      <formula>H$6="n/a"</formula>
    </cfRule>
  </conditionalFormatting>
  <conditionalFormatting sqref="H9:L10">
    <cfRule type="expression" dxfId="5" priority="3">
      <formula>H$6="n/a"</formula>
    </cfRule>
  </conditionalFormatting>
  <conditionalFormatting sqref="H12:L12">
    <cfRule type="expression" dxfId="4" priority="2">
      <formula>H$6="n/a"</formula>
    </cfRule>
  </conditionalFormatting>
  <conditionalFormatting sqref="H20:L21">
    <cfRule type="expression" dxfId="3" priority="7">
      <formula>H$6="n/a"</formula>
    </cfRule>
  </conditionalFormatting>
  <conditionalFormatting sqref="H23:L23">
    <cfRule type="expression" dxfId="2" priority="4">
      <formula>H$6="n/a"</formula>
    </cfRule>
  </conditionalFormatting>
  <conditionalFormatting sqref="H30:L31">
    <cfRule type="expression" dxfId="1" priority="1">
      <formula>H$6="n/a"</formula>
    </cfRule>
  </conditionalFormatting>
  <conditionalFormatting sqref="H35:L37">
    <cfRule type="expression" dxfId="0" priority="6">
      <formula>H$6="n/a"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31CCE-420A-44D6-8FD4-4D7D06EFB707}">
  <sheetPr>
    <tabColor rgb="FFFFFF99"/>
  </sheetPr>
  <dimension ref="A1:W24"/>
  <sheetViews>
    <sheetView zoomScale="115" zoomScaleNormal="115" workbookViewId="0">
      <selection activeCell="F11" sqref="F11"/>
    </sheetView>
  </sheetViews>
  <sheetFormatPr defaultColWidth="0" defaultRowHeight="0" customHeight="1" zeroHeight="1"/>
  <cols>
    <col min="1" max="2" width="1.28515625" style="11" customWidth="1"/>
    <col min="3" max="3" width="56.7109375" style="12" customWidth="1"/>
    <col min="4" max="4" width="27.5703125" style="12" customWidth="1"/>
    <col min="5" max="5" width="14.28515625" style="11" customWidth="1"/>
    <col min="6" max="7" width="12.7109375" style="11" customWidth="1"/>
    <col min="8" max="8" width="17.85546875" style="11" customWidth="1"/>
    <col min="9" max="9" width="14.5703125" style="11" customWidth="1"/>
    <col min="10" max="10" width="9.42578125" style="11" customWidth="1"/>
    <col min="11" max="11" width="11.42578125" style="11" customWidth="1"/>
    <col min="12" max="13" width="2.85546875" style="11" customWidth="1"/>
    <col min="14" max="23" width="9.140625" style="11" hidden="1" customWidth="1"/>
    <col min="24" max="16384" width="12.7109375" style="11" hidden="1"/>
  </cols>
  <sheetData>
    <row r="1" spans="2:10" s="2" customFormat="1" ht="18" customHeight="1">
      <c r="B1" s="3" t="e">
        <f>#REF!&amp;" "&amp;#REF!&amp;" "&amp;#REF!&amp;" - "&amp;"Capital expenditure sharing scheme model"</f>
        <v>#REF!</v>
      </c>
      <c r="G1" s="79"/>
      <c r="H1" s="80" t="s">
        <v>43</v>
      </c>
      <c r="I1" s="107" t="s">
        <v>44</v>
      </c>
      <c r="J1" s="112" t="s">
        <v>32</v>
      </c>
    </row>
    <row r="2" spans="2:10" s="2" customFormat="1" ht="18" customHeight="1">
      <c r="B2" s="10" t="s">
        <v>97</v>
      </c>
    </row>
    <row r="3" spans="2:10" s="2" customFormat="1" ht="3" customHeight="1">
      <c r="B3" s="1"/>
    </row>
    <row r="4" spans="2:10" s="50" customFormat="1" ht="12.75" customHeight="1">
      <c r="B4" s="61" t="s">
        <v>136</v>
      </c>
    </row>
    <row r="5" spans="2:10" s="23" customFormat="1" ht="11.25" customHeight="1">
      <c r="C5" s="24"/>
      <c r="D5" s="24"/>
    </row>
    <row r="6" spans="2:10" s="57" customFormat="1" ht="11.25" customHeight="1">
      <c r="C6" s="56"/>
      <c r="D6" s="56"/>
    </row>
    <row r="7" spans="2:10" s="57" customFormat="1" ht="11.25" customHeight="1">
      <c r="C7" s="74" t="s">
        <v>104</v>
      </c>
      <c r="D7" s="74"/>
    </row>
    <row r="8" spans="2:10" s="57" customFormat="1" ht="11.25" customHeight="1">
      <c r="C8" s="56"/>
      <c r="D8" s="56"/>
      <c r="E8" s="58"/>
      <c r="F8" s="58"/>
      <c r="G8" s="58"/>
      <c r="H8" s="58"/>
      <c r="I8" s="58"/>
    </row>
    <row r="9" spans="2:10" s="57" customFormat="1" ht="11.25" customHeight="1">
      <c r="C9" s="56"/>
      <c r="D9" s="56"/>
      <c r="E9" s="140" t="s">
        <v>98</v>
      </c>
      <c r="F9" s="140" t="s">
        <v>7</v>
      </c>
      <c r="G9" s="140" t="s">
        <v>102</v>
      </c>
      <c r="H9" s="140" t="s">
        <v>101</v>
      </c>
      <c r="I9" s="140" t="s">
        <v>105</v>
      </c>
    </row>
    <row r="10" spans="2:10" s="57" customFormat="1" ht="11.25" customHeight="1">
      <c r="C10" s="145" t="s">
        <v>100</v>
      </c>
      <c r="D10" s="23" t="s">
        <v>140</v>
      </c>
      <c r="E10" s="182">
        <v>0.58645790167196621</v>
      </c>
      <c r="F10" s="153">
        <f>'Input | Reported Performance'!N53</f>
        <v>0.5813927348739194</v>
      </c>
      <c r="G10" s="153">
        <f>200-(100*(F10/E10))</f>
        <v>100.86368804710555</v>
      </c>
      <c r="H10" s="212">
        <v>0.25</v>
      </c>
      <c r="I10" s="153">
        <f>G10*H10</f>
        <v>25.215922011776389</v>
      </c>
    </row>
    <row r="11" spans="2:10" s="57" customFormat="1" ht="11.25" customHeight="1">
      <c r="C11" s="145" t="s">
        <v>99</v>
      </c>
      <c r="D11" s="23" t="s">
        <v>141</v>
      </c>
      <c r="E11" s="182">
        <v>307.04282783653525</v>
      </c>
      <c r="F11" s="153">
        <f>'Input | Reported Performance'!N54</f>
        <v>387.73842981475906</v>
      </c>
      <c r="G11" s="157">
        <f t="shared" ref="G11:G14" si="0">200-(100*(F11/E11))</f>
        <v>73.718454019324994</v>
      </c>
      <c r="H11" s="213">
        <v>0.25</v>
      </c>
      <c r="I11" s="157">
        <f t="shared" ref="I11:I14" si="1">G11*H11</f>
        <v>18.429613504831249</v>
      </c>
    </row>
    <row r="12" spans="2:10" s="57" customFormat="1" ht="11.25" customHeight="1">
      <c r="C12" s="145" t="s">
        <v>163</v>
      </c>
      <c r="D12" s="23" t="s">
        <v>142</v>
      </c>
      <c r="E12" s="182">
        <v>0.10665639710000671</v>
      </c>
      <c r="F12" s="153">
        <f>'Input | Reported Performance'!N55</f>
        <v>3.921551548160189E-2</v>
      </c>
      <c r="G12" s="157">
        <f t="shared" si="0"/>
        <v>163.23191430812037</v>
      </c>
      <c r="H12" s="213">
        <v>0.42399999999999999</v>
      </c>
      <c r="I12" s="157">
        <f t="shared" si="1"/>
        <v>69.210331666643029</v>
      </c>
    </row>
    <row r="13" spans="2:10" s="57" customFormat="1" ht="11.25" customHeight="1">
      <c r="C13" s="145" t="s">
        <v>162</v>
      </c>
      <c r="D13" s="23" t="s">
        <v>143</v>
      </c>
      <c r="E13" s="182">
        <v>3.7554203827974129</v>
      </c>
      <c r="F13" s="153">
        <f>'Input | Reported Performance'!N56</f>
        <v>1.8346174500716041</v>
      </c>
      <c r="G13" s="157">
        <f t="shared" ref="G13" si="2">200-(100*(F13/E13))</f>
        <v>151.14748115882043</v>
      </c>
      <c r="H13" s="213">
        <v>4.9000000000000002E-2</v>
      </c>
      <c r="I13" s="157">
        <f t="shared" si="1"/>
        <v>7.4062265767822009</v>
      </c>
    </row>
    <row r="14" spans="2:10" s="57" customFormat="1" ht="11.25" customHeight="1">
      <c r="C14" s="181" t="s">
        <v>103</v>
      </c>
      <c r="D14" s="23" t="s">
        <v>143</v>
      </c>
      <c r="E14" s="182">
        <v>12.34978167457094</v>
      </c>
      <c r="F14" s="153">
        <f>'Input | Reported Performance'!N57</f>
        <v>7.9722055432573269</v>
      </c>
      <c r="G14" s="157">
        <f t="shared" si="0"/>
        <v>135.4465872083176</v>
      </c>
      <c r="H14" s="213">
        <v>2.7E-2</v>
      </c>
      <c r="I14" s="157">
        <f t="shared" si="1"/>
        <v>3.6570578546245751</v>
      </c>
    </row>
    <row r="15" spans="2:10" s="57" customFormat="1" ht="15" hidden="1" customHeight="1">
      <c r="C15" s="198" t="s">
        <v>144</v>
      </c>
      <c r="D15" s="202" t="s">
        <v>145</v>
      </c>
      <c r="E15" s="182">
        <f>'Input | Performance Targets'!N48</f>
        <v>0</v>
      </c>
      <c r="F15" s="193"/>
      <c r="G15" s="194"/>
      <c r="H15" s="191"/>
      <c r="I15" s="194"/>
    </row>
    <row r="16" spans="2:10" s="57" customFormat="1" ht="15" hidden="1" customHeight="1">
      <c r="C16" s="198" t="s">
        <v>146</v>
      </c>
      <c r="D16" s="202" t="s">
        <v>147</v>
      </c>
      <c r="E16" s="182">
        <f>'Input | Performance Targets'!N49</f>
        <v>0</v>
      </c>
      <c r="F16" s="195"/>
      <c r="G16" s="194"/>
      <c r="H16" s="192"/>
      <c r="I16" s="194"/>
    </row>
    <row r="17" spans="2:9" s="57" customFormat="1" ht="11.25" customHeight="1">
      <c r="C17" s="56" t="s">
        <v>106</v>
      </c>
      <c r="D17" s="56"/>
      <c r="E17" s="66"/>
      <c r="F17" s="66"/>
      <c r="G17" s="66"/>
      <c r="H17" s="66"/>
      <c r="I17" s="157">
        <f>SUM(I10:I14)</f>
        <v>123.91915161465744</v>
      </c>
    </row>
    <row r="18" spans="2:9" s="57" customFormat="1" ht="11.25" customHeight="1">
      <c r="C18" s="56"/>
      <c r="D18" s="56"/>
      <c r="E18" s="140" t="s">
        <v>107</v>
      </c>
      <c r="F18" s="140" t="s">
        <v>108</v>
      </c>
      <c r="G18" s="140" t="s">
        <v>109</v>
      </c>
      <c r="H18" s="183" t="s">
        <v>110</v>
      </c>
      <c r="I18" s="141"/>
    </row>
    <row r="19" spans="2:9" s="57" customFormat="1" ht="11.25" customHeight="1">
      <c r="C19" s="56" t="s">
        <v>110</v>
      </c>
      <c r="D19" s="56"/>
      <c r="E19" s="158">
        <v>1</v>
      </c>
      <c r="F19" s="158">
        <f>(I17-80)/(100-80)</f>
        <v>2.1959575807328719</v>
      </c>
      <c r="G19" s="158">
        <v>0</v>
      </c>
      <c r="H19" s="158">
        <f>IF(I17&gt;=100,1,IF(I17&lt;80,0,F19))</f>
        <v>1</v>
      </c>
      <c r="I19" s="141"/>
    </row>
    <row r="20" spans="2:9" s="57" customFormat="1" ht="11.25" customHeight="1">
      <c r="E20" s="66"/>
      <c r="F20" s="66"/>
      <c r="G20" s="66"/>
      <c r="H20" s="66"/>
      <c r="I20" s="141"/>
    </row>
    <row r="21" spans="2:9" s="57" customFormat="1" ht="11.25" customHeight="1">
      <c r="C21" s="56"/>
      <c r="D21" s="56"/>
      <c r="E21" s="66"/>
      <c r="F21" s="66"/>
      <c r="G21" s="66"/>
      <c r="H21" s="66"/>
      <c r="I21" s="141"/>
    </row>
    <row r="22" spans="2:9" s="57" customFormat="1" ht="11.25" customHeight="1">
      <c r="C22" s="66"/>
      <c r="D22" s="66"/>
      <c r="E22" s="66"/>
      <c r="F22" s="66"/>
      <c r="G22" s="66"/>
      <c r="H22" s="66"/>
      <c r="I22" s="66"/>
    </row>
    <row r="23" spans="2:9" s="57" customFormat="1" ht="11.25" customHeight="1"/>
    <row r="24" spans="2:9" s="57" customFormat="1" ht="11.25" customHeight="1">
      <c r="B24" s="22" t="s">
        <v>30</v>
      </c>
      <c r="C24" s="50"/>
      <c r="D24" s="50"/>
      <c r="E24" s="50"/>
      <c r="F24" s="50"/>
      <c r="G24" s="50"/>
      <c r="H24" s="50"/>
      <c r="I24" s="50"/>
    </row>
  </sheetData>
  <phoneticPr fontId="108" type="noConversion"/>
  <pageMargins left="0.7" right="0.7" top="0.75" bottom="0.75" header="0.3" footer="0.3"/>
  <pageSetup paperSize="9" scale="5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CCFFCC"/>
    <pageSetUpPr autoPageBreaks="0"/>
  </sheetPr>
  <dimension ref="A1:XFB49"/>
  <sheetViews>
    <sheetView zoomScale="114" zoomScaleNormal="115" workbookViewId="0">
      <selection activeCell="F34" sqref="F34"/>
    </sheetView>
  </sheetViews>
  <sheetFormatPr defaultColWidth="0" defaultRowHeight="0" customHeight="1" zeroHeight="1"/>
  <cols>
    <col min="1" max="2" width="1.28515625" style="2" customWidth="1"/>
    <col min="3" max="3" width="86.5703125" style="9" customWidth="1"/>
    <col min="4" max="8" width="12.7109375" style="2" customWidth="1"/>
    <col min="9" max="9" width="2.28515625" style="2" customWidth="1"/>
    <col min="10" max="10" width="12.7109375" style="1" customWidth="1"/>
    <col min="11" max="14" width="12.7109375" style="2" customWidth="1"/>
    <col min="15" max="16" width="2.85546875" style="2" customWidth="1"/>
    <col min="17" max="16382" width="0" style="2" hidden="1"/>
    <col min="16383" max="16384" width="12.7109375" style="2" hidden="1"/>
  </cols>
  <sheetData>
    <row r="1" spans="2:8" ht="18" customHeight="1">
      <c r="B1" s="3" t="str">
        <f>'Input | General'!$B$1</f>
        <v>AGN(SA) 2026-31 Gas AA Proposal - Capital expenditure sharing scheme model</v>
      </c>
      <c r="C1" s="2"/>
      <c r="D1" s="80" t="s">
        <v>43</v>
      </c>
      <c r="E1" s="107" t="s">
        <v>44</v>
      </c>
      <c r="F1" s="112" t="s">
        <v>32</v>
      </c>
    </row>
    <row r="2" spans="2:8" ht="18" customHeight="1">
      <c r="B2" s="10" t="s">
        <v>79</v>
      </c>
      <c r="C2" s="2"/>
    </row>
    <row r="3" spans="2:8" ht="3" customHeight="1">
      <c r="C3" s="1"/>
    </row>
    <row r="4" spans="2:8" s="8" customFormat="1" ht="12" customHeight="1">
      <c r="B4" s="22" t="s">
        <v>40</v>
      </c>
    </row>
    <row r="5" spans="2:8" ht="11.25" customHeight="1">
      <c r="C5" s="75"/>
      <c r="D5" s="75"/>
      <c r="E5" s="75"/>
      <c r="F5" s="75"/>
      <c r="G5" s="75"/>
      <c r="H5" s="75"/>
    </row>
    <row r="6" spans="2:8" ht="11.25" customHeight="1">
      <c r="C6" s="87" t="s">
        <v>11</v>
      </c>
      <c r="D6" s="88"/>
      <c r="E6" s="89"/>
      <c r="F6" s="89"/>
      <c r="G6" s="89"/>
      <c r="H6" s="89"/>
    </row>
    <row r="7" spans="2:8" ht="11.25" customHeight="1">
      <c r="C7" s="86" t="s">
        <v>9</v>
      </c>
      <c r="D7" s="124" t="str">
        <f>IF('Input | General'!D14="Yes",'Input | General'!D13,"n/a")</f>
        <v>2021–22</v>
      </c>
      <c r="E7" s="124" t="str">
        <f>IF('Input | General'!E14="Yes",'Input | General'!E13,"n/a")</f>
        <v>2022–23</v>
      </c>
      <c r="F7" s="124" t="str">
        <f>IF('Input | General'!F14="Yes",'Input | General'!F13,"n/a")</f>
        <v>2023–24</v>
      </c>
      <c r="G7" s="124" t="str">
        <f>IF('Input | General'!G14="Yes",'Input | General'!G13,"n/a")</f>
        <v>2024–25</v>
      </c>
      <c r="H7" s="128" t="str">
        <f>IF('Input | General'!H14="Yes",'Input | General'!H13,"n/a")</f>
        <v>2025–26</v>
      </c>
    </row>
    <row r="8" spans="2:8" ht="11.25" customHeight="1">
      <c r="C8" s="100" t="s">
        <v>88</v>
      </c>
      <c r="D8" s="113">
        <f>'Input | Inflation and Disc Rate'!G20</f>
        <v>2.8994637906181928E-2</v>
      </c>
      <c r="E8" s="114">
        <f>'Input | Inflation and Disc Rate'!H20</f>
        <v>2.8189251650922342E-2</v>
      </c>
      <c r="F8" s="114">
        <f>'Input | Inflation and Disc Rate'!I20</f>
        <v>2.8740015675159557E-2</v>
      </c>
      <c r="G8" s="114">
        <f>'Input | Inflation and Disc Rate'!J20</f>
        <v>2.8921903460650666E-2</v>
      </c>
      <c r="H8" s="115">
        <f>'Input | Inflation and Disc Rate'!K20</f>
        <v>2.9115095031160988E-2</v>
      </c>
    </row>
    <row r="9" spans="2:8" ht="11.25" customHeight="1">
      <c r="C9" s="103" t="s">
        <v>89</v>
      </c>
      <c r="D9" s="114">
        <f>'Input | Inflation and Disc Rate'!G22</f>
        <v>6.4991890597438928E-2</v>
      </c>
      <c r="E9" s="114">
        <f>'Input | Inflation and Disc Rate'!H22</f>
        <v>0.10871520293438297</v>
      </c>
      <c r="F9" s="114">
        <f>'Input | Inflation and Disc Rate'!I22</f>
        <v>7.0424435270559638E-2</v>
      </c>
      <c r="G9" s="114">
        <f>'Input | Inflation and Disc Rate'!J22</f>
        <v>5.3870046601136812E-2</v>
      </c>
      <c r="H9" s="115">
        <f>'Input | Inflation and Disc Rate'!K22</f>
        <v>5.9988547882095844E-2</v>
      </c>
    </row>
    <row r="10" spans="2:8" ht="11.25" customHeight="1">
      <c r="C10" s="83" t="s">
        <v>13</v>
      </c>
      <c r="D10" s="116">
        <f>'Input | Reported Capex'!H$13*'Input | Inflation and Disc Rate'!G$15*(1+'Input | Inflation and Disc Rate'!G$20)^0.5</f>
        <v>84.314792510469289</v>
      </c>
      <c r="E10" s="117">
        <f>'Input | Reported Capex'!I$13*'Input | Inflation and Disc Rate'!H$15*(1+'Input | Inflation and Disc Rate'!H$20)^0.5</f>
        <v>96.34455211406015</v>
      </c>
      <c r="F10" s="117">
        <f>'Input | Reported Capex'!J$13*'Input | Inflation and Disc Rate'!I$15*(1+'Input | Inflation and Disc Rate'!I$20)^0.5</f>
        <v>89.52234887119306</v>
      </c>
      <c r="G10" s="117">
        <f>'Input | Reported Capex'!K$13*'Input | Inflation and Disc Rate'!J$15*(1+'Input | Inflation and Disc Rate'!J$20)^0.5</f>
        <v>93.30449766869171</v>
      </c>
      <c r="H10" s="118">
        <f>'Input | Reported Capex'!L$13*'Input | Inflation and Disc Rate'!K$15*(1+'Input | Inflation and Disc Rate'!K$20)^0.5</f>
        <v>83.570422671315598</v>
      </c>
    </row>
    <row r="11" spans="2:8" ht="11.25" customHeight="1">
      <c r="C11" s="83" t="s">
        <v>15</v>
      </c>
      <c r="D11" s="119">
        <f>'Input | Reported Capex'!H24*(1+D$9)^0.5</f>
        <v>70.012480125920931</v>
      </c>
      <c r="E11" s="117">
        <f>'Input | Reported Capex'!I24*(1+E$9)^0.5</f>
        <v>72.207726405603523</v>
      </c>
      <c r="F11" s="117">
        <f>'Input | Reported Capex'!J24*(1+F$9)^0.5</f>
        <v>70.645532428871419</v>
      </c>
      <c r="G11" s="117">
        <f>'Input | Reported Capex'!K24*(1+G$9)^0.5</f>
        <v>110.04500585124241</v>
      </c>
      <c r="H11" s="118">
        <f>'Input | Reported Capex'!L24*(1+H$9)^0.5</f>
        <v>65.807170403884882</v>
      </c>
    </row>
    <row r="12" spans="2:8" s="14" customFormat="1" ht="11.25" customHeight="1">
      <c r="C12" s="83" t="s">
        <v>17</v>
      </c>
      <c r="D12" s="160">
        <f>(D10-D11)</f>
        <v>14.302312384548358</v>
      </c>
      <c r="E12" s="161">
        <f>(E10-E11)</f>
        <v>24.136825708456627</v>
      </c>
      <c r="F12" s="161">
        <f t="shared" ref="F12:H12" si="0">(F10-F11)</f>
        <v>18.87681644232164</v>
      </c>
      <c r="G12" s="161">
        <f t="shared" si="0"/>
        <v>-16.740508182550698</v>
      </c>
      <c r="H12" s="162">
        <f t="shared" si="0"/>
        <v>17.763252267430715</v>
      </c>
    </row>
    <row r="13" spans="2:8" ht="11.25" customHeight="1">
      <c r="C13" s="83" t="s">
        <v>67</v>
      </c>
      <c r="D13" s="73"/>
      <c r="E13" s="161">
        <f>$D$12*$E$8</f>
        <v>0.40317148299813688</v>
      </c>
      <c r="F13" s="161">
        <f>$D$12*$F$8*(1+'Input | Inflation and Disc Rate'!H13)</f>
        <v>0.44324128294873594</v>
      </c>
      <c r="G13" s="161">
        <f>$D$12*$G$8*(1+'Input | Inflation and Disc Rate'!H13)*(1+'Input | Inflation and Disc Rate'!I13)</f>
        <v>0.46412018420941248</v>
      </c>
      <c r="H13" s="162">
        <f>$D$12*$H$8*(1+'Input | Inflation and Disc Rate'!H13)*(1+'Input | Inflation and Disc Rate'!I13)*(1+'Input | Inflation and Disc Rate'!J13)</f>
        <v>0.47854903448690672</v>
      </c>
    </row>
    <row r="14" spans="2:8" ht="11.25" customHeight="1">
      <c r="C14" s="83" t="s">
        <v>68</v>
      </c>
      <c r="D14" s="73"/>
      <c r="E14" s="102"/>
      <c r="F14" s="161">
        <f>$E$12*F$8</f>
        <v>0.69369274920963764</v>
      </c>
      <c r="G14" s="161">
        <f>$E$12*G$8*(1+'Input | Inflation and Disc Rate'!I13)</f>
        <v>0.726369178443939</v>
      </c>
      <c r="H14" s="162">
        <f>$E$12*H$8*(1+'Input | Inflation and Disc Rate'!I13)*(1+'Input | Inflation and Disc Rate'!J13)</f>
        <v>0.74895098479180777</v>
      </c>
    </row>
    <row r="15" spans="2:8" ht="11.25" customHeight="1">
      <c r="C15" s="83" t="s">
        <v>69</v>
      </c>
      <c r="D15" s="73"/>
      <c r="E15" s="101"/>
      <c r="F15" s="101"/>
      <c r="G15" s="161">
        <f>$F$12*G$8</f>
        <v>0.54595346278924961</v>
      </c>
      <c r="H15" s="162">
        <f>$F$12*$H$8*(1+'Input | Inflation and Disc Rate'!J13)</f>
        <v>0.56292639575161185</v>
      </c>
    </row>
    <row r="16" spans="2:8" ht="11.25" customHeight="1">
      <c r="C16" s="83" t="s">
        <v>70</v>
      </c>
      <c r="D16" s="73"/>
      <c r="E16" s="101"/>
      <c r="F16" s="101"/>
      <c r="G16" s="101"/>
      <c r="H16" s="162">
        <f>$G$12*$H$8</f>
        <v>-0.48740148660489169</v>
      </c>
    </row>
    <row r="17" spans="3:8" ht="11.25" customHeight="1">
      <c r="C17" s="83" t="s">
        <v>71</v>
      </c>
      <c r="D17" s="73"/>
      <c r="E17" s="101"/>
      <c r="F17" s="101"/>
      <c r="G17" s="101"/>
      <c r="H17" s="104"/>
    </row>
    <row r="18" spans="3:8" s="14" customFormat="1" ht="11.25" customHeight="1">
      <c r="C18" s="84" t="s">
        <v>18</v>
      </c>
      <c r="D18" s="163">
        <f>SUM(D13:D17)</f>
        <v>0</v>
      </c>
      <c r="E18" s="164">
        <f>SUM(E13:E17)</f>
        <v>0.40317148299813688</v>
      </c>
      <c r="F18" s="164">
        <f t="shared" ref="F18:H18" si="1">SUM(F13:F17)</f>
        <v>1.1369340321583736</v>
      </c>
      <c r="G18" s="164">
        <f t="shared" si="1"/>
        <v>1.7364428254426012</v>
      </c>
      <c r="H18" s="165">
        <f t="shared" si="1"/>
        <v>1.3030249284254345</v>
      </c>
    </row>
    <row r="19" spans="3:8" ht="11.25" customHeight="1">
      <c r="C19" s="100" t="s">
        <v>87</v>
      </c>
      <c r="D19" s="163">
        <f>E19*(1+E$9)</f>
        <v>1.3257579845076681</v>
      </c>
      <c r="E19" s="164">
        <f>F19*(1+F$9)</f>
        <v>1.1957606254508357</v>
      </c>
      <c r="F19" s="164">
        <f>G19*(1+G$9)</f>
        <v>1.1170901803531756</v>
      </c>
      <c r="G19" s="164">
        <f>H19*(1+H$9)</f>
        <v>1.0599885478820958</v>
      </c>
      <c r="H19" s="166">
        <v>1</v>
      </c>
    </row>
    <row r="20" spans="3:8" s="14" customFormat="1" ht="11.25" customHeight="1">
      <c r="C20" s="83" t="s">
        <v>155</v>
      </c>
      <c r="D20" s="160">
        <f>D12*D19</f>
        <v>18.961404840737892</v>
      </c>
      <c r="E20" s="161">
        <f>E12*E19</f>
        <v>28.861865805541907</v>
      </c>
      <c r="F20" s="161">
        <f>F12*F19</f>
        <v>21.087106284046872</v>
      </c>
      <c r="G20" s="161">
        <f>G12*G19</f>
        <v>-17.744746959230259</v>
      </c>
      <c r="H20" s="162">
        <f>H12*H19</f>
        <v>17.763252267430715</v>
      </c>
    </row>
    <row r="21" spans="3:8" s="14" customFormat="1" ht="11.25" customHeight="1">
      <c r="C21" s="84" t="s">
        <v>156</v>
      </c>
      <c r="D21" s="163">
        <f>D18*D19</f>
        <v>0</v>
      </c>
      <c r="E21" s="164">
        <f>E18*E19</f>
        <v>0.48209658467379313</v>
      </c>
      <c r="F21" s="164">
        <f t="shared" ref="F21:H21" si="2">F18*F19</f>
        <v>1.2700578430334608</v>
      </c>
      <c r="G21" s="164">
        <f t="shared" si="2"/>
        <v>1.8406095090211865</v>
      </c>
      <c r="H21" s="165">
        <f t="shared" si="2"/>
        <v>1.3030249284254345</v>
      </c>
    </row>
    <row r="22" spans="3:8" s="66" customFormat="1" ht="11.25" customHeight="1">
      <c r="C22"/>
    </row>
    <row r="23" spans="3:8" ht="11.25" customHeight="1">
      <c r="C23" s="169" t="s">
        <v>12</v>
      </c>
      <c r="D23" s="88"/>
      <c r="E23" s="89"/>
      <c r="F23" s="89"/>
      <c r="G23" s="89"/>
      <c r="H23" s="89"/>
    </row>
    <row r="24" spans="3:8" ht="11.25" customHeight="1">
      <c r="C24" s="170" t="s">
        <v>9</v>
      </c>
      <c r="D24" s="129" t="str">
        <f>'Input | General'!$D$19</f>
        <v>2026-27</v>
      </c>
      <c r="E24" s="129" t="str">
        <f>'Input | General'!$E$19</f>
        <v>2027–28</v>
      </c>
      <c r="F24" s="129" t="str">
        <f>'Input | General'!$F$19</f>
        <v>2028–29</v>
      </c>
      <c r="G24" s="129" t="str">
        <f>'Input | General'!$G$19</f>
        <v>2029–30</v>
      </c>
      <c r="H24" s="130" t="str">
        <f>'Input | General'!$H$19</f>
        <v>2030–31</v>
      </c>
    </row>
    <row r="25" spans="3:8" ht="11.25" customHeight="1">
      <c r="C25" s="85" t="s">
        <v>66</v>
      </c>
      <c r="D25" s="120">
        <f>'Input | Inflation and Disc Rate'!L$22</f>
        <v>6.0428501672212365E-2</v>
      </c>
      <c r="E25" s="120">
        <f>'Input | Inflation and Disc Rate'!M$22</f>
        <v>6.0848501672212452E-2</v>
      </c>
      <c r="F25" s="120">
        <f>'Input | Inflation and Disc Rate'!N$22</f>
        <v>6.1688501672212182E-2</v>
      </c>
      <c r="G25" s="120">
        <f>'Input | Inflation and Disc Rate'!O$22</f>
        <v>6.2588501672212304E-2</v>
      </c>
      <c r="H25" s="121">
        <f>'Input | Inflation and Disc Rate'!P$22</f>
        <v>6.4448501672212499E-2</v>
      </c>
    </row>
    <row r="26" spans="3:8" ht="11.25" customHeight="1">
      <c r="C26" s="86" t="s">
        <v>14</v>
      </c>
      <c r="D26" s="117">
        <f>'Input | Reported Capex'!H32</f>
        <v>0</v>
      </c>
      <c r="E26" s="117">
        <f>'Input | Reported Capex'!I32</f>
        <v>0</v>
      </c>
      <c r="F26" s="117">
        <f>'Input | Reported Capex'!J32</f>
        <v>0</v>
      </c>
      <c r="G26" s="117">
        <f>'Input | Reported Capex'!K32</f>
        <v>0</v>
      </c>
      <c r="H26" s="118">
        <f>'Input | Reported Capex'!L32</f>
        <v>0</v>
      </c>
    </row>
    <row r="27" spans="3:8" ht="11.25" customHeight="1">
      <c r="C27" s="86" t="s">
        <v>16</v>
      </c>
      <c r="D27" s="167">
        <f>1/((1+D25)^(0.5))</f>
        <v>0.97108960222812524</v>
      </c>
      <c r="E27" s="161">
        <f>1/((1+E25)^(0.5)*(1+D25))</f>
        <v>0.91557078093170374</v>
      </c>
      <c r="F27" s="161">
        <f>1/((1+F25)^(0.5)*(1+E25)*(1+D25))</f>
        <v>0.86271367819505962</v>
      </c>
      <c r="G27" s="161">
        <f>1/((1+G25)^(0.5)*(1+F25)*(1+E25)*(1+D25))</f>
        <v>0.81224223984449562</v>
      </c>
      <c r="H27" s="162">
        <f>1/((1+H25)^(0.5)*(1+G25)*(1+F25)*(1+E25)*(1+D25))</f>
        <v>0.76373147163630695</v>
      </c>
    </row>
    <row r="28" spans="3:8" ht="11.25" customHeight="1">
      <c r="C28" s="170" t="s">
        <v>157</v>
      </c>
      <c r="D28" s="164">
        <f>D26*D27</f>
        <v>0</v>
      </c>
      <c r="E28" s="164">
        <f t="shared" ref="E28:G28" si="3">E26*E27</f>
        <v>0</v>
      </c>
      <c r="F28" s="164">
        <f t="shared" si="3"/>
        <v>0</v>
      </c>
      <c r="G28" s="164">
        <f t="shared" si="3"/>
        <v>0</v>
      </c>
      <c r="H28" s="165">
        <f>H26*H27</f>
        <v>0</v>
      </c>
    </row>
    <row r="29" spans="3:8" ht="11.25" customHeight="1">
      <c r="C29" s="171"/>
      <c r="D29" s="77"/>
      <c r="E29" s="77"/>
      <c r="F29" s="77"/>
      <c r="G29" s="77"/>
      <c r="H29" s="77"/>
    </row>
    <row r="30" spans="3:8" ht="11.25" customHeight="1">
      <c r="C30" s="169" t="s">
        <v>19</v>
      </c>
      <c r="D30" s="90"/>
      <c r="E30" s="76"/>
      <c r="F30" s="76"/>
      <c r="G30" s="76"/>
      <c r="H30" s="76"/>
    </row>
    <row r="31" spans="3:8" ht="11.25" customHeight="1">
      <c r="C31" s="83" t="s">
        <v>20</v>
      </c>
      <c r="D31" s="173">
        <f>SUM(D20:H20)-SUM(D28:H28)</f>
        <v>68.928882238527123</v>
      </c>
      <c r="E31" s="76"/>
      <c r="F31" s="76"/>
      <c r="G31" s="76"/>
      <c r="H31" s="76"/>
    </row>
    <row r="32" spans="3:8" ht="11.25" customHeight="1">
      <c r="C32" s="83" t="s">
        <v>21</v>
      </c>
      <c r="D32" s="172">
        <v>0.3</v>
      </c>
      <c r="E32" s="76"/>
      <c r="F32" s="76"/>
      <c r="G32" s="76"/>
      <c r="H32" s="76"/>
    </row>
    <row r="33" spans="2:8" ht="11.25" customHeight="1">
      <c r="C33" s="83" t="s">
        <v>22</v>
      </c>
      <c r="D33" s="173">
        <f>(1-D32)*D31</f>
        <v>48.250217566968985</v>
      </c>
      <c r="E33" s="76"/>
      <c r="F33" s="76"/>
      <c r="G33" s="76"/>
      <c r="H33" s="76"/>
    </row>
    <row r="34" spans="2:8" ht="11.25" customHeight="1">
      <c r="C34" s="83" t="s">
        <v>23</v>
      </c>
      <c r="D34" s="173">
        <f>D32*D31</f>
        <v>20.678664671558135</v>
      </c>
      <c r="E34" s="76"/>
      <c r="F34" s="76"/>
      <c r="G34" s="76"/>
      <c r="H34" s="76"/>
    </row>
    <row r="35" spans="2:8" ht="11.25" customHeight="1">
      <c r="C35" s="83" t="s">
        <v>24</v>
      </c>
      <c r="D35" s="173">
        <f>SUM(D21:H21)</f>
        <v>4.8957888651538752</v>
      </c>
      <c r="E35" s="76"/>
      <c r="F35" s="76"/>
      <c r="G35" s="76"/>
      <c r="H35" s="76"/>
    </row>
    <row r="36" spans="2:8" ht="11.25" customHeight="1">
      <c r="C36" s="84" t="s">
        <v>158</v>
      </c>
      <c r="D36" s="168">
        <f>D34-D35</f>
        <v>15.78287580640426</v>
      </c>
      <c r="E36" s="76"/>
      <c r="F36" s="139"/>
      <c r="G36" s="76"/>
      <c r="H36" s="76"/>
    </row>
    <row r="37" spans="2:8" ht="11.25" customHeight="1">
      <c r="D37" s="19"/>
    </row>
    <row r="38" spans="2:8" s="8" customFormat="1" ht="12" customHeight="1">
      <c r="B38" s="22" t="s">
        <v>41</v>
      </c>
    </row>
    <row r="39" spans="2:8" s="20" customFormat="1" ht="11.25" customHeight="1">
      <c r="H39" s="21"/>
    </row>
    <row r="40" spans="2:8" s="23" customFormat="1" ht="11.25" customHeight="1">
      <c r="C40" s="74"/>
      <c r="D40" s="131" t="str">
        <f>'Input | General'!D19</f>
        <v>2026-27</v>
      </c>
      <c r="E40" s="131" t="str">
        <f>'Input | General'!E19</f>
        <v>2027–28</v>
      </c>
      <c r="F40" s="131" t="str">
        <f>'Input | General'!F19</f>
        <v>2028–29</v>
      </c>
      <c r="G40" s="131" t="str">
        <f>'Input | General'!G19</f>
        <v>2029–30</v>
      </c>
      <c r="H40" s="131" t="str">
        <f>'Input | General'!H19</f>
        <v>2030–31</v>
      </c>
    </row>
    <row r="41" spans="2:8" s="23" customFormat="1" ht="11.25" customHeight="1">
      <c r="C41" s="78" t="s">
        <v>93</v>
      </c>
      <c r="D41" s="174">
        <f>1/(1+'Input | Inflation and Disc Rate'!L21)</f>
        <v>0.96809694561202497</v>
      </c>
      <c r="E41" s="174">
        <f>D41/(1+'Input | Inflation and Disc Rate'!M21)</f>
        <v>0.93684064508922105</v>
      </c>
      <c r="F41" s="174">
        <f>E41/(1+'Input | Inflation and Disc Rate'!N21)</f>
        <v>0.90587620590692408</v>
      </c>
      <c r="G41" s="174">
        <f>F41/(1+'Input | Inflation and Disc Rate'!O21)</f>
        <v>0.87519329593480988</v>
      </c>
      <c r="H41" s="175">
        <f>G41/(1+'Input | Inflation and Disc Rate'!P21)</f>
        <v>0.8440721463276496</v>
      </c>
    </row>
    <row r="42" spans="2:8" s="23" customFormat="1" ht="11.25" customHeight="1">
      <c r="C42" s="136" t="str">
        <f>CONCATENATE("CESS Payment Per Year before CPF ($", 'Output | Models'!$F$8," million)")</f>
        <v>CESS Payment Per Year before CPF ($2025–26 million)</v>
      </c>
      <c r="D42" s="215">
        <f>D36/(SUM(D41:H41))</f>
        <v>3.4840176019391231</v>
      </c>
      <c r="E42" s="176">
        <f>D42</f>
        <v>3.4840176019391231</v>
      </c>
      <c r="F42" s="176">
        <f t="shared" ref="F42:H42" si="4">E42</f>
        <v>3.4840176019391231</v>
      </c>
      <c r="G42" s="176">
        <f t="shared" si="4"/>
        <v>3.4840176019391231</v>
      </c>
      <c r="H42" s="177">
        <f t="shared" si="4"/>
        <v>3.4840176019391231</v>
      </c>
    </row>
    <row r="43" spans="2:8" s="23" customFormat="1" ht="11.25" customHeight="1">
      <c r="C43" s="135" t="s">
        <v>110</v>
      </c>
      <c r="D43" s="178">
        <f>IF($D$34&lt;=$D$35,1,'Input | Asset Performance Index'!$H$19)</f>
        <v>1</v>
      </c>
      <c r="E43" s="178">
        <f>IF($D$34&lt;=$D$35,1,'Input | Asset Performance Index'!$H$19)</f>
        <v>1</v>
      </c>
      <c r="F43" s="178">
        <f>IF($D$34&lt;=$D$35,1,'Input | Asset Performance Index'!$H$19)</f>
        <v>1</v>
      </c>
      <c r="G43" s="178">
        <f>IF($D$34&lt;=$D$35,1,'Input | Asset Performance Index'!$H$19)</f>
        <v>1</v>
      </c>
      <c r="H43" s="178">
        <f>IF($D$34&lt;=$D$35,1,'Input | Asset Performance Index'!$H$19)</f>
        <v>1</v>
      </c>
    </row>
    <row r="44" spans="2:8" s="23" customFormat="1" ht="11.25" customHeight="1">
      <c r="C44" s="135" t="str">
        <f>CONCATENATE("CESS Payment Per Year after CPF ($", 'Output | Models'!$F$8," million)")</f>
        <v>CESS Payment Per Year after CPF ($2025–26 million)</v>
      </c>
      <c r="D44" s="179">
        <f>D42*D43</f>
        <v>3.4840176019391231</v>
      </c>
      <c r="E44" s="179">
        <f t="shared" ref="E44:H44" si="5">E42*E43</f>
        <v>3.4840176019391231</v>
      </c>
      <c r="F44" s="179">
        <f t="shared" si="5"/>
        <v>3.4840176019391231</v>
      </c>
      <c r="G44" s="179">
        <f t="shared" si="5"/>
        <v>3.4840176019391231</v>
      </c>
      <c r="H44" s="179">
        <f t="shared" si="5"/>
        <v>3.4840176019391231</v>
      </c>
    </row>
    <row r="45" spans="2:8" s="66" customFormat="1" ht="11.25" customHeight="1"/>
    <row r="46" spans="2:8" s="23" customFormat="1" ht="11.25" customHeight="1">
      <c r="C46" s="136" t="str">
        <f>CONCATENATE("Total CESS Payment ($", 'Output | Models'!$F$8," million)")</f>
        <v>Total CESS Payment ($2025–26 million)</v>
      </c>
      <c r="D46" s="180">
        <f>SUM(D44:H44)</f>
        <v>17.420088009695615</v>
      </c>
      <c r="E46" s="57"/>
      <c r="F46" s="57"/>
      <c r="G46" s="57"/>
      <c r="H46" s="57"/>
    </row>
    <row r="49" spans="2:2" ht="12" customHeight="1">
      <c r="B49" s="22" t="s">
        <v>30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theme="3" tint="0.59999389629810485"/>
  </sheetPr>
  <dimension ref="B1:X11"/>
  <sheetViews>
    <sheetView tabSelected="1" zoomScale="120" zoomScaleNormal="120" workbookViewId="0">
      <selection activeCell="O8" sqref="O8"/>
    </sheetView>
  </sheetViews>
  <sheetFormatPr defaultColWidth="0" defaultRowHeight="11.25" customHeight="1" zeroHeight="1"/>
  <cols>
    <col min="1" max="2" width="1.28515625" style="42" customWidth="1"/>
    <col min="3" max="3" width="36" style="42" customWidth="1"/>
    <col min="4" max="4" width="24.7109375" style="43" customWidth="1"/>
    <col min="5" max="5" width="13.5703125" style="43" customWidth="1"/>
    <col min="6" max="6" width="9.140625" style="43" customWidth="1"/>
    <col min="7" max="9" width="2.85546875" style="43" customWidth="1"/>
    <col min="10" max="15" width="9.28515625" style="42" customWidth="1"/>
    <col min="16" max="17" width="3" style="42" customWidth="1"/>
    <col min="18" max="24" width="9.28515625" style="42" hidden="1" customWidth="1"/>
    <col min="25" max="48" width="0" style="42" hidden="1" customWidth="1"/>
    <col min="49" max="16384" width="0" style="42" hidden="1"/>
  </cols>
  <sheetData>
    <row r="1" spans="2:20" s="27" customFormat="1" ht="15.75">
      <c r="B1" s="3" t="str">
        <f>'Input | General'!$B$1</f>
        <v>AGN(SA) 2026-31 Gas AA Proposal - Capital expenditure sharing scheme model</v>
      </c>
      <c r="C1" s="28"/>
      <c r="D1" s="28"/>
      <c r="E1" s="28"/>
      <c r="F1" s="29"/>
      <c r="G1" s="29"/>
      <c r="H1" s="29"/>
      <c r="I1" s="29"/>
      <c r="J1" s="79"/>
      <c r="K1" s="80" t="s">
        <v>43</v>
      </c>
      <c r="L1" s="107" t="s">
        <v>44</v>
      </c>
      <c r="M1" s="112" t="s">
        <v>32</v>
      </c>
      <c r="R1" s="81"/>
      <c r="S1" s="66"/>
      <c r="T1" s="66"/>
    </row>
    <row r="2" spans="2:20" s="30" customFormat="1" ht="13.5" thickBot="1">
      <c r="B2" s="31" t="s">
        <v>76</v>
      </c>
      <c r="C2" s="31"/>
      <c r="D2" s="31"/>
      <c r="E2" s="31"/>
      <c r="F2" s="32"/>
      <c r="G2" s="32"/>
      <c r="H2" s="32"/>
      <c r="I2" s="32"/>
    </row>
    <row r="3" spans="2:20" s="33" customFormat="1">
      <c r="D3" s="34"/>
      <c r="E3" s="34"/>
      <c r="F3" s="34"/>
      <c r="G3" s="34"/>
      <c r="H3" s="34"/>
      <c r="I3" s="34"/>
      <c r="J3" s="216"/>
      <c r="K3" s="216"/>
      <c r="L3" s="216"/>
      <c r="M3" s="34"/>
      <c r="N3" s="216"/>
      <c r="O3" s="216"/>
      <c r="P3" s="216"/>
      <c r="Q3" s="216"/>
      <c r="R3" s="216"/>
      <c r="S3" s="216"/>
      <c r="T3" s="216"/>
    </row>
    <row r="4" spans="2:20" s="41" customFormat="1" ht="12.75">
      <c r="B4" s="36" t="s">
        <v>52</v>
      </c>
      <c r="C4" s="35"/>
      <c r="D4" s="35"/>
      <c r="E4" s="35"/>
      <c r="F4" s="35"/>
      <c r="G4" s="37"/>
      <c r="H4" s="37"/>
      <c r="I4" s="37"/>
      <c r="J4" s="38" t="s">
        <v>53</v>
      </c>
      <c r="K4" s="39"/>
      <c r="L4" s="40"/>
      <c r="M4" s="39"/>
      <c r="N4" s="40"/>
      <c r="O4" s="40"/>
      <c r="P4" s="40"/>
      <c r="Q4" s="40"/>
      <c r="R4" s="40"/>
      <c r="S4" s="40"/>
      <c r="T4" s="40"/>
    </row>
    <row r="5" spans="2:20" ht="11.25" customHeight="1">
      <c r="M5" s="44"/>
      <c r="N5" s="44"/>
      <c r="O5" s="44"/>
      <c r="P5" s="44"/>
      <c r="Q5" s="66"/>
      <c r="R5" s="66"/>
      <c r="S5" s="66"/>
      <c r="T5" s="66"/>
    </row>
    <row r="6" spans="2:20" ht="11.25" customHeight="1">
      <c r="C6" s="45" t="s">
        <v>55</v>
      </c>
      <c r="D6" s="46" t="s">
        <v>6</v>
      </c>
      <c r="E6" s="46" t="s">
        <v>48</v>
      </c>
      <c r="F6" s="46" t="s">
        <v>4</v>
      </c>
      <c r="H6" s="46"/>
      <c r="I6" s="46"/>
      <c r="J6" s="132" t="str">
        <f>'Calc | CESS Revenue Increments'!D40</f>
        <v>2026-27</v>
      </c>
      <c r="K6" s="132" t="str">
        <f>'Calc | CESS Revenue Increments'!E40</f>
        <v>2027–28</v>
      </c>
      <c r="L6" s="132" t="str">
        <f>'Calc | CESS Revenue Increments'!F40</f>
        <v>2028–29</v>
      </c>
      <c r="M6" s="132" t="str">
        <f>'Calc | CESS Revenue Increments'!G40</f>
        <v>2029–30</v>
      </c>
      <c r="N6" s="132" t="str">
        <f>'Calc | CESS Revenue Increments'!H40</f>
        <v>2030–31</v>
      </c>
      <c r="O6" s="47" t="s">
        <v>81</v>
      </c>
      <c r="P6" s="95"/>
      <c r="Q6" s="66"/>
      <c r="R6" s="66"/>
      <c r="S6" s="66"/>
      <c r="T6" s="66"/>
    </row>
    <row r="7" spans="2:20" ht="11.25" customHeight="1">
      <c r="C7" s="45"/>
      <c r="D7" s="46"/>
      <c r="E7" s="46"/>
      <c r="F7" s="46"/>
      <c r="H7" s="46"/>
      <c r="I7" s="46"/>
      <c r="O7" s="66"/>
      <c r="P7" s="66"/>
      <c r="Q7" s="66"/>
      <c r="R7" s="66"/>
      <c r="S7" s="66"/>
      <c r="T7" s="66"/>
    </row>
    <row r="8" spans="2:20" ht="11.25" customHeight="1">
      <c r="C8" s="48" t="s">
        <v>96</v>
      </c>
      <c r="D8" s="134" t="s">
        <v>54</v>
      </c>
      <c r="E8" s="43" t="s">
        <v>46</v>
      </c>
      <c r="F8" s="133" t="str">
        <f>IF(LEN(J6)&gt;4,CONCATENATE(LEFT(J6,4)-1&amp;"–"&amp;IF(RIGHT(J6,2)="00","99",IF(RIGHT(J6,2)-1&lt;10,"0","")&amp;RIGHT(J6,2)-1)),J6-1)</f>
        <v>2025–26</v>
      </c>
      <c r="H8" s="46"/>
      <c r="I8" s="46"/>
      <c r="J8" s="157">
        <f>'Calc | CESS Revenue Increments'!D44</f>
        <v>3.4840176019391231</v>
      </c>
      <c r="K8" s="157">
        <f>'Calc | CESS Revenue Increments'!E44</f>
        <v>3.4840176019391231</v>
      </c>
      <c r="L8" s="157">
        <f>'Calc | CESS Revenue Increments'!F44</f>
        <v>3.4840176019391231</v>
      </c>
      <c r="M8" s="157">
        <f>'Calc | CESS Revenue Increments'!G44</f>
        <v>3.4840176019391231</v>
      </c>
      <c r="N8" s="157">
        <f>'Calc | CESS Revenue Increments'!H44</f>
        <v>3.4840176019391231</v>
      </c>
      <c r="O8" s="189">
        <f>SUM(J8:N8)</f>
        <v>17.420088009695615</v>
      </c>
      <c r="P8" s="96"/>
      <c r="Q8" s="66"/>
      <c r="R8" s="66"/>
      <c r="S8" s="66"/>
      <c r="T8" s="66"/>
    </row>
    <row r="9" spans="2:20" ht="11.25" customHeight="1">
      <c r="C9" s="48"/>
      <c r="D9" s="49"/>
      <c r="H9" s="46"/>
      <c r="I9" s="46"/>
      <c r="Q9" s="66"/>
      <c r="R9" s="66"/>
      <c r="S9" s="66"/>
      <c r="T9" s="66"/>
    </row>
    <row r="10" spans="2:20" ht="11.25" customHeight="1">
      <c r="D10" s="49"/>
      <c r="H10" s="46"/>
      <c r="I10" s="46"/>
      <c r="J10" s="94"/>
      <c r="K10" s="94"/>
      <c r="L10" s="94"/>
      <c r="M10" s="94"/>
      <c r="N10" s="94"/>
      <c r="Q10" s="66"/>
      <c r="R10" s="66"/>
      <c r="S10" s="66"/>
      <c r="T10" s="66"/>
    </row>
    <row r="11" spans="2:20" s="41" customFormat="1" ht="12.75">
      <c r="B11" s="36" t="s">
        <v>30</v>
      </c>
      <c r="C11" s="35"/>
      <c r="D11" s="35"/>
      <c r="E11" s="35"/>
      <c r="F11" s="37"/>
      <c r="G11" s="37"/>
      <c r="H11" s="37"/>
      <c r="I11" s="37"/>
      <c r="J11" s="40"/>
      <c r="K11" s="39"/>
      <c r="L11" s="40"/>
      <c r="M11" s="39"/>
      <c r="N11" s="40"/>
      <c r="O11" s="40"/>
      <c r="P11" s="40"/>
      <c r="Q11" s="40"/>
      <c r="R11" s="40"/>
      <c r="S11" s="40"/>
      <c r="T11" s="40"/>
    </row>
  </sheetData>
  <mergeCells count="2">
    <mergeCell ref="J3:L3"/>
    <mergeCell ref="N3:T3"/>
  </mergeCells>
  <dataValidations count="1">
    <dataValidation type="list" allowBlank="1" showInputMessage="1" showErrorMessage="1" sqref="F9:F10" xr:uid="{00000000-0002-0000-0600-000000000000}">
      <formula1>#REF!</formula1>
    </dataValidation>
  </dataValidations>
  <hyperlinks>
    <hyperlink ref="D8" location="'Calc | CESS Payments'!A1" display="Calc | CESS Revenue Increments" xr:uid="{00000000-0004-0000-0600-000000000000}"/>
  </hyperlinks>
  <pageMargins left="0.7" right="0.7" top="0.75" bottom="0.75" header="0.3" footer="0.3"/>
  <pageSetup paperSize="9" orientation="portrait" verticalDpi="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F048054ACABA4B902070EE511E2BD4" ma:contentTypeVersion="15" ma:contentTypeDescription="Create a new document." ma:contentTypeScope="" ma:versionID="d749b5dc78793ef83f729c7e14ffc85a">
  <xsd:schema xmlns:xsd="http://www.w3.org/2001/XMLSchema" xmlns:xs="http://www.w3.org/2001/XMLSchema" xmlns:p="http://schemas.microsoft.com/office/2006/metadata/properties" xmlns:ns2="12fd3dd5-c654-4bca-8737-2c3d7eb702dc" xmlns:ns3="d4a19ad3-f80d-430a-a486-11f43337c9f4" targetNamespace="http://schemas.microsoft.com/office/2006/metadata/properties" ma:root="true" ma:fieldsID="7775f814b8e696590fc2d0a0a0815784" ns2:_="" ns3:_="">
    <xsd:import namespace="12fd3dd5-c654-4bca-8737-2c3d7eb702dc"/>
    <xsd:import namespace="d4a19ad3-f80d-430a-a486-11f43337c9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fd3dd5-c654-4bca-8737-2c3d7eb702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b4a0c63-b107-443f-81ac-4a77d015a5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a19ad3-f80d-430a-a486-11f43337c9f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fd9f7d5e-20db-4547-b6c8-a8838601563e}" ma:internalName="TaxCatchAll" ma:showField="CatchAllData" ma:web="d4a19ad3-f80d-430a-a486-11f43337c9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2fd3dd5-c654-4bca-8737-2c3d7eb702dc">
      <Terms xmlns="http://schemas.microsoft.com/office/infopath/2007/PartnerControls"/>
    </lcf76f155ced4ddcb4097134ff3c332f>
    <TaxCatchAll xmlns="d4a19ad3-f80d-430a-a486-11f43337c9f4" xsi:nil="true"/>
  </documentManagement>
</p:properties>
</file>

<file path=customXml/itemProps1.xml><?xml version="1.0" encoding="utf-8"?>
<ds:datastoreItem xmlns:ds="http://schemas.openxmlformats.org/officeDocument/2006/customXml" ds:itemID="{8925E918-4674-4082-BB1E-879FAAABE9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3102D5-2DC1-432B-BF93-9A68B58062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fd3dd5-c654-4bca-8737-2c3d7eb702dc"/>
    <ds:schemaRef ds:uri="d4a19ad3-f80d-430a-a486-11f43337c9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8D964EA-3C6C-44C1-9DEC-198AD06BFE46}">
  <ds:schemaRefs>
    <ds:schemaRef ds:uri="http://schemas.microsoft.com/office/2006/documentManagement/types"/>
    <ds:schemaRef ds:uri="f69beede-7b9e-489f-8a4d-ae25a14c8199"/>
    <ds:schemaRef ds:uri="http://purl.org/dc/elements/1.1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e81d0cd9-c043-4c37-9584-5b1b876d03c4"/>
    <ds:schemaRef ds:uri="http://www.w3.org/XML/1998/namespace"/>
    <ds:schemaRef ds:uri="http://purl.org/dc/terms/"/>
    <ds:schemaRef ds:uri="12fd3dd5-c654-4bca-8737-2c3d7eb702dc"/>
    <ds:schemaRef ds:uri="d4a19ad3-f80d-430a-a486-11f43337c9f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Index</vt:lpstr>
      <vt:lpstr>Input | General</vt:lpstr>
      <vt:lpstr>Input | Inflation and Disc Rate</vt:lpstr>
      <vt:lpstr>Input | Reported Capex</vt:lpstr>
      <vt:lpstr>Input | Reported Performance</vt:lpstr>
      <vt:lpstr>Input | Performance Targets</vt:lpstr>
      <vt:lpstr>Input | Asset Performance Index</vt:lpstr>
      <vt:lpstr>Calc | CESS Revenue Increments</vt:lpstr>
      <vt:lpstr>Output | Models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AER</dc:creator>
  <cp:keywords>DNSP; Reset; CESS; 2027-31; FY; VIC</cp:keywords>
  <dc:description>as provided by AER workstream on 20190918</dc:description>
  <cp:lastModifiedBy>Lisa Minervini</cp:lastModifiedBy>
  <dcterms:created xsi:type="dcterms:W3CDTF">2017-09-22T02:00:05Z</dcterms:created>
  <dcterms:modified xsi:type="dcterms:W3CDTF">2025-06-27T03:26:05Z</dcterms:modified>
  <cp:category>DNSP;Reset;CESS;2027-31;FY;VIC</cp:category>
  <cp:contentStatus>Preliminary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RI">
    <vt:lpwstr>8952110</vt:lpwstr>
  </property>
  <property fmtid="{D5CDD505-2E9C-101B-9397-08002B2CF9AE}" pid="3" name="MSIP_Label_d9d5a995-dfdf-4407-9a97-edbbc68c9f53_Enabled">
    <vt:lpwstr>true</vt:lpwstr>
  </property>
  <property fmtid="{D5CDD505-2E9C-101B-9397-08002B2CF9AE}" pid="4" name="MSIP_Label_d9d5a995-dfdf-4407-9a97-edbbc68c9f53_SetDate">
    <vt:lpwstr>2024-07-31T23:24:57Z</vt:lpwstr>
  </property>
  <property fmtid="{D5CDD505-2E9C-101B-9397-08002B2CF9AE}" pid="5" name="MSIP_Label_d9d5a995-dfdf-4407-9a97-edbbc68c9f53_Method">
    <vt:lpwstr>Privileged</vt:lpwstr>
  </property>
  <property fmtid="{D5CDD505-2E9C-101B-9397-08002B2CF9AE}" pid="6" name="MSIP_Label_d9d5a995-dfdf-4407-9a97-edbbc68c9f53_Name">
    <vt:lpwstr>OFFICIAL</vt:lpwstr>
  </property>
  <property fmtid="{D5CDD505-2E9C-101B-9397-08002B2CF9AE}" pid="7" name="MSIP_Label_d9d5a995-dfdf-4407-9a97-edbbc68c9f53_SiteId">
    <vt:lpwstr>b33e9e1a-e443-4edd-9789-24bed26d38d6</vt:lpwstr>
  </property>
  <property fmtid="{D5CDD505-2E9C-101B-9397-08002B2CF9AE}" pid="8" name="MSIP_Label_d9d5a995-dfdf-4407-9a97-edbbc68c9f53_ActionId">
    <vt:lpwstr>6ac437e0-2630-4647-9e01-d291008e3328</vt:lpwstr>
  </property>
  <property fmtid="{D5CDD505-2E9C-101B-9397-08002B2CF9AE}" pid="9" name="MSIP_Label_d9d5a995-dfdf-4407-9a97-edbbc68c9f53_ContentBits">
    <vt:lpwstr>0</vt:lpwstr>
  </property>
  <property fmtid="{D5CDD505-2E9C-101B-9397-08002B2CF9AE}" pid="10" name="ContentTypeId">
    <vt:lpwstr>0x010100A3F048054ACABA4B902070EE511E2BD4</vt:lpwstr>
  </property>
  <property fmtid="{D5CDD505-2E9C-101B-9397-08002B2CF9AE}" pid="11" name="MediaServiceImageTags">
    <vt:lpwstr/>
  </property>
</Properties>
</file>