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agig365.sharepoint.com/sites/msteams_76d7d6_547944/Shared Documents/General/AGN SA Reset RIN 2026-27 to 2030-31/FINALS TO THE AER/"/>
    </mc:Choice>
  </mc:AlternateContent>
  <xr:revisionPtr revIDLastSave="0" documentId="8_{D47F9EF6-0944-49C4-BEC7-F1E6C71743E2}" xr6:coauthVersionLast="47" xr6:coauthVersionMax="47" xr10:uidLastSave="{00000000-0000-0000-0000-000000000000}"/>
  <bookViews>
    <workbookView xWindow="-120" yWindow="-120" windowWidth="29040" windowHeight="17640" firstSheet="3" activeTab="3" xr2:uid="{00000000-000D-0000-FFFF-FFFF00000000}"/>
  </bookViews>
  <sheets>
    <sheet name="AER NRs" sheetId="9" state="veryHidden" r:id="rId1"/>
    <sheet name="AER lookups" sheetId="10" state="veryHidden" r:id="rId2"/>
    <sheet name="AER ETL" sheetId="11" state="veryHidden" r:id="rId3"/>
    <sheet name="Business &amp; other details" sheetId="13" r:id="rId4"/>
    <sheet name="Indicative bill impact" sheetId="6" r:id="rId5"/>
  </sheets>
  <externalReferences>
    <externalReference r:id="rId6"/>
  </externalReferences>
  <definedNames>
    <definedName name="ARR">'AER lookups'!$C$33</definedName>
    <definedName name="ARR_Fmt2">'AER lookups'!$D$33</definedName>
    <definedName name="CA">'AER lookups'!$C$34</definedName>
    <definedName name="CA_Fmt2">'AER lookups'!$D$34</definedName>
    <definedName name="Calendar">'AER lookups'!$C$47:$C$100</definedName>
    <definedName name="CESS">'AER lookups'!$C$35</definedName>
    <definedName name="CESS_Fmt2">'AER lookups'!$D$35</definedName>
    <definedName name="CPI">'AER lookups'!$C$36</definedName>
    <definedName name="CPI_Fmt2">'AER lookups'!$D$36</definedName>
    <definedName name="CRCP_final_year">'AER ETL'!$C$47</definedName>
    <definedName name="CRCP_start_year">'AER ETL'!$C$44</definedName>
    <definedName name="CRCP_y1">'AER lookups'!$G$47</definedName>
    <definedName name="CRCP_y10">'AER lookups'!$G$56</definedName>
    <definedName name="CRCP_y11">'AER lookups'!$G$57</definedName>
    <definedName name="CRCP_y12">'AER lookups'!$G$58</definedName>
    <definedName name="CRCP_y13">'AER lookups'!$G$59</definedName>
    <definedName name="CRCP_y14">'AER lookups'!$G$60</definedName>
    <definedName name="CRCP_y15">'AER lookups'!$G$61</definedName>
    <definedName name="CRCP_y16">'AER lookups'!$G$62</definedName>
    <definedName name="CRCP_y2">'AER lookups'!$G$48</definedName>
    <definedName name="CRCP_y3">'AER lookups'!$G$49</definedName>
    <definedName name="CRCP_y4">'AER lookups'!$G$50</definedName>
    <definedName name="CRCP_y5">'AER lookups'!$G$51</definedName>
    <definedName name="CRCP_y6">'AER lookups'!$G$52</definedName>
    <definedName name="CRCP_y7">'AER lookups'!$G$53</definedName>
    <definedName name="CRCP_y8">'AER lookups'!$G$54</definedName>
    <definedName name="CRCP_y9">'AER lookups'!$G$55</definedName>
    <definedName name="CRY">'Business &amp; other details'!$AL$54</definedName>
    <definedName name="dms_020303_01_UOM">'AER NRs'!$C$84:$C$90</definedName>
    <definedName name="dms_020501_01_UOM">'AER NRs'!$D$84:$D$96</definedName>
    <definedName name="dms_020501_02_UOM">'AER NRs'!$E$84:$E$92</definedName>
    <definedName name="dms_020501_03_UOM">'AER NRs'!$F$84:$F$93</definedName>
    <definedName name="dms_020501_04_UOM">'AER NRs'!$G$84:$G$92</definedName>
    <definedName name="dms_020603_01_UOM">'AER NRs'!$C$110:$C$114</definedName>
    <definedName name="dms_020701_01_Rows">'AER NRs'!$J$84:$J$89</definedName>
    <definedName name="dms_020701_01_UOM">'AER NRs'!$H$84:$H$89</definedName>
    <definedName name="dms_020701_02_UOM">'AER NRs'!$I$84:$I$89</definedName>
    <definedName name="dms_0306_Year">'AER ETL'!$C$86</definedName>
    <definedName name="dms_030601_01_UOM">'AER NRs'!$C$118:$C$121</definedName>
    <definedName name="dms_030601_02_UOM">'AER NRs'!$D$118:$D$121</definedName>
    <definedName name="dms_030605_UOM">'AER NRs'!$C$160:$C$173</definedName>
    <definedName name="dms_03060703_UOM">'AER NRs'!$D$160:$D$164</definedName>
    <definedName name="dms_030701_01_UOM">'AER NRs'!$E$118:$E$120</definedName>
    <definedName name="dms_030702_01_UOM">'AER NRs'!$F$118:$F$131</definedName>
    <definedName name="dms_030703_01_UOM">'AER NRs'!$G$118</definedName>
    <definedName name="dms_040102_01_UOM">'AER NRs'!$K$84:$K$87</definedName>
    <definedName name="dms_040102_04_UOM">'AER NRs'!$L$84:$L$87</definedName>
    <definedName name="dms_0502_Inst_Year">'AER ETL'!$C$65</definedName>
    <definedName name="dms_060101_Rows">'AER NRs'!$C$195</definedName>
    <definedName name="dms_060101_StartDateTxt">'AER NRs'!$E$195</definedName>
    <definedName name="dms_060101_StartDateVal">'AER ETL'!$C$107</definedName>
    <definedName name="dms_060102_Rows">'AER NRs'!$D$195</definedName>
    <definedName name="dms_0603_FeederList">'AER NRs'!$D$212:$H$212</definedName>
    <definedName name="dms_060301_Avg_Duration_Sustained_Int_Row">'AER NRs'!$D$191</definedName>
    <definedName name="dms_060301_checkvalue">'AER ETL'!$C$90</definedName>
    <definedName name="dms_060301_CustNo_Affected_Row">'AER NRs'!$C$191</definedName>
    <definedName name="dms_060301_Effect_unplanned_SAIDI_Row">'AER NRs'!$E$191</definedName>
    <definedName name="dms_060301_Effect_unplanned_SAIFI_Row">'AER NRs'!$F$191</definedName>
    <definedName name="dms_060301_LastRow">'AER ETL'!$C$92</definedName>
    <definedName name="dms_060301_MaxRows">'AER ETL'!$C$93</definedName>
    <definedName name="dms_060701_ARR_MaxRows">'AER ETL'!$C$100</definedName>
    <definedName name="dms_060701_Feeder_Header_Lvl4">'AER NRs'!$D$207:$O$207</definedName>
    <definedName name="dms_060701_MaxCols">'AER ETL'!$C$103</definedName>
    <definedName name="dms_060701_MaxRows">'AER ETL'!$C$101</definedName>
    <definedName name="dms_060701_OffsetRows">'AER ETL'!$C$104</definedName>
    <definedName name="dms_060701_Reset_MaxRows">'AER ETL'!$C$99</definedName>
    <definedName name="dms_060701_Rows">'AER NRs'!$D$209:$O$209</definedName>
    <definedName name="dms_060701_StartDateTxt">'AER ETL'!$C$106</definedName>
    <definedName name="dms_060701_StartDateVal">'AER ETL'!$C$107</definedName>
    <definedName name="dms_0608_LastRow">'AER ETL'!$C$112</definedName>
    <definedName name="dms_0608_OffsetRows">'AER ETL'!$C$111</definedName>
    <definedName name="dms_060801_01_Rows">'AER NRs'!$C$199</definedName>
    <definedName name="dms_060801_02_Rows">'AER NRs'!$D$199</definedName>
    <definedName name="dms_060801_03_Rows">'AER NRs'!$E$199</definedName>
    <definedName name="dms_060801_04_Rows">'AER NRs'!$F$199</definedName>
    <definedName name="dms_060801_MaxRows">'AER ETL'!$C$113</definedName>
    <definedName name="dms_070904_01_Rows">'AER NRs'!$D$202:$E$202</definedName>
    <definedName name="dms_070904_Start_Year">'AER ETL'!$C$116</definedName>
    <definedName name="dms_663">'AER ETL'!$C$94</definedName>
    <definedName name="dms_663_List">'AER lookups'!$N$16:$N$26</definedName>
    <definedName name="dms_ABN">'Business &amp; other details'!$AL$17</definedName>
    <definedName name="dms_ABN_List">'AER lookups'!$D$16:$D$26</definedName>
    <definedName name="dms_Addr1">'Business &amp; other details'!$AL$23</definedName>
    <definedName name="dms_Addr1_List">'AER lookups'!$P$16:$P$26</definedName>
    <definedName name="dms_Addr2">'Business &amp; other details'!$AL$24</definedName>
    <definedName name="dms_Addr2_List">'AER lookups'!$Q$16:$Q$26</definedName>
    <definedName name="dms_Amendment_Text">'Business &amp; other details'!$AL$70</definedName>
    <definedName name="dms_AmendmentReason">'AER ETL'!$C$15</definedName>
    <definedName name="dms_ARR">'AER ETL'!$C$74</definedName>
    <definedName name="dms_Beg">'AER NRs'!$C$176</definedName>
    <definedName name="dms_CA">'AER ETL'!$C$73</definedName>
    <definedName name="dms_Cal_Year_B4_CRY">'AER ETL'!$C$29</definedName>
    <definedName name="dms_CBD_flag">'AER lookups'!$Z$16:$Z$26</definedName>
    <definedName name="dms_CBD_flag_NSP">'AER ETL'!$C$121</definedName>
    <definedName name="dms_Classification">'AER ETL'!$C$25</definedName>
    <definedName name="dms_Confid_status_List">'AER NRs'!$D$6:$D$8</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'AER ETL'!$C$80</definedName>
    <definedName name="dms_CRCP_start_row">'AER ETL'!$C$40</definedName>
    <definedName name="dms_CRCPlength_List">'AER lookups'!$K$16:$K$26</definedName>
    <definedName name="dms_CRCPlength_Num">'AER ETL'!$C$69</definedName>
    <definedName name="dms_CRY_RYE">'AER ETL'!$C$53</definedName>
    <definedName name="dms_CRY_start_row">'AER ETL'!$C$38</definedName>
    <definedName name="dms_CRY_start_year">'AER ETL'!$C$37</definedName>
    <definedName name="dms_DataQuality">'AER ETL'!$C$19</definedName>
    <definedName name="dms_DataQuality_List">'AER NRs'!$C$6:$C$9</definedName>
    <definedName name="dms_Defined_Names_Used">'AER ETL'!$C$3</definedName>
    <definedName name="dms_DeterminationRef">'AER ETL'!$C$119</definedName>
    <definedName name="dms_DeterminationRef_List">'AER lookups'!$O$16:$O$26</definedName>
    <definedName name="dms_DISCARD">'AER ETL'!$C$128</definedName>
    <definedName name="dms_DNSP_020301_ProjectTrigger">'AER NRs'!$E$32:$E$38</definedName>
    <definedName name="dms_DNSP_020301_ProjectType">'AER NRs'!$D$32:$D$35</definedName>
    <definedName name="dms_DNSP_020301_SubstationType">'AER NRs'!$C$32:$C$35</definedName>
    <definedName name="dms_DNSP_020302_ProjectTrigger">'AER NRs'!$G$32:$G$39</definedName>
    <definedName name="dms_DNSP_020302_ProjectType">'AER NRs'!$F$32:$F$44</definedName>
    <definedName name="dms_dollar_nom_UOM">'AER ETL'!$C$24</definedName>
    <definedName name="dms_DollarReal">'AER ETL'!$C$31</definedName>
    <definedName name="dms_DollarReal_Prev">'AER ETL'!$C$32</definedName>
    <definedName name="dms_DollarReal_year">'AER ETL'!$C$51</definedName>
    <definedName name="dms_DQ_1">'AER ETL'!$C$13</definedName>
    <definedName name="dms_DQ_2">'AER ETL'!$C$14</definedName>
    <definedName name="dms_E020202_UOM">'AER NRs'!$E$160:$E$161</definedName>
    <definedName name="dms_EB">'AER ETL'!$C$72</definedName>
    <definedName name="dms_EB_RAB_PIT">'AER NRs'!$C$152:$C$157</definedName>
    <definedName name="dms_End">'AER NRs'!$E$176</definedName>
    <definedName name="dms_FeederName_1">'AER lookups'!$AE$16:$AE$26</definedName>
    <definedName name="dms_FeederName_2">'AER lookups'!$AF$16:$AF$26</definedName>
    <definedName name="dms_FeederName_3">'AER lookups'!$AG$16:$AG$26</definedName>
    <definedName name="dms_FeederName_4">'AER lookups'!$AH$16:$AH$26</definedName>
    <definedName name="dms_FeederName_5">'AER lookups'!$AI$16:$AI$26</definedName>
    <definedName name="dms_FeederType_5_flag">'AER lookups'!$AD$16:$AD$26</definedName>
    <definedName name="dms_FifthFeeder_flag_NSP">'AER ETL'!$C$125</definedName>
    <definedName name="dms_FormControl">'AER ETL'!$C$34</definedName>
    <definedName name="dms_FormControl_Choices">'AER NRs'!$D$14:$D$16</definedName>
    <definedName name="dms_FormControl_List">'AER lookups'!$H$16:$H$26</definedName>
    <definedName name="dms_FRCP_start_row">'AER ETL'!$C$39</definedName>
    <definedName name="dms_FRCP_y1">'AER lookups'!$H$47</definedName>
    <definedName name="dms_FRCPlength_List">'AER lookups'!$L$16:$L$26</definedName>
    <definedName name="dms_FRCPlength_Num">'AER ETL'!$C$70</definedName>
    <definedName name="dms_Header_Span">'AER ETL'!$C$60</definedName>
    <definedName name="dms_Jurisdiction">'AER ETL'!$C$26</definedName>
    <definedName name="dms_JurisdictionList">'AER lookups'!$E$16:$E$26</definedName>
    <definedName name="dms_LeapYear_Result">'AER ETL'!$C$98</definedName>
    <definedName name="dms_LongRural_flag">'AER lookups'!$AC$16:$AC$26</definedName>
    <definedName name="dms_LongRural_flag_NSP">'AER ETL'!$C$124</definedName>
    <definedName name="dms_Mid">'AER NRs'!$D$176</definedName>
    <definedName name="dms_Model">'AER ETL'!$C$11</definedName>
    <definedName name="dms_Model_List">'AER lookups'!$B$33:$B$42</definedName>
    <definedName name="dms_Model_Name_Format1">'AER lookups'!$C$33:$C$42</definedName>
    <definedName name="dms_Model_Span">'AER ETL'!$C$56</definedName>
    <definedName name="dms_Model_Span_List">'AER lookups'!$E$33:$E$42</definedName>
    <definedName name="dms_Multi_RYE_flag">'AER ETL'!$C$135</definedName>
    <definedName name="dms_MultiYear_ABC_RIN">'AER ETL'!$C$82</definedName>
    <definedName name="dms_MultiYear_FinalYear_Result">'AER ETL'!$C$80</definedName>
    <definedName name="dms_MultiYear_Flag">'AER ETL'!$C$63</definedName>
    <definedName name="dms_MultiYear_ResponseFlag">'AER ETL'!$C$62</definedName>
    <definedName name="dms_N0205_AssetType">'AER NRs'!$N$32:$N$42</definedName>
    <definedName name="dms_PAddr1">'Business &amp; other details'!$BQ$23</definedName>
    <definedName name="dms_PAddr1_List">'AER lookups'!$U$16:$U$26</definedName>
    <definedName name="dms_PAddr2">'Business &amp; other details'!$BQ$24</definedName>
    <definedName name="dms_PAddr2_List">'AER lookups'!$V$16:$V$26</definedName>
    <definedName name="dms_Partial">'AER ETL'!$C$131</definedName>
    <definedName name="dms_PostCode">'Business &amp; other details'!$AX$26</definedName>
    <definedName name="dms_PostCode_List">'AER lookups'!$T$16:$T$26</definedName>
    <definedName name="dms_PPostCode">'Business &amp; other details'!$CC$26</definedName>
    <definedName name="dms_PPostCode_List">'AER lookups'!$Y$16:$Y$26</definedName>
    <definedName name="dms_PRCP_start_row">'AER ETL'!$C$41</definedName>
    <definedName name="dms_PRCPlength_List">'AER lookups'!$M$16:$M$26</definedName>
    <definedName name="dms_PRCPlength_Num">'AER ETL'!$C$68</definedName>
    <definedName name="dms_Previous_DollarReal_year">'AER ETL'!$C$52</definedName>
    <definedName name="dms_PState">'Business &amp; other details'!$BQ$26</definedName>
    <definedName name="dms_PState_List">'AER lookups'!$X$16:$X$26</definedName>
    <definedName name="dms_PSuburb">'Business &amp; other details'!$BQ$25</definedName>
    <definedName name="dms_PSuburb_List">'AER lookups'!$W$16:$W$26</definedName>
    <definedName name="dms_PTRM_RAB_PIT">'AER NRs'!$C$179:$C$183</definedName>
    <definedName name="dms_PTRM_TAB_PIT">'AER NRs'!$D$179:$D$182</definedName>
    <definedName name="dms_Public_Lighting">'AER ETL'!$C$120</definedName>
    <definedName name="dms_Public_Lighting_List">'AER lookups'!$AJ$16:$AJ$26</definedName>
    <definedName name="dms_Reason_Interruption">'AER NRs'!$I$32:$I$47</definedName>
    <definedName name="dms_Reset_final_year">'AER ETL'!$C$49</definedName>
    <definedName name="dms_Reset_RYE">'AER ETL'!$C$54</definedName>
    <definedName name="dms_Reset_Span">'AER ETL'!$C$58</definedName>
    <definedName name="dms_RPT">'AER ETL'!$C$23</definedName>
    <definedName name="dms_RPT_List">'AER lookups'!$I$16:$I$26</definedName>
    <definedName name="dms_RPTMonth">'AER ETL'!$C$30</definedName>
    <definedName name="dms_RPTMonth_List">'AER lookups'!$J$16:$J$26</definedName>
    <definedName name="dms_RYE">'AER ETL'!$C$22</definedName>
    <definedName name="dms_RYE_01">'AER ETL'!$C$137</definedName>
    <definedName name="dms_RYE_02">'AER ETL'!$C$138</definedName>
    <definedName name="dms_RYE_03">'AER ETL'!$C$139</definedName>
    <definedName name="dms_RYE_04">'AER ETL'!$C$140</definedName>
    <definedName name="dms_RYE_05">'AER ETL'!$C$141</definedName>
    <definedName name="dms_RYE_06">'AER ETL'!$C$142</definedName>
    <definedName name="dms_RYE_07">'AER ETL'!$C$143</definedName>
    <definedName name="dms_RYE_08">'AER ETL'!$C$144</definedName>
    <definedName name="dms_RYE_09">'AER ETL'!$C$145</definedName>
    <definedName name="dms_RYE_result">'AER ETL'!$C$57</definedName>
    <definedName name="dms_RYE_start_row">'AER ETL'!$C$42</definedName>
    <definedName name="dms_S140101_UOM">'AER NRs'!$M$84:$M$87</definedName>
    <definedName name="dms_Sector">'AER ETL'!$C$20</definedName>
    <definedName name="dms_Sector_List">'AER lookups'!$F$16:$F$26</definedName>
    <definedName name="dms_Segment">'AER ETL'!$C$21</definedName>
    <definedName name="dms_Segment_List">'AER lookups'!$G$16:$G$26</definedName>
    <definedName name="dms_Selected_Quality">'Business &amp; other details'!$AL$66</definedName>
    <definedName name="dms_Selected_Source">'Business &amp; other details'!$AL$64</definedName>
    <definedName name="dms_Selected_Status">'Business &amp; other details'!$AL$68</definedName>
    <definedName name="dms_ShortRural_flag">'AER lookups'!$AB$16:$AB$26</definedName>
    <definedName name="dms_ShortRural_flag_NSP">'AER ETL'!$C$123</definedName>
    <definedName name="dms_SingleYear_FinalYear_Result">'AER ETL'!$C$76</definedName>
    <definedName name="dms_SingleYear_Model">'AER ETL'!$C$72:$C$74</definedName>
    <definedName name="dms_SingleYearModel">'AER ETL'!$C$75</definedName>
    <definedName name="dms_Source">'AER ETL'!$C$12</definedName>
    <definedName name="dms_SourceList">'AER NRs'!$C$14:$C$27</definedName>
    <definedName name="dms_Specified_FinalYear">'AER ETL'!$C$64</definedName>
    <definedName name="dms_Specified_RYE">'AER ETL'!$C$55</definedName>
    <definedName name="dms_SpecifiedYear_final_year">'AER ETL'!$C$50</definedName>
    <definedName name="dms_SpecifiedYear_Span">'AER ETL'!$C$59</definedName>
    <definedName name="dms_start_year">'AER ETL'!$C$36</definedName>
    <definedName name="dms_State">'Business &amp; other details'!$AL$26</definedName>
    <definedName name="dms_State_List">'AER lookups'!$S$16:$S$26</definedName>
    <definedName name="dms_STPIS_Exclusion_List">'AER NRs'!$H$32:$H$41</definedName>
    <definedName name="dms_SubmissionDate">'AER ETL'!$C$16</definedName>
    <definedName name="dms_Suburb">'Business &amp; other details'!$AL$25</definedName>
    <definedName name="dms_Suburb_List">'AER lookups'!$R$16:$R$26</definedName>
    <definedName name="dms_TemplateNumber">'AER lookups'!$D$9</definedName>
    <definedName name="dms_TNSP_0203_ProjectTrigger">'AER NRs'!$G$65:$G$72</definedName>
    <definedName name="dms_TNSP_0203_SubstationType">'AER NRs'!$C$65:$C$68</definedName>
    <definedName name="dms_TNSP_020301_ProjectTrigger">'AER NRs'!$E$65:$E$72</definedName>
    <definedName name="dms_TNSP_020301_ProjectType">'AER NRs'!$D$65:$D$68</definedName>
    <definedName name="dms_TNSP_020302_ProjectType">'AER NRs'!$F$65:$F$77</definedName>
    <definedName name="dms_Today">'AER lookups'!$A$15</definedName>
    <definedName name="dms_TradingName">'Business &amp; other details'!$AL$16</definedName>
    <definedName name="dms_TradingName_List">'AER lookups'!$B$16:$B$26</definedName>
    <definedName name="dms_TradingNameFull">'AER ETL'!$C$9</definedName>
    <definedName name="dms_TradingNameFull_List">'AER lookups'!$C$16:$C$26</definedName>
    <definedName name="dms_Typed_Submission_Date">'Business &amp; other details'!$AL$74</definedName>
    <definedName name="dms_Urban_flag">'AER lookups'!$AA$16:$AA$26</definedName>
    <definedName name="dms_Urban_flag_NSP">'AER ETL'!$C$122</definedName>
    <definedName name="dms_Worksheet_List">'AER lookups'!$D$33:$D$42</definedName>
    <definedName name="DMS_Xfactor">'AER NRs'!$E$179</definedName>
    <definedName name="dms_y1">'AER lookups'!$E$66</definedName>
    <definedName name="dms_y10">'AER lookups'!$E$75</definedName>
    <definedName name="dms_y11">'AER lookups'!$E$76</definedName>
    <definedName name="dms_y12">'AER lookups'!$E$77</definedName>
    <definedName name="dms_y13">'AER lookups'!$E$78</definedName>
    <definedName name="dms_y14">'AER lookups'!$E$79</definedName>
    <definedName name="dms_y15">'AER lookups'!$E$80</definedName>
    <definedName name="dms_y16">'AER lookups'!$E$81</definedName>
    <definedName name="dms_y2">'AER lookups'!$E$67</definedName>
    <definedName name="dms_y3">'AER lookups'!$E$68</definedName>
    <definedName name="dms_y4">'AER lookups'!$E$69</definedName>
    <definedName name="dms_y5">'AER lookups'!$E$70</definedName>
    <definedName name="dms_y6">'AER lookups'!$E$71</definedName>
    <definedName name="dms_y7">'AER lookups'!$E$72</definedName>
    <definedName name="dms_y8">'AER lookups'!$E$73</definedName>
    <definedName name="dms_y9">'AER lookups'!$E$74</definedName>
    <definedName name="EB">'AER lookups'!$C$37</definedName>
    <definedName name="EB_Fmt2">'AER lookups'!$D$37</definedName>
    <definedName name="Financial">'AER lookups'!$B$47:$B$100</definedName>
    <definedName name="FRCP_final_year">'AER ETL'!$C$46</definedName>
    <definedName name="FRCP_start_year">'AER ETL'!$C$43</definedName>
    <definedName name="FRCP_y1">'Business &amp; other details'!$AL$42</definedName>
    <definedName name="FRCP_y10">'AER lookups'!$I$56</definedName>
    <definedName name="FRCP_y11">'AER lookups'!$I$57</definedName>
    <definedName name="FRCP_y12">'AER lookups'!$I$58</definedName>
    <definedName name="FRCP_y13">'AER lookups'!$I$59</definedName>
    <definedName name="FRCP_y14">'AER lookups'!$I$60</definedName>
    <definedName name="FRCP_y15">'AER lookups'!$I$61</definedName>
    <definedName name="FRCP_y16">'AER lookups'!$I$62</definedName>
    <definedName name="FRCP_y2">'AER lookups'!$I$48</definedName>
    <definedName name="FRCP_y3">'AER lookups'!$I$49</definedName>
    <definedName name="FRCP_y4">'AER lookups'!$I$50</definedName>
    <definedName name="FRCP_y5">'AER lookups'!$I$51</definedName>
    <definedName name="FRCP_y6">'AER lookups'!$I$52</definedName>
    <definedName name="FRCP_y7">'AER lookups'!$I$53</definedName>
    <definedName name="FRCP_y8">'AER lookups'!$I$54</definedName>
    <definedName name="FRCP_y9">'AER lookups'!$I$55</definedName>
    <definedName name="FRY">'Business &amp; other details'!$AL$56</definedName>
    <definedName name="PRCP_final_year">'AER ETL'!$C$48</definedName>
    <definedName name="PRCP_start_year">'AER ETL'!$C$45</definedName>
    <definedName name="PRCP_y1">'AER lookups'!$E$47</definedName>
    <definedName name="PRCP_y10">'AER lookups'!$E$56</definedName>
    <definedName name="PRCP_y11">'AER lookups'!$E$57</definedName>
    <definedName name="PRCP_y12">'AER lookups'!$E$58</definedName>
    <definedName name="PRCP_y13">'AER lookups'!$E$59</definedName>
    <definedName name="PRCP_y14">'AER lookups'!$E$60</definedName>
    <definedName name="PRCP_y15">'AER lookups'!$E$61</definedName>
    <definedName name="PRCP_y16">'AER lookups'!$E$62</definedName>
    <definedName name="PRCP_y2">'AER lookups'!$E$48</definedName>
    <definedName name="PRCP_y3">'AER lookups'!$E$49</definedName>
    <definedName name="PRCP_y4">'AER lookups'!$E$50</definedName>
    <definedName name="PRCP_y5">'AER lookups'!$E$51</definedName>
    <definedName name="PRCP_y6">'AER lookups'!$E$52</definedName>
    <definedName name="PRCP_y7">'AER lookups'!$E$53</definedName>
    <definedName name="PRCP_y8">'AER lookups'!$E$54</definedName>
    <definedName name="PRCP_y9">'AER lookups'!$E$55</definedName>
    <definedName name="Pricing">'AER lookups'!$C$38</definedName>
    <definedName name="Pricing_Fmt2">'AER lookups'!$D$38</definedName>
    <definedName name="PTRM">'AER lookups'!$C$39</definedName>
    <definedName name="PTRM_Fmt2">'AER lookups'!$D$39</definedName>
    <definedName name="Reset">'AER lookups'!$C$40</definedName>
    <definedName name="Reset_Fmt2">'AER lookups'!$D$40</definedName>
    <definedName name="RFM">'AER lookups'!$C$41</definedName>
    <definedName name="RFM_Fmt2">'AER lookups'!$D$41</definedName>
    <definedName name="WACC">'AER lookups'!$C$42</definedName>
    <definedName name="WACC_Fmt2">'AER lookups'!$D$42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6" l="1"/>
  <c r="F40" i="6" s="1"/>
  <c r="F41" i="6" s="1"/>
  <c r="D14" i="6"/>
  <c r="D13" i="6"/>
  <c r="V1" i="13" l="1"/>
  <c r="V2" i="13"/>
  <c r="AL17" i="13"/>
  <c r="C9" i="11"/>
  <c r="C10" i="11"/>
  <c r="C15" i="11"/>
  <c r="C16" i="11"/>
  <c r="C19" i="11"/>
  <c r="C20" i="11"/>
  <c r="C21" i="11"/>
  <c r="C86" i="11" s="1"/>
  <c r="C23" i="11"/>
  <c r="C29" i="11" s="1"/>
  <c r="C26" i="11"/>
  <c r="C28" i="11"/>
  <c r="C30" i="11"/>
  <c r="C34" i="11"/>
  <c r="C36" i="11"/>
  <c r="C37" i="11"/>
  <c r="C50" i="11"/>
  <c r="C53" i="11"/>
  <c r="C55" i="11"/>
  <c r="C59" i="11" s="1"/>
  <c r="C56" i="11"/>
  <c r="C79" i="11" s="1"/>
  <c r="C63" i="11"/>
  <c r="C64" i="11" s="1"/>
  <c r="C68" i="11"/>
  <c r="C69" i="11"/>
  <c r="C70" i="11"/>
  <c r="C72" i="11"/>
  <c r="C73" i="11"/>
  <c r="C74" i="11"/>
  <c r="C89" i="11"/>
  <c r="C90" i="11"/>
  <c r="C91" i="11" s="1"/>
  <c r="C92" i="11"/>
  <c r="C93" i="11"/>
  <c r="C94" i="11"/>
  <c r="C97" i="11"/>
  <c r="C98" i="11"/>
  <c r="C100" i="11" s="1"/>
  <c r="C99" i="11"/>
  <c r="C101" i="11" s="1"/>
  <c r="C104" i="11"/>
  <c r="C113" i="11"/>
  <c r="C119" i="11"/>
  <c r="C120" i="11"/>
  <c r="C121" i="11"/>
  <c r="C122" i="11"/>
  <c r="C123" i="11"/>
  <c r="C124" i="11"/>
  <c r="C125" i="11"/>
  <c r="C103" i="11" s="1"/>
  <c r="AK16" i="10"/>
  <c r="AK17" i="10"/>
  <c r="AK18" i="10"/>
  <c r="AK19" i="10"/>
  <c r="AK20" i="10"/>
  <c r="AK21" i="10"/>
  <c r="AK22" i="10"/>
  <c r="AK23" i="10"/>
  <c r="AK24" i="10"/>
  <c r="AK25" i="10"/>
  <c r="AK26" i="10"/>
  <c r="D33" i="10"/>
  <c r="D34" i="10"/>
  <c r="D37" i="10"/>
  <c r="C39" i="11"/>
  <c r="AL62" i="13"/>
  <c r="C38" i="11"/>
  <c r="C75" i="11" l="1"/>
  <c r="C76" i="11" s="1"/>
  <c r="C40" i="11"/>
  <c r="C41" i="11"/>
  <c r="C102" i="11"/>
  <c r="C83" i="11"/>
  <c r="C65" i="11"/>
  <c r="C82" i="11"/>
  <c r="C42" i="11"/>
  <c r="H47" i="10"/>
  <c r="E81" i="10"/>
  <c r="E68" i="10"/>
  <c r="I47" i="10"/>
  <c r="E73" i="10"/>
  <c r="E67" i="10"/>
  <c r="I59" i="10"/>
  <c r="I52" i="10"/>
  <c r="I54" i="10"/>
  <c r="I61" i="10"/>
  <c r="E70" i="10"/>
  <c r="E66" i="10"/>
  <c r="E71" i="10"/>
  <c r="I62" i="10"/>
  <c r="E78" i="10"/>
  <c r="E76" i="10"/>
  <c r="E72" i="10"/>
  <c r="I60" i="10"/>
  <c r="E77" i="10"/>
  <c r="E69" i="10"/>
  <c r="I49" i="10"/>
  <c r="I56" i="10"/>
  <c r="I50" i="10"/>
  <c r="I55" i="10"/>
  <c r="E74" i="10"/>
  <c r="I51" i="10"/>
  <c r="E79" i="10"/>
  <c r="I58" i="10"/>
  <c r="I48" i="10"/>
  <c r="E51" i="10"/>
  <c r="E80" i="10"/>
  <c r="C46" i="11"/>
  <c r="C49" i="11"/>
  <c r="G47" i="10"/>
  <c r="I53" i="10"/>
  <c r="E75" i="10"/>
  <c r="C43" i="11"/>
  <c r="I57" i="10"/>
  <c r="BV50" i="13" l="1"/>
  <c r="AL46" i="13"/>
  <c r="C60" i="11"/>
  <c r="V3" i="13" s="1"/>
  <c r="BV44" i="13"/>
  <c r="BM44" i="13"/>
  <c r="BD44" i="13"/>
  <c r="AU44" i="13"/>
  <c r="AL44" i="13"/>
  <c r="BV43" i="13"/>
  <c r="BM43" i="13"/>
  <c r="BD43" i="13"/>
  <c r="AU43" i="13"/>
  <c r="AL43" i="13"/>
  <c r="BV42" i="13"/>
  <c r="BM42" i="13"/>
  <c r="BD42" i="13"/>
  <c r="AU42" i="13"/>
  <c r="C80" i="11"/>
  <c r="C54" i="11"/>
  <c r="D207" i="9"/>
  <c r="E207" i="9"/>
  <c r="F207" i="9"/>
  <c r="G207" i="9"/>
  <c r="H207" i="9"/>
  <c r="I207" i="9"/>
  <c r="J207" i="9"/>
  <c r="K207" i="9"/>
  <c r="L207" i="9"/>
  <c r="M207" i="9"/>
  <c r="D212" i="9"/>
  <c r="E212" i="9"/>
  <c r="F212" i="9"/>
  <c r="G212" i="9"/>
  <c r="C44" i="11"/>
  <c r="C47" i="11"/>
  <c r="G62" i="10"/>
  <c r="G52" i="10"/>
  <c r="E52" i="10"/>
  <c r="G56" i="10"/>
  <c r="G54" i="10"/>
  <c r="E60" i="10"/>
  <c r="C45" i="11"/>
  <c r="E54" i="10"/>
  <c r="G55" i="10"/>
  <c r="E49" i="10"/>
  <c r="E62" i="10"/>
  <c r="G61" i="10"/>
  <c r="E55" i="10"/>
  <c r="E61" i="10"/>
  <c r="G50" i="10"/>
  <c r="E58" i="10"/>
  <c r="E56" i="10"/>
  <c r="G53" i="10"/>
  <c r="E50" i="10"/>
  <c r="G60" i="10"/>
  <c r="G51" i="10"/>
  <c r="C48" i="11"/>
  <c r="G49" i="10"/>
  <c r="G59" i="10"/>
  <c r="G48" i="10"/>
  <c r="G58" i="10"/>
  <c r="E47" i="10"/>
  <c r="E57" i="10"/>
  <c r="E48" i="10"/>
  <c r="E53" i="10"/>
  <c r="G57" i="10"/>
  <c r="E59" i="10"/>
  <c r="AL50" i="13" l="1"/>
  <c r="BM50" i="13"/>
  <c r="AU50" i="13"/>
  <c r="BD50" i="13"/>
  <c r="BD46" i="13"/>
  <c r="BV46" i="13"/>
  <c r="BM46" i="13"/>
  <c r="AU46" i="13"/>
  <c r="BD48" i="13"/>
  <c r="D28" i="6"/>
  <c r="D12" i="6"/>
  <c r="D19" i="6"/>
  <c r="AL52" i="13"/>
  <c r="BD52" i="13"/>
  <c r="BV52" i="13"/>
  <c r="AU51" i="13"/>
  <c r="BM47" i="13"/>
  <c r="C51" i="11"/>
  <c r="C31" i="11" s="1"/>
  <c r="D20" i="6" s="1"/>
  <c r="AU52" i="13"/>
  <c r="BM51" i="13"/>
  <c r="C106" i="11"/>
  <c r="C107" i="11" s="1"/>
  <c r="BM52" i="13"/>
  <c r="C116" i="11"/>
  <c r="C52" i="11"/>
  <c r="C32" i="11" s="1"/>
  <c r="BD51" i="13"/>
  <c r="BV51" i="13"/>
  <c r="AL51" i="13"/>
  <c r="AL48" i="13"/>
  <c r="AU47" i="13"/>
  <c r="BV48" i="13"/>
  <c r="AL47" i="13"/>
  <c r="BV47" i="13"/>
  <c r="BM48" i="13"/>
  <c r="BD47" i="13"/>
  <c r="AU48" i="13"/>
  <c r="C58" i="11"/>
  <c r="C57" i="11"/>
  <c r="C22" i="11" s="1"/>
  <c r="E195" i="9" l="1"/>
  <c r="G36" i="6"/>
  <c r="F36" i="6" l="1"/>
  <c r="I36" i="6"/>
  <c r="H36" i="6"/>
  <c r="E41" i="6" l="1"/>
  <c r="D58" i="6"/>
  <c r="D56" i="6"/>
  <c r="D51" i="6"/>
  <c r="D49" i="6"/>
  <c r="E55" i="6"/>
  <c r="E48" i="6"/>
  <c r="E43" i="6"/>
  <c r="F43" i="6" s="1"/>
  <c r="E35" i="6"/>
  <c r="B2" i="6"/>
  <c r="B1" i="6"/>
  <c r="E49" i="6" l="1"/>
  <c r="F44" i="6"/>
  <c r="G43" i="6"/>
  <c r="E44" i="6"/>
  <c r="E58" i="6" s="1"/>
  <c r="E51" i="6" l="1"/>
  <c r="F51" i="6" s="1"/>
  <c r="G40" i="6"/>
  <c r="F58" i="6"/>
  <c r="E59" i="6"/>
  <c r="G44" i="6"/>
  <c r="H43" i="6"/>
  <c r="E52" i="6" l="1"/>
  <c r="G51" i="6"/>
  <c r="E56" i="6"/>
  <c r="G58" i="6"/>
  <c r="F59" i="6"/>
  <c r="H44" i="6"/>
  <c r="I43" i="6"/>
  <c r="J44" i="6" s="1"/>
  <c r="F52" i="6"/>
  <c r="G41" i="6"/>
  <c r="H40" i="6"/>
  <c r="H51" i="6" l="1"/>
  <c r="F56" i="6"/>
  <c r="F57" i="6" s="1"/>
  <c r="E57" i="6"/>
  <c r="E50" i="6"/>
  <c r="F49" i="6"/>
  <c r="F50" i="6" s="1"/>
  <c r="G59" i="6"/>
  <c r="H58" i="6"/>
  <c r="H41" i="6"/>
  <c r="I40" i="6"/>
  <c r="J41" i="6" s="1"/>
  <c r="G52" i="6"/>
  <c r="I44" i="6"/>
  <c r="I51" i="6" l="1"/>
  <c r="I52" i="6" s="1"/>
  <c r="G56" i="6"/>
  <c r="G57" i="6" s="1"/>
  <c r="G49" i="6"/>
  <c r="G50" i="6" s="1"/>
  <c r="H52" i="6"/>
  <c r="H59" i="6"/>
  <c r="I58" i="6"/>
  <c r="I41" i="6"/>
  <c r="J52" i="6" l="1"/>
  <c r="K51" i="6"/>
  <c r="I59" i="6"/>
  <c r="J59" i="6" s="1"/>
  <c r="K58" i="6"/>
  <c r="K52" i="6"/>
  <c r="L52" i="6" s="1"/>
  <c r="H56" i="6"/>
  <c r="H57" i="6" s="1"/>
  <c r="H49" i="6"/>
  <c r="H50" i="6" s="1"/>
  <c r="K59" i="6" l="1"/>
  <c r="L59" i="6" s="1"/>
  <c r="I56" i="6"/>
  <c r="K56" i="6" s="1"/>
  <c r="I49" i="6"/>
  <c r="I50" i="6" s="1"/>
  <c r="K50" i="6" s="1"/>
  <c r="L50" i="6" s="1"/>
  <c r="J50" i="6" l="1"/>
  <c r="K49" i="6"/>
  <c r="I57" i="6"/>
  <c r="K57" i="6" l="1"/>
  <c r="L57" i="6" s="1"/>
  <c r="J57" i="6"/>
  <c r="F55" i="6" l="1"/>
  <c r="F48" i="6"/>
  <c r="F35" i="6"/>
  <c r="G48" i="6"/>
  <c r="G35" i="6"/>
  <c r="G55" i="6"/>
  <c r="B58" i="6"/>
  <c r="B43" i="6"/>
  <c r="B44" i="6"/>
  <c r="B52" i="6"/>
  <c r="B51" i="6"/>
  <c r="B59" i="6"/>
  <c r="H35" i="6" l="1"/>
  <c r="H48" i="6"/>
  <c r="H55" i="6"/>
  <c r="D55" i="6"/>
  <c r="D48" i="6"/>
  <c r="D35" i="6"/>
  <c r="B3" i="6"/>
  <c r="I35" i="6" l="1"/>
  <c r="I55" i="6"/>
  <c r="J55" i="6" s="1"/>
  <c r="I48" i="6"/>
  <c r="J4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Hogan, Susan</author>
  </authors>
  <commentList>
    <comment ref="H47" authorId="0" shapeId="0" xr:uid="{00000000-0006-0000-0100-000001000000}">
      <text>
        <r>
          <rPr>
            <b/>
            <sz val="9"/>
            <color rgb="FF000000"/>
            <rFont val="Tahoma"/>
            <family val="2"/>
          </rPr>
          <t>Hogan, Susan:</t>
        </r>
        <r>
          <rPr>
            <sz val="9"/>
            <color rgb="FF000000"/>
            <rFont val="Tahoma"/>
            <family val="2"/>
          </rPr>
          <t xml:space="preserve">
This is populated from FRCP_y1 which is selected by the business on the cover sheet.</t>
        </r>
      </text>
    </comment>
  </commentList>
</comments>
</file>

<file path=xl/sharedStrings.xml><?xml version="1.0" encoding="utf-8"?>
<sst xmlns="http://schemas.openxmlformats.org/spreadsheetml/2006/main" count="1452" uniqueCount="933">
  <si>
    <t>AER NAMED RANGES</t>
  </si>
  <si>
    <t>DROP DOWN SELECTORS USED IN WORKBOOKS</t>
  </si>
  <si>
    <t>COVER SHEET</t>
  </si>
  <si>
    <t>dms_DataQuality_List</t>
  </si>
  <si>
    <t>dms_Confid_status_List</t>
  </si>
  <si>
    <t>-- select --</t>
  </si>
  <si>
    <t>Actual</t>
  </si>
  <si>
    <t>Public</t>
  </si>
  <si>
    <t>Estimate</t>
  </si>
  <si>
    <t>Confidential</t>
  </si>
  <si>
    <t>Consolidated</t>
  </si>
  <si>
    <t>For all files either AER or business needs to be able to specify the type of submission</t>
  </si>
  <si>
    <t>For PTRM &amp; RFM templates we must provide a choice in case they change their form of control - otherwise it is drawn from the business specific lookup table above.</t>
  </si>
  <si>
    <t>dms_SourceList</t>
  </si>
  <si>
    <t>dms_FormControl_Choices</t>
  </si>
  <si>
    <t>Revenue cap</t>
  </si>
  <si>
    <t>After appeal</t>
  </si>
  <si>
    <t>Revenue yield</t>
  </si>
  <si>
    <t>Draft decision</t>
  </si>
  <si>
    <t>Weighted average price cap</t>
  </si>
  <si>
    <t>Final decision</t>
  </si>
  <si>
    <t>PTRM update 1</t>
  </si>
  <si>
    <t>PTRM update 2</t>
  </si>
  <si>
    <t>PTRM update 3</t>
  </si>
  <si>
    <t>PTRM update 4</t>
  </si>
  <si>
    <t>PTRM update 5</t>
  </si>
  <si>
    <t>PTRM update 6</t>
  </si>
  <si>
    <t>PTRM update 7</t>
  </si>
  <si>
    <t>Regulatory proposal</t>
  </si>
  <si>
    <t>Reporting</t>
  </si>
  <si>
    <t>Revised regulatory proposal</t>
  </si>
  <si>
    <t>This is used to create an image to insert on 6.3 STPIS sheet - not for dropdown lists.</t>
  </si>
  <si>
    <t>GAS</t>
  </si>
  <si>
    <t>CA &amp; RESET RINS 
DNSP</t>
  </si>
  <si>
    <t>dms_DNSP_020301_SubstationType</t>
  </si>
  <si>
    <t>dms_DNSP_020301_ProjectType</t>
  </si>
  <si>
    <t>dms_DNSP_020301_ProjectTrigger</t>
  </si>
  <si>
    <t>dms_DNSP_020302_ProjectType</t>
  </si>
  <si>
    <t>dms_DNSP_020302_ProjectTrigger</t>
  </si>
  <si>
    <t>dms_STPIS_Exclusion_List</t>
  </si>
  <si>
    <t>dms_Reason_Interruption</t>
  </si>
  <si>
    <t>dms_Reason_Interruption_Detailed</t>
  </si>
  <si>
    <t>Reason for interruption</t>
  </si>
  <si>
    <t>dms_N0205_AssetType</t>
  </si>
  <si>
    <t>Subtransmission substation</t>
  </si>
  <si>
    <t>New substation establishment</t>
  </si>
  <si>
    <t>Demand growth</t>
  </si>
  <si>
    <t>New line on new route - single circuit</t>
  </si>
  <si>
    <t>Weather</t>
  </si>
  <si>
    <t>Animal</t>
  </si>
  <si>
    <t>Animal impact</t>
  </si>
  <si>
    <t>Cast Iron</t>
  </si>
  <si>
    <t>Zone substation</t>
  </si>
  <si>
    <t>Substation upgrade - capacity</t>
  </si>
  <si>
    <t xml:space="preserve"> Voltage issues</t>
  </si>
  <si>
    <t>New line on new route - dual circuit</t>
  </si>
  <si>
    <t>Equipment failure</t>
  </si>
  <si>
    <t>Asset failure</t>
  </si>
  <si>
    <t>Animal nesting/burrowing, etc and other</t>
  </si>
  <si>
    <t>PVC</t>
  </si>
  <si>
    <t>Switching station</t>
  </si>
  <si>
    <t>Substation upgrade - voltage</t>
  </si>
  <si>
    <t xml:space="preserve"> Reactive power issue</t>
  </si>
  <si>
    <t>New line on new route - other</t>
  </si>
  <si>
    <t>Operational error</t>
  </si>
  <si>
    <t>Other</t>
  </si>
  <si>
    <t>Polyamide</t>
  </si>
  <si>
    <t xml:space="preserve"> Fault level issues</t>
  </si>
  <si>
    <t>Line rebuild over existing route - single circuit</t>
  </si>
  <si>
    <t>Vegetation</t>
  </si>
  <si>
    <t>Overloads</t>
  </si>
  <si>
    <t>LV</t>
  </si>
  <si>
    <t>High density polyethylene (80)</t>
  </si>
  <si>
    <t xml:space="preserve"> Safety</t>
  </si>
  <si>
    <t>Line rebuild over existing route - dual circuit</t>
  </si>
  <si>
    <t xml:space="preserve"> Net market benefit</t>
  </si>
  <si>
    <t>Animals</t>
  </si>
  <si>
    <t>Planned</t>
  </si>
  <si>
    <t>Distribution substation</t>
  </si>
  <si>
    <t>High density polyethylene (100)</t>
  </si>
  <si>
    <t xml:space="preserve"> Environment</t>
  </si>
  <si>
    <t>Reconductor - Single circuit</t>
  </si>
  <si>
    <t>Third party impacts</t>
  </si>
  <si>
    <t>Network business</t>
  </si>
  <si>
    <t>HV</t>
  </si>
  <si>
    <t>High density polyethylene (250)</t>
  </si>
  <si>
    <t xml:space="preserve"> Other</t>
  </si>
  <si>
    <t>Reconductor - Dual circuit</t>
  </si>
  <si>
    <t>Transmission failure</t>
  </si>
  <si>
    <t>Third party</t>
  </si>
  <si>
    <t>High density polyethylene (575)</t>
  </si>
  <si>
    <t>Reconductor - Other</t>
  </si>
  <si>
    <t>Load shedding</t>
  </si>
  <si>
    <t>Unknown</t>
  </si>
  <si>
    <t>Subtransmission</t>
  </si>
  <si>
    <t>Medium density polyethylene</t>
  </si>
  <si>
    <t>Line upgrade - raising/retensoring</t>
  </si>
  <si>
    <t>Inter-distributor connection failure</t>
  </si>
  <si>
    <t>insert description of 'other'</t>
  </si>
  <si>
    <t>Unprotected steel</t>
  </si>
  <si>
    <t>Line upgrade - voltage upgrade</t>
  </si>
  <si>
    <t>Network error</t>
  </si>
  <si>
    <t>Protected steel</t>
  </si>
  <si>
    <t>Line upgrade - capacity</t>
  </si>
  <si>
    <t>2 - STPIS Exclusion (3.3)(a)</t>
  </si>
  <si>
    <t>Switching and protection error</t>
  </si>
  <si>
    <t>String spare circuit</t>
  </si>
  <si>
    <t>3 - STPIS Exclusion (3.3)(a)</t>
  </si>
  <si>
    <t>Fire</t>
  </si>
  <si>
    <t>4 - STPIS Exclusion (3.3)(a)</t>
  </si>
  <si>
    <t>5 - STPIS Exclusion (3.3)(a)</t>
  </si>
  <si>
    <t>Dig-in</t>
  </si>
  <si>
    <t>6 - STPIS Exclusion (3.3)(a)</t>
  </si>
  <si>
    <t>Unauthorised access</t>
  </si>
  <si>
    <t>7 - STPIS Exclusion (3.3)(a)</t>
  </si>
  <si>
    <t>Vehicle impact</t>
  </si>
  <si>
    <t>Blow-in/Fall-in - NSP responsibility</t>
  </si>
  <si>
    <t>Grow-in - NSP responsibility</t>
  </si>
  <si>
    <t>Blow-in/Fall-in - Other responsible party</t>
  </si>
  <si>
    <t>Grow-in - Other responsible party</t>
  </si>
  <si>
    <t xml:space="preserve">CA &amp; RESET RINS 
TNSP </t>
  </si>
  <si>
    <t>dms_TNSP_0203_SubstationType</t>
  </si>
  <si>
    <t>dms_TNSP_020301_ProjectType</t>
  </si>
  <si>
    <t>dms_TNSP_020301_ProjectTrigger</t>
  </si>
  <si>
    <t>dms_TNSP_020302_ProjectType</t>
  </si>
  <si>
    <t>dms_TNSP_0203_ProjectTrigger</t>
  </si>
  <si>
    <t>Terminal station</t>
  </si>
  <si>
    <t>Capacity upgrade</t>
  </si>
  <si>
    <t>Transmission substation</t>
  </si>
  <si>
    <t>Voltage upgrade</t>
  </si>
  <si>
    <t>Net market benefit</t>
  </si>
  <si>
    <t>NAMED RANGES USED IN ETL PROCESS</t>
  </si>
  <si>
    <t>GAS ARR &amp; RESET</t>
  </si>
  <si>
    <t>CA &amp; RESET RINS 
DNSP ONLY</t>
  </si>
  <si>
    <t>dms_020303_01_UOM</t>
  </si>
  <si>
    <t>dms_020501_01_UOM</t>
  </si>
  <si>
    <t>dms_020501_02_UOM</t>
  </si>
  <si>
    <t>dms_020501_03_UOM</t>
  </si>
  <si>
    <t>dms_020501_04_UOM</t>
  </si>
  <si>
    <t>dms_020701_01_UOM</t>
  </si>
  <si>
    <t>dms_020701_02_UOM</t>
  </si>
  <si>
    <t>dms_020701_01_Rows</t>
  </si>
  <si>
    <t>dms_040102_01_UOM</t>
  </si>
  <si>
    <t>dms_040102_04_UOM</t>
  </si>
  <si>
    <t>dms_S140101_UOM</t>
  </si>
  <si>
    <t>Circuit line length in km</t>
  </si>
  <si>
    <t>0's</t>
  </si>
  <si>
    <t>km</t>
  </si>
  <si>
    <t>Route line length within zone</t>
  </si>
  <si>
    <t>days</t>
  </si>
  <si>
    <t>number</t>
  </si>
  <si>
    <t>Number of maintenance spans</t>
  </si>
  <si>
    <t>MVA added</t>
  </si>
  <si>
    <t>Total length of maintenance spans</t>
  </si>
  <si>
    <t>$0s</t>
  </si>
  <si>
    <t>Length of vegetation corridors</t>
  </si>
  <si>
    <t>Number</t>
  </si>
  <si>
    <t>total spend $0s</t>
  </si>
  <si>
    <t>Average number of trees per maintenance span</t>
  </si>
  <si>
    <t>net circuit km added</t>
  </si>
  <si>
    <t>years</t>
  </si>
  <si>
    <t>Average frequency of cutting cycle</t>
  </si>
  <si>
    <t>CA &amp; RESET RINS 
TNSP ONLY</t>
  </si>
  <si>
    <t>metres</t>
  </si>
  <si>
    <t>CA &amp; RESET RINS 
DNSP &amp; TNSP</t>
  </si>
  <si>
    <t>dms_020603_01_UOM</t>
  </si>
  <si>
    <t>(per cent)</t>
  </si>
  <si>
    <r>
      <t xml:space="preserve">EB &amp; RESET RINS 
</t>
    </r>
    <r>
      <rPr>
        <sz val="26"/>
        <color rgb="FFFF0000"/>
        <rFont val="Calibri"/>
        <family val="2"/>
        <scheme val="minor"/>
      </rPr>
      <t>DNSP ONLY</t>
    </r>
  </si>
  <si>
    <t>dms_030601_01_UOM</t>
  </si>
  <si>
    <t>dms_030601_02_UOM</t>
  </si>
  <si>
    <t>dms_030701_01_UOM</t>
  </si>
  <si>
    <t>dms_030702_01_UOM</t>
  </si>
  <si>
    <t>dms_030703_01_UOM</t>
  </si>
  <si>
    <t>minutes/customer</t>
  </si>
  <si>
    <t>Customer / km</t>
  </si>
  <si>
    <t>%</t>
  </si>
  <si>
    <t>MWh/customer</t>
  </si>
  <si>
    <t>Number of spans</t>
  </si>
  <si>
    <t>interruptions/customer</t>
  </si>
  <si>
    <t>kVA / customer</t>
  </si>
  <si>
    <t>Years</t>
  </si>
  <si>
    <t>Trees</t>
  </si>
  <si>
    <t>Defects</t>
  </si>
  <si>
    <t>Spans</t>
  </si>
  <si>
    <t>WHEN INSERTING COVER SHEET INTO A TNSP FILE - APPLY THESE NAMED RANGES</t>
  </si>
  <si>
    <r>
      <t xml:space="preserve">EB &amp; RESET RINS 
</t>
    </r>
    <r>
      <rPr>
        <sz val="26"/>
        <color rgb="FFFF0000"/>
        <rFont val="Calibri"/>
        <family val="2"/>
        <scheme val="minor"/>
      </rPr>
      <t>TNSP ONLY</t>
    </r>
  </si>
  <si>
    <t>EB &amp; RESET RINS 
DNSP &amp; TNSP</t>
  </si>
  <si>
    <t>dms_EB_RAB_PIT</t>
  </si>
  <si>
    <t>Beginning of year</t>
  </si>
  <si>
    <t>End of year</t>
  </si>
  <si>
    <t>ARR 
DNSP ONLY</t>
  </si>
  <si>
    <t>dms_030605_UOM</t>
  </si>
  <si>
    <t>dms_03060703_UOM</t>
  </si>
  <si>
    <t>dms_E020202_UOM</t>
  </si>
  <si>
    <t>Spare</t>
  </si>
  <si>
    <t>Length of mains replaced</t>
  </si>
  <si>
    <t>Number of services replaced</t>
  </si>
  <si>
    <t/>
  </si>
  <si>
    <t>RFM</t>
  </si>
  <si>
    <t>dms_Beg</t>
  </si>
  <si>
    <t>dms_Mid</t>
  </si>
  <si>
    <t>dms_End</t>
  </si>
  <si>
    <t>Mid year</t>
  </si>
  <si>
    <t>End of Year</t>
  </si>
  <si>
    <t>PTRM</t>
  </si>
  <si>
    <t>dms_PTRM_RAB_PIT</t>
  </si>
  <si>
    <t>dms_PTRM_TAB_PIT</t>
  </si>
  <si>
    <t>DMS_Xfactor</t>
  </si>
  <si>
    <t>x factors</t>
  </si>
  <si>
    <t xml:space="preserve">STPIS &amp; MIC NAMED RANGES </t>
  </si>
  <si>
    <t>These "row descriptions" are the column headings in the various templates but become row descriptions in the ETL process</t>
  </si>
  <si>
    <t>Table 6.3 sustained interruptions - row descriptions</t>
  </si>
  <si>
    <t>dms_060301_CustNo_Affected_Row</t>
  </si>
  <si>
    <t>dms_060301_Avg_Duration_Sustained_Int_Row</t>
  </si>
  <si>
    <t>dms_060301_Effect_unplanned_SAIDI_Row</t>
  </si>
  <si>
    <t>dms_060301_Effect_unplanned_SAIFI_Row</t>
  </si>
  <si>
    <t>Number of customers affected by the interruption</t>
  </si>
  <si>
    <t>Average duration of sustained customer interruption</t>
  </si>
  <si>
    <t>Effect on unplanned SAIDI</t>
  </si>
  <si>
    <t>Effect on unplanned SAIFI</t>
  </si>
  <si>
    <t>Table 6.1 telephone answering - row descriptions and start date</t>
  </si>
  <si>
    <t>dms_060101_Rows</t>
  </si>
  <si>
    <t>dms_060102_Rows</t>
  </si>
  <si>
    <t>dms_060101_StartDateTxt</t>
  </si>
  <si>
    <t>Total number of calls 
(after removing excluded events)</t>
  </si>
  <si>
    <t xml:space="preserve">Number of calls answered within 30 seconds 
(after excluding excluded events) </t>
  </si>
  <si>
    <t>Table 6.8.1 - row descriptions</t>
  </si>
  <si>
    <t>dms_060801_01_Rows</t>
  </si>
  <si>
    <t>dms_060801_02_Rows</t>
  </si>
  <si>
    <t>dms_060801_03_Rows</t>
  </si>
  <si>
    <t>dms_060801_04_Rows</t>
  </si>
  <si>
    <t>Number of interruptions</t>
  </si>
  <si>
    <t>Duration of interruptions</t>
  </si>
  <si>
    <t>Total unplanned minutes off supply</t>
  </si>
  <si>
    <t>Effect on unplanned MAIFI</t>
  </si>
  <si>
    <t>Table 7.9.4 - market impact component - row descriptions</t>
  </si>
  <si>
    <t>dms_070904_01_Rows</t>
  </si>
  <si>
    <t>without exclusions</t>
  </si>
  <si>
    <t>with exclusions</t>
  </si>
  <si>
    <t>These headings (Lists) are determined from the INDEX/MATCH function on the NSP selected on the Business &amp; other details sheet</t>
  </si>
  <si>
    <t>Table 6.7.1 - daily performance data - unplanned - MAIFI  -- row descriptions and header named range values</t>
  </si>
  <si>
    <t>dms_060701_Feeder_Header_Lvl4</t>
  </si>
  <si>
    <t>Network</t>
  </si>
  <si>
    <t>dms_060701_Rows</t>
  </si>
  <si>
    <t>All events</t>
  </si>
  <si>
    <t>After removing excluded events</t>
  </si>
  <si>
    <t>the number of column headings changes from 10 to 12 depending on the number of feeder categories for the NSP</t>
  </si>
  <si>
    <t>dms_0603_FeederList</t>
  </si>
  <si>
    <t>Use these to add to specific worksheets in existing files</t>
  </si>
  <si>
    <t>ARRs 6.7 STPIS daily performance</t>
  </si>
  <si>
    <t>dms_060101_Values</t>
  </si>
  <si>
    <t>dms_060102_Values</t>
  </si>
  <si>
    <t>dms_060701_Values</t>
  </si>
  <si>
    <t>dms_LeapYear</t>
  </si>
  <si>
    <t>ARR's  6.8 STPIS exclusions</t>
  </si>
  <si>
    <t>dms_060801_Event_Date</t>
  </si>
  <si>
    <t>dms_060801_OutageID</t>
  </si>
  <si>
    <t>dms_060801_FeederID</t>
  </si>
  <si>
    <t>dms_060801_FeederClass</t>
  </si>
  <si>
    <t>dms_060801_CauseID</t>
  </si>
  <si>
    <t>dms_060801_01_Values</t>
  </si>
  <si>
    <t>dms_060801_02_Values</t>
  </si>
  <si>
    <t>dms_060801_03_Values</t>
  </si>
  <si>
    <t>dms_060801_Excl_Cat</t>
  </si>
  <si>
    <t>dms_060801_04_Values</t>
  </si>
  <si>
    <t>dms_060801_StartCell</t>
  </si>
  <si>
    <t>CA 6.3 sustained interruptions</t>
  </si>
  <si>
    <t>dms_060301_Event_Date</t>
  </si>
  <si>
    <t>dms_060301_Event_Time</t>
  </si>
  <si>
    <t>dms_060301_AssetID</t>
  </si>
  <si>
    <t>dms_060301_FeederClass</t>
  </si>
  <si>
    <t>dms_060301_Reason</t>
  </si>
  <si>
    <t>dms_060301_DetailedReason</t>
  </si>
  <si>
    <t>dms_060301_CustNo_Affected_Values</t>
  </si>
  <si>
    <t>dms_060301_Avg_Duration_Sustained_Int_Values</t>
  </si>
  <si>
    <t>dms_060301_Effect_unplanned_SAIDI_Values</t>
  </si>
  <si>
    <t>dms_060301_Effect_unplanned_SAIFI_Values</t>
  </si>
  <si>
    <t>dms_060301_MED</t>
  </si>
  <si>
    <t>AER LOOKUP TABLES</t>
  </si>
  <si>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</si>
  <si>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</si>
  <si>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</si>
  <si>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</si>
  <si>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</si>
  <si>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</si>
  <si>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major changes to accommodate STPIS</t>
  </si>
  <si>
    <t>Template Version</t>
  </si>
  <si>
    <t>FOR ELECTRICITY BUSINESSES ONLY</t>
  </si>
  <si>
    <t>Feeder Types</t>
  </si>
  <si>
    <t>TasNetworks (D)</t>
  </si>
  <si>
    <t>Feeder Names</t>
  </si>
  <si>
    <t>CBD</t>
  </si>
  <si>
    <t>Urban</t>
  </si>
  <si>
    <t>Short rural</t>
  </si>
  <si>
    <t>long rural</t>
  </si>
  <si>
    <t>EXTRA</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</si>
  <si>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</si>
  <si>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</si>
  <si>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</si>
  <si>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</si>
  <si>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</si>
  <si>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</si>
  <si>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</si>
  <si>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</si>
  <si>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</si>
  <si>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</si>
  <si>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</si>
  <si>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dms_PRCPlength_List</t>
  </si>
  <si>
    <t>dms_663_List</t>
  </si>
  <si>
    <t>dms_DeterminationRef_List</t>
  </si>
  <si>
    <t>dms_Addr1_List</t>
  </si>
  <si>
    <t>dms_Addr2_List</t>
  </si>
  <si>
    <t>dms_Suburb_List</t>
  </si>
  <si>
    <t>dms_State_List</t>
  </si>
  <si>
    <t>dms_PostCode_List</t>
  </si>
  <si>
    <t>dms_PAddr1_List</t>
  </si>
  <si>
    <t>dms_PAddr2_List</t>
  </si>
  <si>
    <t>dms_PSuburb_List</t>
  </si>
  <si>
    <t>dms_PState_List</t>
  </si>
  <si>
    <t>dms_PPostCode_List</t>
  </si>
  <si>
    <t>dms_CBD_flag</t>
  </si>
  <si>
    <t>dms_Urban_flag</t>
  </si>
  <si>
    <t>dms_ShortRural_flag</t>
  </si>
  <si>
    <t>dms_LongRural_flag</t>
  </si>
  <si>
    <t>dms_FeederType_5_flag</t>
  </si>
  <si>
    <t>dms_FeederName_1</t>
  </si>
  <si>
    <t>dms_FeederName_2</t>
  </si>
  <si>
    <t>dms_FeederName_3</t>
  </si>
  <si>
    <t>dms_FeederName_4</t>
  </si>
  <si>
    <t>dms_FeederName_5</t>
  </si>
  <si>
    <t>dms_Public_Lighting_List</t>
  </si>
  <si>
    <t>Name</t>
  </si>
  <si>
    <t>ActewAGL Gas</t>
  </si>
  <si>
    <t>Icon Distribution Investments Limited (ABN 83 073 025 224) and Jemena Networks (ACT) Pty Ltd (ABN 24 008 552 663)</t>
  </si>
  <si>
    <t>ACT</t>
  </si>
  <si>
    <t>Gas</t>
  </si>
  <si>
    <t>Distribution</t>
  </si>
  <si>
    <t>Financial</t>
  </si>
  <si>
    <t>June</t>
  </si>
  <si>
    <t>x</t>
  </si>
  <si>
    <t>40 Bunda Street</t>
  </si>
  <si>
    <t>CANBERRA</t>
  </si>
  <si>
    <t>GPO BOX 366</t>
  </si>
  <si>
    <t>NO</t>
  </si>
  <si>
    <t>Long rural</t>
  </si>
  <si>
    <t>AGN (Albury and Victoria)</t>
  </si>
  <si>
    <t>Australian Gas Networks Limited (reporting data for Albury and Victoria)</t>
  </si>
  <si>
    <t>Vic</t>
  </si>
  <si>
    <t>Level 6</t>
  </si>
  <si>
    <t>400 King William Street</t>
  </si>
  <si>
    <t>ADELAIDE</t>
  </si>
  <si>
    <t>SA</t>
  </si>
  <si>
    <t>PO Box 6468</t>
  </si>
  <si>
    <t>Halifax Street</t>
  </si>
  <si>
    <t>AGN (Albury)</t>
  </si>
  <si>
    <t>Australian Gas Networks Limited (reporting data for Albury)</t>
  </si>
  <si>
    <t>AGN (SA)</t>
  </si>
  <si>
    <t>Australian Gas Networks Limited (reporting data for SA)</t>
  </si>
  <si>
    <t>distribution determination</t>
  </si>
  <si>
    <t>AGN (Victoria)</t>
  </si>
  <si>
    <t>Australian Gas Networks Limited (reporting data for Victoria)</t>
  </si>
  <si>
    <t>AusNet (Gas)</t>
  </si>
  <si>
    <t>AusNet Gas Services</t>
  </si>
  <si>
    <t>086015036</t>
  </si>
  <si>
    <t>-</t>
  </si>
  <si>
    <t>Level 31</t>
  </si>
  <si>
    <t>2 Southbank Boulevard</t>
  </si>
  <si>
    <t>SOUTHBANK</t>
  </si>
  <si>
    <t>Australian Distribution Co. (Gas)</t>
  </si>
  <si>
    <t xml:space="preserve">Australian Gas Distribution Co. </t>
  </si>
  <si>
    <t>123 Straight Street</t>
  </si>
  <si>
    <t>MELBOURNE</t>
  </si>
  <si>
    <t>PO Box 123</t>
  </si>
  <si>
    <t>Central Ranges Pipeline (D)</t>
  </si>
  <si>
    <t>Central Ranges Pipeline Pty Ltd</t>
  </si>
  <si>
    <t>NSW</t>
  </si>
  <si>
    <t>Level 19</t>
  </si>
  <si>
    <t>580 George Street</t>
  </si>
  <si>
    <t>SYDNEY</t>
  </si>
  <si>
    <t>PO Box R41</t>
  </si>
  <si>
    <t>ROYAL EXCHANGE</t>
  </si>
  <si>
    <t>Evoenergy Gas</t>
  </si>
  <si>
    <t>JGN</t>
  </si>
  <si>
    <t>Jemena Gas Networks (NSW) Ltd</t>
  </si>
  <si>
    <t>003 004 322</t>
  </si>
  <si>
    <t>Multinet Gas</t>
  </si>
  <si>
    <t>Multinet Gas (DB No.1) Pty Ltd (ACN 086 026 986), Multinet Gas (DB No.2) Pty Ltd (ACN 086 230 122)</t>
  </si>
  <si>
    <t>086026986</t>
  </si>
  <si>
    <t>43-45 Centreway</t>
  </si>
  <si>
    <t>MT WAVERLEY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</si>
  <si>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</si>
  <si>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 xml:space="preserve">dms_Model_List </t>
  </si>
  <si>
    <t>dms_Model_Name_Format1</t>
  </si>
  <si>
    <t>dms_Worksheet_List</t>
  </si>
  <si>
    <t>dms_Model_Span_List</t>
  </si>
  <si>
    <t>ARR</t>
  </si>
  <si>
    <t>Annual Reporting</t>
  </si>
  <si>
    <t>CA</t>
  </si>
  <si>
    <t>Category Analysis</t>
  </si>
  <si>
    <t>CESS</t>
  </si>
  <si>
    <t>Capitlal Expenditure</t>
  </si>
  <si>
    <t>CAPITLAL EXPENDITURE SHARING SCHEMING</t>
  </si>
  <si>
    <t>CPI</t>
  </si>
  <si>
    <t>EB</t>
  </si>
  <si>
    <t>Economic Benchmarking</t>
  </si>
  <si>
    <t>Pricing</t>
  </si>
  <si>
    <t>Pricing Proposal</t>
  </si>
  <si>
    <t>PRICING PROPOSAL</t>
  </si>
  <si>
    <t>Post Tax Revenue Model</t>
  </si>
  <si>
    <t>POST TAX REVENUE MODEL</t>
  </si>
  <si>
    <t>Reset</t>
  </si>
  <si>
    <t>Regulatory Reporting (Reset)</t>
  </si>
  <si>
    <t>REGULATORY REPORTING STATEMENT</t>
  </si>
  <si>
    <t>Roll Forward Model</t>
  </si>
  <si>
    <t>ROLL FORWARD MODEL</t>
  </si>
  <si>
    <t>WACC</t>
  </si>
  <si>
    <t>Weighted Average Cost of Capital</t>
  </si>
  <si>
    <t>WEIGHTED AVERAGE COST OF CAPITAL</t>
  </si>
  <si>
    <t>Calendar</t>
  </si>
  <si>
    <t>PREVIOUS</t>
  </si>
  <si>
    <t>CURRENT</t>
  </si>
  <si>
    <t>FORTHCOMING</t>
  </si>
  <si>
    <t>1987-88</t>
  </si>
  <si>
    <t>1988</t>
  </si>
  <si>
    <t>PRCP_y1</t>
  </si>
  <si>
    <t>CRCP_y1</t>
  </si>
  <si>
    <t>1988-89</t>
  </si>
  <si>
    <t>1989</t>
  </si>
  <si>
    <t>PRCP_y2</t>
  </si>
  <si>
    <t>CRCP_y2</t>
  </si>
  <si>
    <t>FRCP_y2</t>
  </si>
  <si>
    <t>1989-90</t>
  </si>
  <si>
    <t>1990</t>
  </si>
  <si>
    <t>PRCP_y3</t>
  </si>
  <si>
    <t>CRCP_y3</t>
  </si>
  <si>
    <t>FRCP_y3</t>
  </si>
  <si>
    <t>1990-91</t>
  </si>
  <si>
    <t>1991</t>
  </si>
  <si>
    <t>PRCP_y4</t>
  </si>
  <si>
    <t>CRCP_y4</t>
  </si>
  <si>
    <t>FRCP_y4</t>
  </si>
  <si>
    <t>1991-92</t>
  </si>
  <si>
    <t>1992</t>
  </si>
  <si>
    <t>PRCP_y5</t>
  </si>
  <si>
    <t>CRCP_y5</t>
  </si>
  <si>
    <t>FRCP_y5</t>
  </si>
  <si>
    <t>1992-93</t>
  </si>
  <si>
    <t>1993</t>
  </si>
  <si>
    <t>PRCP_y6</t>
  </si>
  <si>
    <t>CRCP_y6</t>
  </si>
  <si>
    <t>FRCP_y6</t>
  </si>
  <si>
    <t>1993-94</t>
  </si>
  <si>
    <t>1994</t>
  </si>
  <si>
    <t>PRCP_y7</t>
  </si>
  <si>
    <t>CRCP_y7</t>
  </si>
  <si>
    <t>FRCP_y7</t>
  </si>
  <si>
    <t>1994-95</t>
  </si>
  <si>
    <t>1995</t>
  </si>
  <si>
    <t>PRCP_y8</t>
  </si>
  <si>
    <t>CRCP_y8</t>
  </si>
  <si>
    <t>FRCP_y8</t>
  </si>
  <si>
    <t>1995-96</t>
  </si>
  <si>
    <t>1996</t>
  </si>
  <si>
    <t>PRCP_y9</t>
  </si>
  <si>
    <t>CRCP_y9</t>
  </si>
  <si>
    <t>FRCP_y9</t>
  </si>
  <si>
    <t>1996-97</t>
  </si>
  <si>
    <t>1997</t>
  </si>
  <si>
    <t>PRCP_y10</t>
  </si>
  <si>
    <t>CRCP_y10</t>
  </si>
  <si>
    <t>FRCP_y10</t>
  </si>
  <si>
    <t>1997-98</t>
  </si>
  <si>
    <t>1998</t>
  </si>
  <si>
    <t>PRCP_y11</t>
  </si>
  <si>
    <t>CRCP_y11</t>
  </si>
  <si>
    <t>FRCP_y11</t>
  </si>
  <si>
    <t>1998-99</t>
  </si>
  <si>
    <t>1999</t>
  </si>
  <si>
    <t>PRCP_y12</t>
  </si>
  <si>
    <t>CRCP_y12</t>
  </si>
  <si>
    <t>FRCP_y12</t>
  </si>
  <si>
    <t>1999-00</t>
  </si>
  <si>
    <t>2000</t>
  </si>
  <si>
    <t>PRCP_y13</t>
  </si>
  <si>
    <t>CRCP_y13</t>
  </si>
  <si>
    <t>FRCP_y13</t>
  </si>
  <si>
    <t>2000-01</t>
  </si>
  <si>
    <t>2001</t>
  </si>
  <si>
    <t>PRCP_y14</t>
  </si>
  <si>
    <t>CRCP_y14</t>
  </si>
  <si>
    <t>FRCP_y14</t>
  </si>
  <si>
    <t>2001-02</t>
  </si>
  <si>
    <t>2002</t>
  </si>
  <si>
    <t>PRCP_y15</t>
  </si>
  <si>
    <t>CRCP_y15</t>
  </si>
  <si>
    <t>FRCP_y15</t>
  </si>
  <si>
    <t>2002-03</t>
  </si>
  <si>
    <t>2003</t>
  </si>
  <si>
    <t>PRCP_y16</t>
  </si>
  <si>
    <t>CRCP_y16</t>
  </si>
  <si>
    <t>FRCP_y16</t>
  </si>
  <si>
    <t>2003-04</t>
  </si>
  <si>
    <t>2004</t>
  </si>
  <si>
    <t>2004-05</t>
  </si>
  <si>
    <t>2005</t>
  </si>
  <si>
    <t>2005-06</t>
  </si>
  <si>
    <t>2006</t>
  </si>
  <si>
    <t>CRY - FRY</t>
  </si>
  <si>
    <t>2006-07</t>
  </si>
  <si>
    <t>2007</t>
  </si>
  <si>
    <t>dms_y1</t>
  </si>
  <si>
    <t>2007-08</t>
  </si>
  <si>
    <t>2008</t>
  </si>
  <si>
    <t>dms_y2</t>
  </si>
  <si>
    <t>2008-09</t>
  </si>
  <si>
    <t>2009</t>
  </si>
  <si>
    <t>dms_y3</t>
  </si>
  <si>
    <t>2009-10</t>
  </si>
  <si>
    <t>dms_y4</t>
  </si>
  <si>
    <t>2010-11</t>
  </si>
  <si>
    <t>dms_y5</t>
  </si>
  <si>
    <t>2011-12</t>
  </si>
  <si>
    <t>dms_y6</t>
  </si>
  <si>
    <t>2012-13</t>
  </si>
  <si>
    <t>dms_y7</t>
  </si>
  <si>
    <t>2013-14</t>
  </si>
  <si>
    <t>dms_y8</t>
  </si>
  <si>
    <t>2014-15</t>
  </si>
  <si>
    <t>dms_y9</t>
  </si>
  <si>
    <t>2015-16</t>
  </si>
  <si>
    <t>dms_y10</t>
  </si>
  <si>
    <t>2016-17</t>
  </si>
  <si>
    <t>dms_y11</t>
  </si>
  <si>
    <t>2017-18</t>
  </si>
  <si>
    <t>dms_y12</t>
  </si>
  <si>
    <t>2018-19</t>
  </si>
  <si>
    <t>dms_y13</t>
  </si>
  <si>
    <t>2019-20</t>
  </si>
  <si>
    <t>dms_y14</t>
  </si>
  <si>
    <t>2020-21</t>
  </si>
  <si>
    <t>dms_y15</t>
  </si>
  <si>
    <t>2021-22</t>
  </si>
  <si>
    <t>dms_y16</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</si>
  <si>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</si>
  <si>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</si>
  <si>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</si>
  <si>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</si>
  <si>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</si>
  <si>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</si>
  <si>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</si>
  <si>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</si>
  <si>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</si>
  <si>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</si>
  <si>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</si>
  <si>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</si>
  <si>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</si>
  <si>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</si>
  <si>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</si>
  <si>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</si>
  <si>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</si>
  <si>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</si>
  <si>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</si>
  <si>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AER ETL INFORMATION</t>
  </si>
  <si>
    <t>USES NAMED RANGES FLAG</t>
  </si>
  <si>
    <t>yes</t>
  </si>
  <si>
    <t>dms_Defined_Names_Used</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</si>
  <si>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</si>
  <si>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</si>
  <si>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</si>
  <si>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Full trading name</t>
  </si>
  <si>
    <t>dms_TradingNameFull</t>
  </si>
  <si>
    <t>Trading name</t>
  </si>
  <si>
    <t>Selected here</t>
  </si>
  <si>
    <t>Model / RIN</t>
  </si>
  <si>
    <t>dms_Model</t>
  </si>
  <si>
    <r>
      <t xml:space="preserve">Read from </t>
    </r>
    <r>
      <rPr>
        <i/>
        <sz val="11"/>
        <color theme="1"/>
        <rFont val="Calibri"/>
        <family val="2"/>
        <scheme val="minor"/>
      </rPr>
      <t>Business &amp; other details</t>
    </r>
  </si>
  <si>
    <t>Source</t>
  </si>
  <si>
    <t>dms_Source</t>
  </si>
  <si>
    <t>Data quality</t>
  </si>
  <si>
    <t>For DB purposes this is always Consoldiated</t>
  </si>
  <si>
    <t>Data status</t>
  </si>
  <si>
    <t>For DB purposes this is always Public</t>
  </si>
  <si>
    <t>Amendment reason</t>
  </si>
  <si>
    <t>dms_AmendmentReason</t>
  </si>
  <si>
    <t>Submission date</t>
  </si>
  <si>
    <t>dms_SubmissionDate</t>
  </si>
  <si>
    <t>Redundant</t>
  </si>
  <si>
    <t>EBSS - First application of scheme in forthcoming period?</t>
  </si>
  <si>
    <t>No</t>
  </si>
  <si>
    <t>Pre-populated from lookup table</t>
  </si>
  <si>
    <t>Data ingestion data quality</t>
  </si>
  <si>
    <t>dms_DataQuality</t>
  </si>
  <si>
    <t>=IF(dms_DQ_2="Confidential","Consolidated","Public")</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</si>
  <si>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</si>
  <si>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</si>
  <si>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</si>
  <si>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</si>
  <si>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</si>
  <si>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</si>
  <si>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</si>
  <si>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</si>
  <si>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</si>
  <si>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</si>
  <si>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</si>
  <si>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</si>
  <si>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EB/CA Unit of Measure for Monetary Values</t>
  </si>
  <si>
    <t>dms_dollar_nom_UOM</t>
  </si>
  <si>
    <t>If the cover sheet is attached to an ABC RIN apply the NAMED RANGE to the cell</t>
  </si>
  <si>
    <t>Security Classification</t>
  </si>
  <si>
    <t>dms_Classification</t>
  </si>
  <si>
    <t>Always Public</t>
  </si>
  <si>
    <t>Jurisdiction</t>
  </si>
  <si>
    <t>dms_Jurisdiction</t>
  </si>
  <si>
    <t>=INDEX(dms_JurisdictionList,MATCH(dms_TradingName,dms_TradingName_List))</t>
  </si>
  <si>
    <t>Relevant for PTRM, RFMs and Reset RINS</t>
  </si>
  <si>
    <t>$ REAL REFERENCES</t>
  </si>
  <si>
    <t xml:space="preserve">Does the named range CRY exist in this file? </t>
  </si>
  <si>
    <t>CRY-1  (last full calendar year before CRY)</t>
  </si>
  <si>
    <t>dms_Cal_Year_B4_CRY</t>
  </si>
  <si>
    <t>'=IF(dms_RPT="financial",VALUE(LEFT(dms_SingleYear_FinalYear_Result,4)),VALUE(LEFT(dms_SingleYear_FinalYear_Result,4)-1))</t>
  </si>
  <si>
    <t>Dollar $ real month</t>
  </si>
  <si>
    <t>dms_RPTMonth</t>
  </si>
  <si>
    <t>=INDEX(dms_RPTMonth_List,MATCH(dms_TradingName,dms_TradingName_List))</t>
  </si>
  <si>
    <t>Dollar $ real  (the last month before the FRCP_y1)</t>
  </si>
  <si>
    <t>dms_DollarReal</t>
  </si>
  <si>
    <t>=IF(SUM(dms_SingleYear_Model)&gt;0,CONCATENATE(dms_RPTMonth)&amp;" "&amp;VALUE((LEFT(CRY,2))&amp;RIGHT(CRY,2)),CONCATENATE(dms_RPTMonth)&amp;" "&amp;VALUE((LEFT(dms_RYE,2)&amp;RIGHT(dms_RYE,2))))</t>
  </si>
  <si>
    <t>Dollar $ real previous year (PRCP_y5)</t>
  </si>
  <si>
    <t>dms_DollarReal_Prev</t>
  </si>
  <si>
    <t>=IF(SUM(dms_SingleYear_Model)&gt;0,CONCATENATE(dms_RPTMonth)&amp;" "&amp;VALUE(((LEFT(CRY,2))&amp;RIGHT(CRY,2))-1),CONCATENATE(dms_RPTMonth)&amp;" "&amp;VALUE(((LEFT(dms_CRCP_FirstYear_Result,2)&amp;RIGHT(dms_CRCP_FirstYear_Result,2))))-1)</t>
  </si>
  <si>
    <t>PTRM/ RFMs</t>
  </si>
  <si>
    <t>Form of control</t>
  </si>
  <si>
    <t>dms_FormControl</t>
  </si>
  <si>
    <t>=INDEX(dms_FormControl_List,MATCH(dms_TradingName,dms_TradingName_List))</t>
  </si>
  <si>
    <t>All potential values for Regulatory Years or RYEs as calculated</t>
  </si>
  <si>
    <t>This block works out the various RYE's for ALL RIN types and MODELS</t>
  </si>
  <si>
    <t>dms_start_year</t>
  </si>
  <si>
    <t>=FRCP_y1</t>
  </si>
  <si>
    <r>
      <rPr>
        <b/>
        <sz val="11"/>
        <color theme="1"/>
        <rFont val="Calibri"/>
        <family val="2"/>
        <scheme val="minor"/>
      </rPr>
      <t>FRCP_y1</t>
    </r>
    <r>
      <rPr>
        <sz val="11"/>
        <color theme="1"/>
        <rFont val="Calibri"/>
        <family val="2"/>
        <scheme val="minor"/>
      </rPr>
      <t xml:space="preserve"> from cover sheet</t>
    </r>
  </si>
  <si>
    <t>dms_CRY_start_year</t>
  </si>
  <si>
    <t>=IFERROR(CRY,CRCP_y4)</t>
  </si>
  <si>
    <t>dms_CRY_start_row</t>
  </si>
  <si>
    <t>=IFERROR(MATCH(dms_CRY_start_year,INDIRECT(dms_RPT),0),0)</t>
  </si>
  <si>
    <t>dms_FRCP_start_row</t>
  </si>
  <si>
    <t>=MATCH(dms_start_year,INDIRECT(dms_RPT),0)</t>
  </si>
  <si>
    <r>
      <t xml:space="preserve">Uses </t>
    </r>
    <r>
      <rPr>
        <b/>
        <sz val="11"/>
        <color theme="1"/>
        <rFont val="Calibri"/>
        <family val="2"/>
        <scheme val="minor"/>
      </rPr>
      <t>FRCP_y1</t>
    </r>
    <r>
      <rPr>
        <sz val="11"/>
        <color theme="1"/>
        <rFont val="Calibri"/>
        <family val="2"/>
        <scheme val="minor"/>
      </rPr>
      <t xml:space="preserve"> as a start reference</t>
    </r>
  </si>
  <si>
    <t>dms_CRCP_start_row</t>
  </si>
  <si>
    <t>=dms_FRCP_start_row-dms_CRCPlength_Num</t>
  </si>
  <si>
    <r>
      <t xml:space="preserve">Uses the value in </t>
    </r>
    <r>
      <rPr>
        <b/>
        <sz val="11"/>
        <color theme="1"/>
        <rFont val="Calibri"/>
        <family val="2"/>
        <scheme val="minor"/>
      </rPr>
      <t>dms_CRCPlength_Num</t>
    </r>
  </si>
  <si>
    <t>dms_PRCP_start_row</t>
  </si>
  <si>
    <t>=dms_FRCP_start_row-dms_CRCPlength_Num-dms_PRCPlength_Num</t>
  </si>
  <si>
    <r>
      <t xml:space="preserve">Uses the value in </t>
    </r>
    <r>
      <rPr>
        <b/>
        <sz val="11"/>
        <color theme="1"/>
        <rFont val="Calibri"/>
        <family val="2"/>
        <scheme val="minor"/>
      </rPr>
      <t>dms_CRCPlength_Num</t>
    </r>
    <r>
      <rPr>
        <sz val="11"/>
        <color theme="1"/>
        <rFont val="Calibri"/>
        <family val="2"/>
        <scheme val="minor"/>
      </rPr>
      <t xml:space="preserve"> and </t>
    </r>
    <r>
      <rPr>
        <b/>
        <sz val="11"/>
        <color theme="1"/>
        <rFont val="Calibri"/>
        <family val="2"/>
        <scheme val="minor"/>
      </rPr>
      <t>dms_PRCPlength_Num</t>
    </r>
  </si>
  <si>
    <t>dms_RYE_start_row</t>
  </si>
  <si>
    <t>=dms_FRCP_start_row+(dms_FRCPlength_Num-1)</t>
  </si>
  <si>
    <r>
      <t xml:space="preserve">Uses the value in </t>
    </r>
    <r>
      <rPr>
        <b/>
        <sz val="11"/>
        <color theme="1"/>
        <rFont val="Calibri"/>
        <family val="2"/>
        <scheme val="minor"/>
      </rPr>
      <t>dms_FRCPlength_Num-1</t>
    </r>
  </si>
  <si>
    <t>FRCP_start_year</t>
  </si>
  <si>
    <t>=INDEX(INDIRECT(dms_RPT),dms_FRCP_start_row)</t>
  </si>
  <si>
    <t>Converts the FRCP start row to display the year</t>
  </si>
  <si>
    <t>CRCP_start_year</t>
  </si>
  <si>
    <t>=INDEX(INDIRECT(dms_RPT),dms_CRCP_start_row)</t>
  </si>
  <si>
    <t>Converts the CRCP start row to display the year</t>
  </si>
  <si>
    <t>PRCP_start_year</t>
  </si>
  <si>
    <t>=INDEX(INDIRECT(dms_RPT),dms_PRCP_start_row)</t>
  </si>
  <si>
    <t>Converts the PRCP start row to display the year</t>
  </si>
  <si>
    <t>FRCP_final_year</t>
  </si>
  <si>
    <t>=INDEX(INDIRECT(dms_RPT),dms_FRCP_start_row+dms_FRCPlength_Num-1)</t>
  </si>
  <si>
    <t>Finds the FRCP final year</t>
  </si>
  <si>
    <t>CRCP_final_year</t>
  </si>
  <si>
    <t>=INDEX(INDIRECT(dms_RPT),dms_CRCP_start_row+dms_CRCPlength_Num-1)</t>
  </si>
  <si>
    <t>Finds the CRCP final year</t>
  </si>
  <si>
    <t>PRCP_final_year</t>
  </si>
  <si>
    <t>=INDEX(INDIRECT(dms_RPT),dms_PRCP_start_row+dms_FRCPlength_Num-1)</t>
  </si>
  <si>
    <t>Finds the PRCP final year</t>
  </si>
  <si>
    <t>dms_Reset_final_year</t>
  </si>
  <si>
    <t>=INDEX(INDIRECT(dms_RPT),dms_RYE_start_row)</t>
  </si>
  <si>
    <t>For Resets and PTRM/RFMs (same as FRCP_final_year)</t>
  </si>
  <si>
    <t>dms_SpecifiedYear_final_year</t>
  </si>
  <si>
    <t>=FRY</t>
  </si>
  <si>
    <r>
      <rPr>
        <b/>
        <sz val="11"/>
        <color theme="1"/>
        <rFont val="Calibri"/>
        <family val="2"/>
        <scheme val="minor"/>
      </rPr>
      <t xml:space="preserve">FRY </t>
    </r>
    <r>
      <rPr>
        <sz val="11"/>
        <color theme="1"/>
        <rFont val="Calibri"/>
        <family val="2"/>
        <scheme val="minor"/>
      </rPr>
      <t>from cover sheet</t>
    </r>
  </si>
  <si>
    <t>dms_DollarReal_year</t>
  </si>
  <si>
    <t>=LEFT(CRCP_final_year,2)&amp;RIGHT(CRCP_final_year,2)</t>
  </si>
  <si>
    <r>
      <t xml:space="preserve">Uses the value in </t>
    </r>
    <r>
      <rPr>
        <b/>
        <sz val="11"/>
        <color theme="1"/>
        <rFont val="Calibri"/>
        <family val="2"/>
        <scheme val="minor"/>
      </rPr>
      <t>CRCP_final_year</t>
    </r>
  </si>
  <si>
    <t>dms_Previous_DollarReal_year</t>
  </si>
  <si>
    <t>=LEFT(PRCP_final_year,2)&amp;RIGHT(PRCP_final_year,2)</t>
  </si>
  <si>
    <r>
      <t>Uses the value in P</t>
    </r>
    <r>
      <rPr>
        <b/>
        <sz val="11"/>
        <color theme="1"/>
        <rFont val="Calibri"/>
        <family val="2"/>
        <scheme val="minor"/>
      </rPr>
      <t>RCP_final_year</t>
    </r>
  </si>
  <si>
    <t>dms_CRY_RYE</t>
  </si>
  <si>
    <t>=IFERROR(LEFT(CRY,2)&amp;RIGHT(CRY,2),0)</t>
  </si>
  <si>
    <t>For ABC single year RINS</t>
  </si>
  <si>
    <t>dms_Reset_RYE</t>
  </si>
  <si>
    <t>=IF(dms_Model_Span&gt;1,IF(dms_Model="RFM",(LEFT(dms_DollarReal_year,2)&amp;RIGHT(dms_DollarReal_year,2)),(LEFT(dms_Reset_final_year,2)&amp;RIGHT(dms_Reset_final_year,2))),0)</t>
  </si>
  <si>
    <r>
      <t xml:space="preserve">If model span &gt; 1 then uses </t>
    </r>
    <r>
      <rPr>
        <b/>
        <sz val="11"/>
        <color theme="1"/>
        <rFont val="Calibri"/>
        <family val="2"/>
        <scheme val="minor"/>
      </rPr>
      <t xml:space="preserve">dms_Reset_RYE </t>
    </r>
    <r>
      <rPr>
        <sz val="11"/>
        <color theme="1"/>
        <rFont val="Calibri"/>
        <family val="2"/>
        <scheme val="minor"/>
      </rPr>
      <t>otherwise it's a multi year ABC and uses</t>
    </r>
    <r>
      <rPr>
        <b/>
        <sz val="11"/>
        <color theme="1"/>
        <rFont val="Calibri"/>
        <family val="2"/>
        <scheme val="minor"/>
      </rPr>
      <t xml:space="preserve"> dms_Specified_RYE</t>
    </r>
  </si>
  <si>
    <t>dms_Specified_RYE</t>
  </si>
  <si>
    <t>=IF(dms_MultiYear_ResponseFlag="Yes",(LEFT(dms_Specified_FinalYear,2)&amp;RIGHT(dms_Specified_FinalYear,2)),0)</t>
  </si>
  <si>
    <r>
      <t xml:space="preserve">If multi year ABC - uses </t>
    </r>
    <r>
      <rPr>
        <b/>
        <sz val="11"/>
        <color theme="1"/>
        <rFont val="Calibri"/>
        <family val="2"/>
        <scheme val="minor"/>
      </rPr>
      <t>dms_Specified_FinalYear</t>
    </r>
  </si>
  <si>
    <t>dms_Model_Span</t>
  </si>
  <si>
    <t>=INDEX(dms_Model_Span_List,MATCH(dms_Model,dms_Model_List))</t>
  </si>
  <si>
    <t>A result of 5 is used to signify that it is more than 1 year span</t>
  </si>
  <si>
    <t>dms_RYE_result</t>
  </si>
  <si>
    <t>=IF(dms_MultiYear_ResponseFlag="yes",dms_Specified_RYE,(IF(dms_Model_Span&gt;1,dms_Reset_RYE,dms_CRY_RYE)))</t>
  </si>
  <si>
    <r>
      <t xml:space="preserve">Nested IF - feeds into </t>
    </r>
    <r>
      <rPr>
        <b/>
        <sz val="11"/>
        <color theme="1"/>
        <rFont val="Calibri"/>
        <family val="2"/>
        <scheme val="minor"/>
      </rPr>
      <t>dms_RYE</t>
    </r>
  </si>
  <si>
    <t>dms_Reset_Span</t>
  </si>
  <si>
    <t>=IF(dms_Reset_RYE&gt;0,CONCATENATE(FRCP_y1," to ",FRCP_final_year),0)</t>
  </si>
  <si>
    <t>Reset span of years as text</t>
  </si>
  <si>
    <t>dms_SpecifiedYear_Span</t>
  </si>
  <si>
    <t>=IF(dms_Specified_RYE&gt;0,CONCATENATE(CRY," to ",dms_Specified_FinalYear),0)</t>
  </si>
  <si>
    <t>Multi year ABC span of years as text</t>
  </si>
  <si>
    <t>dms_Header_Span</t>
  </si>
  <si>
    <t>=IF(dms_MultiYear_Flag=1,dms_SpecifiedYear_Span,IF(dms_Model_Span&gt;1,dms_Reset_Span,CRY))</t>
  </si>
  <si>
    <r>
      <t xml:space="preserve">NESTED IF - for </t>
    </r>
    <r>
      <rPr>
        <b/>
        <sz val="11"/>
        <color theme="1"/>
        <rFont val="Calibri"/>
        <family val="2"/>
        <scheme val="minor"/>
      </rPr>
      <t>Sheet Headers</t>
    </r>
  </si>
  <si>
    <t>ABC RINS THAT SPAN MULTIPLE YEARS</t>
  </si>
  <si>
    <t>This is a multi year ABC RIN?</t>
  </si>
  <si>
    <t>dms_MultiYear_Flag</t>
  </si>
  <si>
    <t>This is set from the answer provided above</t>
  </si>
  <si>
    <t>dms_Specified_FinalYear</t>
  </si>
  <si>
    <t>The result here is returned to dms_CRCP_FinalYear_Result if response to Q in C73 is "yes" and dms_MultiYear_Flag is set to 1</t>
  </si>
  <si>
    <t xml:space="preserve"> Start year for 5.2 in Multi year ABC RINS</t>
  </si>
  <si>
    <t>dms_0502_Inst_Year</t>
  </si>
  <si>
    <t>=IF(dms_MultiYear_Flag=1,FRY,CRY)</t>
  </si>
  <si>
    <t>For single year RINS this is CRY - multi year RINS need to start a the end of the span of years (ie. FRY)</t>
  </si>
  <si>
    <t>WHAT IS THE RYE?</t>
  </si>
  <si>
    <t>Reg Period Lengths</t>
  </si>
  <si>
    <t>PRCP length in years</t>
  </si>
  <si>
    <t>dms_PRCPlength_Num</t>
  </si>
  <si>
    <t>=INDEX(dms_PRCPlength_List,MATCH(dms_TradingName,dms_TradingName_List))</t>
  </si>
  <si>
    <t>CRCP length in years</t>
  </si>
  <si>
    <t>dms_CRCPlength_Num</t>
  </si>
  <si>
    <t>=INDEX(dms_CRCPlength_List,MATCH(dms_TradingName,dms_TradingName_List))</t>
  </si>
  <si>
    <t>FRCP length in years</t>
  </si>
  <si>
    <t>dms_FRCPlength_Num</t>
  </si>
  <si>
    <t>=INDEX(dms_FRCPlength_List,MATCH(dms_TradingName,dms_TradingName_List))</t>
  </si>
  <si>
    <t>Single year RIN?</t>
  </si>
  <si>
    <t>Single Year ABC RIN ?</t>
  </si>
  <si>
    <t>dms_EB</t>
  </si>
  <si>
    <t>dms_CA</t>
  </si>
  <si>
    <t>=dms_SingleYear_Model</t>
  </si>
  <si>
    <t>dms_ARR</t>
  </si>
  <si>
    <t>Is this a single Year ABC RIN?</t>
  </si>
  <si>
    <t>dms_SingleYearModel</t>
  </si>
  <si>
    <t>=IF(SUM(dms_SingleYear_Model)=1,"yes","no")</t>
  </si>
  <si>
    <t>Single Year Final Year Result</t>
  </si>
  <si>
    <t>dms_SingleYear_FinalYear_Result</t>
  </si>
  <si>
    <t>=IFERROR(IF(SUM(dms_SingleYear_Model)&lt;&gt;0,(INDIRECT(dms_SingleYear_FinalYear_Ref)),"not a single year RIN"),"CRY not present")</t>
  </si>
  <si>
    <t>Multi year RIN?</t>
  </si>
  <si>
    <t>Multi Year Reset/Model?</t>
  </si>
  <si>
    <t>Final year result for Reset/Model</t>
  </si>
  <si>
    <t>dms_MultiYear_FinalYear_Result</t>
  </si>
  <si>
    <t>dms_CRCP_FinalYear_Result</t>
  </si>
  <si>
    <t>Multi Year ABC RIN?</t>
  </si>
  <si>
    <t>dms_MultiYear_ABC_RIN</t>
  </si>
  <si>
    <t>Final year result for ABC multi year</t>
  </si>
  <si>
    <t>EB RINS</t>
  </si>
  <si>
    <t>Calendar Year for table 3.6 data</t>
  </si>
  <si>
    <t>dms_0306_Year</t>
  </si>
  <si>
    <t>=IF(dms_Segment="Transmission",dms_Cal_Year_B4_CRY,CRY)</t>
  </si>
  <si>
    <t>CA RINS</t>
  </si>
  <si>
    <t>Find how many rows in tables 6.3 sustained interruptions?</t>
  </si>
  <si>
    <t>dms_060301_MaxRows only returns a valid value when cover sheet is attached to a CA file</t>
  </si>
  <si>
    <t>=IF(dms_Model&lt;&gt;"CA","not a CA","Is a CA")</t>
  </si>
  <si>
    <t>dms_060301_Avg_Duration_Sustained_Int_Values present?</t>
  </si>
  <si>
    <t>dms_060301_checkvalue</t>
  </si>
  <si>
    <t>=IFERROR(IF(INDEX(dms_060301_Avg_Duration_Sustained_Int_Values,1,1)&lt;&gt;"","yes","no"),"no")</t>
  </si>
  <si>
    <t>=IF(AND(dms_Model="CA",(dms_060301_checkvalue="no")),"error - NR not present","no errors")</t>
  </si>
  <si>
    <t>Table 6.3.1 - last row reference</t>
  </si>
  <si>
    <t>dms_060301_LastRow</t>
  </si>
  <si>
    <t>=IFERROR(IF(dms_Model="CA",LOOKUP(2,1/(dms_060301_Avg_Duration_Sustained_Int_Values&lt;&gt;""),(ROW(dms_060301_Avg_Duration_Sustained_Int_Values))),"not a CA"),"6.3 not present")</t>
  </si>
  <si>
    <t>Table 6.3.1 - max number rows</t>
  </si>
  <si>
    <t>dms_060301_MaxRows</t>
  </si>
  <si>
    <t>=IFERROR(IF(dms_Model="CA",(dms_060301_LastRow-15),"not a CA"),"error")</t>
  </si>
  <si>
    <t>Table 6.6.3 - Public lighting repair - no. business days</t>
  </si>
  <si>
    <t>dms_663</t>
  </si>
  <si>
    <t>=INDEX(dms_663_List,MATCH(dms_TradingName,dms_TradingName_List))</t>
  </si>
  <si>
    <t>ARR or RESET RINS</t>
  </si>
  <si>
    <t>How many rows in tables 6.1 or 6.7?  (leap year?)</t>
  </si>
  <si>
    <r>
      <t xml:space="preserve">insert </t>
    </r>
    <r>
      <rPr>
        <i/>
        <u/>
        <sz val="10"/>
        <color theme="0" tint="-0.499984740745262"/>
        <rFont val="Arial"/>
        <family val="2"/>
      </rPr>
      <t>dms_LeapYear</t>
    </r>
    <r>
      <rPr>
        <i/>
        <sz val="10"/>
        <color theme="0" tint="-0.499984740745262"/>
        <rFont val="Arial"/>
        <family val="2"/>
      </rPr>
      <t xml:space="preserve"> NR if required</t>
    </r>
  </si>
  <si>
    <t>'dms_LeapYear is used to determine dms_060701_Max_Rows BUT it is only found on worksheet 6.1 or 6.7 and the date value in the cell is used to determine whether it is a leap year</t>
  </si>
  <si>
    <t>Is dms_LeapYear named range present?</t>
  </si>
  <si>
    <t>Table 6.7.1 - includes a leap year?</t>
  </si>
  <si>
    <t>dms_LeapYear_Result</t>
  </si>
  <si>
    <t>=IFERROR(IF(MONTH(DATE(YEAR(dms_LeapYear),2,29))=2,"is a leap year","not a leap year"),"dms_LeapYear not present")</t>
  </si>
  <si>
    <t>MaxRows if Reset and leap year</t>
  </si>
  <si>
    <t>dms_060701_Reset_MaxRows</t>
  </si>
  <si>
    <t>=IF(dms_LeapYear_Result="is a leap year",1827,1826)</t>
  </si>
  <si>
    <t>number of days present in Reset RIN table</t>
  </si>
  <si>
    <t>MaxRows if ARR and leap year</t>
  </si>
  <si>
    <t>dms_060701_ARR_MaxRows</t>
  </si>
  <si>
    <t>=IF(dms_LeapYear_Result="is a leap year",366,365)</t>
  </si>
  <si>
    <t>number of days present in ARR RIN table</t>
  </si>
  <si>
    <t>Table 6.7.1 - Max Rows (leap year/ non leap year)</t>
  </si>
  <si>
    <t>dms_060701_MaxRows</t>
  </si>
  <si>
    <t>=IF(dms_Model="ARR",dms_060701_ARR_MaxRows,IF(dms_Model="Reset",dms_060701_Reset_MaxRows,"not a relevant RIN type"))</t>
  </si>
  <si>
    <t>How many columns in 6.7?   (4 or 5 feeder categories)</t>
  </si>
  <si>
    <t>Table 6.7.1 - Last column (# of feeder categories &gt; 4)</t>
  </si>
  <si>
    <t>dms_060701_MaxCols</t>
  </si>
  <si>
    <t>=IF(dms_FifthFeeder_flag_NSP="NO",8,10)</t>
  </si>
  <si>
    <t>Table 6.7.1 - Number of offset rows</t>
  </si>
  <si>
    <t>dms_060701_OffsetRows</t>
  </si>
  <si>
    <t>=IF(dms_Model="ARR",15,9)</t>
  </si>
  <si>
    <t>Start date for telephone answering in 6.1 or 6.7?</t>
  </si>
  <si>
    <r>
      <t>Using</t>
    </r>
    <r>
      <rPr>
        <i/>
        <sz val="10"/>
        <color theme="4" tint="-0.499984740745262"/>
        <rFont val="Arial"/>
        <family val="2"/>
      </rPr>
      <t xml:space="preserve"> 060101</t>
    </r>
    <r>
      <rPr>
        <sz val="10"/>
        <color theme="4" tint="-0.499984740745262"/>
        <rFont val="Arial"/>
        <family val="2"/>
      </rPr>
      <t xml:space="preserve"> as naming standard not 060701 for start dates</t>
    </r>
  </si>
  <si>
    <t>Table 6.1.1 and 6.7.1 - Start Date as Text</t>
  </si>
  <si>
    <t>=IF(SUM(dms_SingleYear_Model)&gt;1,(CONCATENATE(IF(LEN(CRY)=4,"1-Jan-","1-Jul-"),LEFT(CRY,4))),(CONCATENATE(IF(LEN(CRCP_y4)=4,"1-Jan-","1-Jul-"),LEFT(CRCP_y4,4))))</t>
  </si>
  <si>
    <t>Table 6.1.1 and 6.7.1 - Start Date as Date Value</t>
  </si>
  <si>
    <t>dms_060101_StartDateVal</t>
  </si>
  <si>
    <t>=DATEVALUE(dms_060701_StartDateTxt)</t>
  </si>
  <si>
    <t>ARRs</t>
  </si>
  <si>
    <t>How many rows in table 6.8?</t>
  </si>
  <si>
    <t>insert dms_060801_StartCell NR if required</t>
  </si>
  <si>
    <r>
      <t xml:space="preserve">dms_060801_StartCell </t>
    </r>
    <r>
      <rPr>
        <i/>
        <sz val="10"/>
        <color theme="0" tint="-0.499984740745262"/>
        <rFont val="Arial"/>
        <family val="2"/>
      </rPr>
      <t>is only found on worksheet 6.8 and is used to determine the starting date for the date range</t>
    </r>
  </si>
  <si>
    <t>Is dms_060801_StartCell named range present?</t>
  </si>
  <si>
    <t>=IFERROR(IF((ROW(dms_060801_StartCell)-1)=1,"yes","yes"),"no")</t>
  </si>
  <si>
    <t>Table 6.8 - Number of offset rows</t>
  </si>
  <si>
    <t>dms_0608_OffsetRows</t>
  </si>
  <si>
    <t>=IFERROR(IF(dms_Model="ARR",(ROW(dms_060801_StartCell)-1),"not an ARR"),"6.8 error")</t>
  </si>
  <si>
    <t>Table 6.8 - Last row</t>
  </si>
  <si>
    <t>0</t>
  </si>
  <si>
    <t>dms_0608_LastRow</t>
  </si>
  <si>
    <t>=IFERROR(IF(dms_060801_StartCell&lt;&gt;"",IF(dms_Model="ARR",(LOOKUP(2,1/(dms_060801_01_Values&lt;&gt;""),(ROW(dms_060801_01_Values)))),"not an ARR"),0),"0")</t>
  </si>
  <si>
    <t>Table 6.8 - MaxRows</t>
  </si>
  <si>
    <t>dms_060801_MaxRows</t>
  </si>
  <si>
    <t>=IFERROR(IF(dms_Model="ARR",(MAX(0,dms_0608_LastRow-dms_0608_OffsetRows)),"not an ARR"),"0")</t>
  </si>
  <si>
    <t>TNSP RESET RINS</t>
  </si>
  <si>
    <t>Table 7.9.4 only appears in TNSPs Reset RIN</t>
  </si>
  <si>
    <t>Table 7.9.4 - first year</t>
  </si>
  <si>
    <t>dms_070904_Start_Year</t>
  </si>
  <si>
    <t>=LEFT(PRCP_y3,4)</t>
  </si>
  <si>
    <t>MISC</t>
  </si>
  <si>
    <t>Distribution Determination Reference</t>
  </si>
  <si>
    <t>dms_DeterminationRef</t>
  </si>
  <si>
    <t>Public lighting NSP?</t>
  </si>
  <si>
    <t>dms_Public_Lighting</t>
  </si>
  <si>
    <t>=INDEX(dms_Public_Lighting_List,MATCH(dms_TradingName,dms_TradingName_List))</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</si>
  <si>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</si>
  <si>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</si>
  <si>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</si>
  <si>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</si>
  <si>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</si>
  <si>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</si>
  <si>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</si>
  <si>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</si>
  <si>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Fifth Feeder Category (eg. TasNetworks (D))</t>
  </si>
  <si>
    <t>dms_FifthFeeder_flag_NSP</t>
  </si>
  <si>
    <t>=INDEX(dms_FeederType_5_flag,MATCH(dms_TradingName,dms_TradingName_List))</t>
  </si>
  <si>
    <t>DISCARD FILES</t>
  </si>
  <si>
    <t>discard this record?</t>
  </si>
  <si>
    <t>dms_DISCARD</t>
  </si>
  <si>
    <t>If record is to be discarded from DB set this flag to YES</t>
  </si>
  <si>
    <t>SUBSET FILES</t>
  </si>
  <si>
    <t>Is this Submission File a Subset File</t>
  </si>
  <si>
    <t>dms_Partial</t>
  </si>
  <si>
    <t>REGULATORY YEARS FOR MULTI RYE SUBMISSIONS</t>
  </si>
  <si>
    <t>Multiple RYE flag</t>
  </si>
  <si>
    <t>dms_Multi_RYE_flag</t>
  </si>
  <si>
    <t>Manually specify RYE</t>
  </si>
  <si>
    <t>Named ranges to apply</t>
  </si>
  <si>
    <t>dms_RYE_01</t>
  </si>
  <si>
    <t>dms_RYE_02</t>
  </si>
  <si>
    <t>dms_RYE_03</t>
  </si>
  <si>
    <t>dms_RYE_04</t>
  </si>
  <si>
    <t>dms_RYE_05</t>
  </si>
  <si>
    <t>dms_RYE_06</t>
  </si>
  <si>
    <t>dms_RYE_07</t>
  </si>
  <si>
    <t>dms_RYE_08</t>
  </si>
  <si>
    <t>dms_RYE_09</t>
  </si>
  <si>
    <t>BUSINESS &amp; OTHER DETAILS</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</si>
  <si>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</si>
  <si>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</si>
  <si>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</si>
  <si>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</si>
  <si>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</si>
  <si>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</si>
  <si>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</si>
  <si>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</si>
  <si>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</si>
  <si>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</si>
  <si>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Level 6 400 King William Street</t>
  </si>
  <si>
    <t>Address 2</t>
  </si>
  <si>
    <t>Suburb</t>
  </si>
  <si>
    <t>Adelaide</t>
  </si>
  <si>
    <t>State</t>
  </si>
  <si>
    <t>Post code</t>
  </si>
  <si>
    <t>`</t>
  </si>
  <si>
    <t>Contact Names</t>
  </si>
  <si>
    <t>Phone</t>
  </si>
  <si>
    <t>Email</t>
  </si>
  <si>
    <t>REGULATORY CONTROL PERIODS</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</si>
  <si>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</si>
  <si>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</si>
  <si>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</si>
  <si>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</si>
  <si>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</si>
  <si>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</si>
  <si>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</si>
  <si>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</si>
  <si>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</si>
  <si>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</si>
  <si>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</si>
  <si>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</si>
  <si>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</si>
  <si>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Submission Date</t>
  </si>
  <si>
    <t>Please enter date this file submitted to AER</t>
  </si>
  <si>
    <t>#25C6FF</t>
  </si>
  <si>
    <t>Protected (SOCI)</t>
  </si>
  <si>
    <t>#FFCCCC</t>
  </si>
  <si>
    <t>12.5% Grey</t>
  </si>
  <si>
    <t>Amended</t>
  </si>
  <si>
    <t>INDICATIVE IMPACT ON DISTRIBUTION CHARGES &amp; GAS BILLS</t>
  </si>
  <si>
    <t>#FFCCCC &amp; 
12.5% Grey</t>
  </si>
  <si>
    <t>Amended Confidential</t>
  </si>
  <si>
    <t>INDICATIVE IMPACT OF THE REGULATORY PROPOSAL ON THE AVERAGE GAS BILL</t>
  </si>
  <si>
    <t>1 - TYPICAL GAS BILL</t>
  </si>
  <si>
    <t>A. ANNUAL USAGE PER CUSTOMER</t>
  </si>
  <si>
    <t>MJ</t>
  </si>
  <si>
    <t>Residential customer</t>
  </si>
  <si>
    <t>Small business customer</t>
  </si>
  <si>
    <t>Source(s) of data:</t>
  </si>
  <si>
    <t>Attachment 13.2 Demand Forecast Model</t>
  </si>
  <si>
    <t>B. TYPICAL ANNUAL GAS BILL</t>
  </si>
  <si>
    <t>Tariff type</t>
  </si>
  <si>
    <t>Tariff R excluding Tanunda</t>
  </si>
  <si>
    <t>Tariff C excluding Tanunda</t>
  </si>
  <si>
    <t>Internal modelling</t>
  </si>
  <si>
    <t>C. DISTRIBUTION COSTS AS A PROPORTION OF A TYPICAL CUSTOMER'S GAS BILL</t>
  </si>
  <si>
    <t>Proportion (%)</t>
  </si>
  <si>
    <t>2 - INDICATIVE ANNUAL AVERAGE DISTRIBUTION PRICE IMPACT</t>
  </si>
  <si>
    <t>Annual Average</t>
  </si>
  <si>
    <t>Forecast inflation (per cent)</t>
  </si>
  <si>
    <t>Forecast X factors (per cent)</t>
  </si>
  <si>
    <t>Annual price path (index, nominal)</t>
  </si>
  <si>
    <t>Annual price path (per cent, nominal)</t>
  </si>
  <si>
    <t>3 - DISTRIBUTION BILL COMPONENT</t>
  </si>
  <si>
    <t>Average annual impact on total bill (%)</t>
  </si>
  <si>
    <t>Distribution charges bill component ($, nominal)</t>
  </si>
  <si>
    <t>Annual change ($, nominal)</t>
  </si>
  <si>
    <t>Small Business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</si>
</sst>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 #,##0.00_);_(* \(#,##0.00\);_(* &quot;-&quot;??_);_(@_)"/>
    <numFmt numFmtId="165" formatCode="0.0"/>
    <numFmt numFmtId="166" formatCode="##\ ###\ ###\ ###\ ##0"/>
    <numFmt numFmtId="167" formatCode="#,##0.00000"/>
    <numFmt numFmtId="168" formatCode="#,##0.0000"/>
    <numFmt numFmtId="169" formatCode="0.0000%"/>
    <numFmt numFmtId="170" formatCode="_-* #,##0.000_-;\-* #,##0.000_-;_-* &quot;-&quot;??_-;_-@_-"/>
    <numFmt numFmtId="171" formatCode="0.000%"/>
    <numFmt numFmtId="172" formatCode="_-* #,##0_-;\-* #,##0_-;_-* &quot;-&quot;??_-;_-@_-"/>
    <numFmt numFmtId="173" formatCode="0000"/>
    <numFmt numFmtId="174" formatCode="###\ ###\ ##0"/>
    <numFmt numFmtId="175" formatCode="0#\ ####\ ####"/>
  </numFmts>
  <fonts count="10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theme="1"/>
      <name val="Arial"/>
      <family val="2"/>
    </font>
    <font>
      <sz val="10"/>
      <color theme="1"/>
      <name val="Arial"/>
      <family val="2"/>
    </font>
    <font>
      <i/>
      <sz val="11"/>
      <color theme="1"/>
      <name val="Arial"/>
      <family val="2"/>
    </font>
    <font>
      <b/>
      <sz val="10"/>
      <name val="Arial"/>
      <family val="2"/>
    </font>
    <font>
      <b/>
      <sz val="11"/>
      <color theme="1"/>
      <name val="Arial"/>
      <family val="2"/>
    </font>
    <font>
      <b/>
      <sz val="12"/>
      <color theme="1"/>
      <name val="Calibri"/>
      <family val="2"/>
      <scheme val="minor"/>
    </font>
    <font>
      <b/>
      <sz val="11"/>
      <name val="Calibri"/>
      <family val="2"/>
      <scheme val="minor"/>
    </font>
    <font>
      <b/>
      <sz val="12"/>
      <color theme="0"/>
      <name val="Calibri"/>
      <family val="2"/>
      <scheme val="minor"/>
    </font>
    <font>
      <b/>
      <sz val="12"/>
      <color theme="0"/>
      <name val="Arial"/>
      <family val="2"/>
    </font>
    <font>
      <b/>
      <sz val="14"/>
      <color theme="0"/>
      <name val="Arial"/>
      <family val="2"/>
    </font>
    <font>
      <b/>
      <sz val="16"/>
      <color indexed="9"/>
      <name val="Arial"/>
      <family val="2"/>
    </font>
    <font>
      <b/>
      <sz val="11"/>
      <name val="Arial"/>
      <family val="2"/>
    </font>
    <font>
      <sz val="11"/>
      <name val="Arial"/>
      <family val="2"/>
    </font>
    <font>
      <sz val="10"/>
      <color theme="7" tint="-0.249977111117893"/>
      <name val="Arial"/>
      <family val="2"/>
    </font>
    <font>
      <sz val="11"/>
      <color theme="4" tint="-0.249977111117893"/>
      <name val="Calibri"/>
      <family val="2"/>
      <scheme val="minor"/>
    </font>
    <font>
      <sz val="11"/>
      <color theme="8" tint="-0.249977111117893"/>
      <name val="Arial"/>
      <family val="2"/>
    </font>
    <font>
      <sz val="10"/>
      <color rgb="FFFF0000"/>
      <name val="Arial"/>
      <family val="2"/>
    </font>
    <font>
      <b/>
      <sz val="11"/>
      <color rgb="FFFF0000"/>
      <name val="Arial"/>
      <family val="2"/>
    </font>
    <font>
      <sz val="11"/>
      <color theme="1"/>
      <name val="Calibri"/>
      <family val="2"/>
    </font>
    <font>
      <sz val="9"/>
      <name val="Arial"/>
      <family val="2"/>
    </font>
    <font>
      <sz val="10"/>
      <color rgb="FF000000"/>
      <name val="Arial"/>
      <family val="2"/>
    </font>
    <font>
      <sz val="11"/>
      <name val="Calibri"/>
      <family val="2"/>
      <scheme val="minor"/>
    </font>
    <font>
      <i/>
      <sz val="10"/>
      <name val="Arial"/>
      <family val="2"/>
    </font>
    <font>
      <b/>
      <sz val="11"/>
      <color rgb="FF000000"/>
      <name val="Arial"/>
      <family val="2"/>
    </font>
    <font>
      <sz val="11"/>
      <color rgb="FF000000"/>
      <name val="Arial"/>
      <family val="2"/>
    </font>
    <font>
      <sz val="10"/>
      <color rgb="FF808080"/>
      <name val="Arial"/>
      <family val="2"/>
    </font>
    <font>
      <b/>
      <sz val="10"/>
      <color rgb="FFFF0000"/>
      <name val="Arial"/>
      <family val="2"/>
    </font>
    <font>
      <sz val="10"/>
      <color theme="4"/>
      <name val="Arial"/>
      <family val="2"/>
    </font>
    <font>
      <sz val="10"/>
      <color theme="0" tint="-0.499984740745262"/>
      <name val="Arial"/>
      <family val="2"/>
    </font>
    <font>
      <b/>
      <i/>
      <sz val="10"/>
      <name val="Arial"/>
      <family val="2"/>
    </font>
    <font>
      <b/>
      <i/>
      <sz val="11"/>
      <color theme="1"/>
      <name val="Calibri"/>
      <family val="2"/>
      <scheme val="minor"/>
    </font>
    <font>
      <b/>
      <sz val="9"/>
      <color rgb="FF000000"/>
      <name val="Tahoma"/>
      <family val="2"/>
    </font>
    <font>
      <sz val="9"/>
      <color rgb="FF000000"/>
      <name val="Tahoma"/>
      <family val="2"/>
    </font>
    <font>
      <b/>
      <sz val="16"/>
      <color theme="0"/>
      <name val="Arial"/>
      <family val="2"/>
    </font>
    <font>
      <sz val="10"/>
      <color theme="4" tint="-0.499984740745262"/>
      <name val="Arial"/>
      <family val="2"/>
    </font>
    <font>
      <b/>
      <sz val="10"/>
      <color theme="1" tint="0.14999847407452621"/>
      <name val="Arial"/>
      <family val="2"/>
    </font>
    <font>
      <sz val="10"/>
      <color theme="4" tint="0.59999389629810485"/>
      <name val="Arial"/>
      <family val="2"/>
    </font>
    <font>
      <sz val="11"/>
      <color rgb="FFFF0000"/>
      <name val="Arial"/>
      <family val="2"/>
    </font>
    <font>
      <sz val="11"/>
      <color theme="5" tint="-0.249977111117893"/>
      <name val="Arial"/>
      <family val="2"/>
    </font>
    <font>
      <b/>
      <sz val="10"/>
      <color theme="1"/>
      <name val="Arial"/>
      <family val="2"/>
    </font>
    <font>
      <b/>
      <sz val="12"/>
      <name val="Arial"/>
      <family val="2"/>
    </font>
    <font>
      <i/>
      <sz val="10"/>
      <color theme="4" tint="-0.249977111117893"/>
      <name val="Arial"/>
      <family val="2"/>
    </font>
    <font>
      <sz val="10"/>
      <color theme="4" tint="-0.249977111117893"/>
      <name val="Arial"/>
      <family val="2"/>
    </font>
    <font>
      <i/>
      <sz val="10"/>
      <color theme="0" tint="-0.499984740745262"/>
      <name val="Arial"/>
      <family val="2"/>
    </font>
    <font>
      <i/>
      <u/>
      <sz val="10"/>
      <color theme="0" tint="-0.499984740745262"/>
      <name val="Arial"/>
      <family val="2"/>
    </font>
    <font>
      <i/>
      <sz val="10"/>
      <color theme="4" tint="-0.499984740745262"/>
      <name val="Arial"/>
      <family val="2"/>
    </font>
    <font>
      <b/>
      <sz val="10"/>
      <color theme="0" tint="-0.499984740745262"/>
      <name val="Arial"/>
      <family val="2"/>
    </font>
    <font>
      <sz val="16"/>
      <color rgb="FFFF0000"/>
      <name val="Arial"/>
      <family val="2"/>
    </font>
    <font>
      <sz val="14"/>
      <color rgb="FFFF0000"/>
      <name val="Arial"/>
      <family val="2"/>
    </font>
    <font>
      <sz val="10"/>
      <color theme="5" tint="-0.249977111117893"/>
      <name val="Arial"/>
      <family val="2"/>
    </font>
    <font>
      <b/>
      <sz val="10"/>
      <color rgb="FF80808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0"/>
      <color theme="0"/>
      <name val="Arial"/>
      <family val="2"/>
    </font>
    <font>
      <b/>
      <sz val="36"/>
      <color theme="0"/>
      <name val="Calibri"/>
      <family val="2"/>
      <scheme val="minor"/>
    </font>
    <font>
      <b/>
      <i/>
      <sz val="12"/>
      <name val="Arial"/>
      <family val="2"/>
    </font>
    <font>
      <b/>
      <sz val="11"/>
      <color theme="4"/>
      <name val="Arial"/>
      <family val="2"/>
    </font>
    <font>
      <b/>
      <sz val="11"/>
      <color theme="3" tint="0.39997558519241921"/>
      <name val="Calibri"/>
      <family val="2"/>
      <scheme val="minor"/>
    </font>
    <font>
      <sz val="24"/>
      <color theme="0"/>
      <name val="Calibri"/>
      <family val="2"/>
      <scheme val="minor"/>
    </font>
    <font>
      <sz val="22"/>
      <color theme="1"/>
      <name val="Calibri"/>
      <family val="2"/>
      <scheme val="minor"/>
    </font>
    <font>
      <sz val="26"/>
      <color theme="0"/>
      <name val="Calibri"/>
      <family val="2"/>
      <scheme val="minor"/>
    </font>
    <font>
      <b/>
      <sz val="10"/>
      <color theme="0"/>
      <name val="Arial"/>
      <family val="2"/>
    </font>
    <font>
      <sz val="26"/>
      <color rgb="FFFF0000"/>
      <name val="Calibri"/>
      <family val="2"/>
      <scheme val="minor"/>
    </font>
    <font>
      <b/>
      <sz val="22"/>
      <color theme="1"/>
      <name val="Calibri"/>
      <family val="2"/>
      <scheme val="minor"/>
    </font>
    <font>
      <sz val="26"/>
      <name val="Calibri"/>
      <family val="2"/>
      <scheme val="minor"/>
    </font>
    <font>
      <b/>
      <sz val="11"/>
      <color theme="0"/>
      <name val="Arial"/>
      <family val="2"/>
    </font>
    <font>
      <sz val="22"/>
      <color theme="0"/>
      <name val="Calibri"/>
      <family val="2"/>
      <scheme val="minor"/>
    </font>
    <font>
      <sz val="10"/>
      <color theme="1" tint="0.34998626667073579"/>
      <name val="Calibri"/>
      <family val="2"/>
      <scheme val="minor"/>
    </font>
    <font>
      <i/>
      <sz val="11"/>
      <color theme="1"/>
      <name val="Calibri"/>
      <family val="2"/>
      <scheme val="minor"/>
    </font>
    <font>
      <sz val="12"/>
      <color theme="0"/>
      <name val="Arial"/>
      <family val="2"/>
    </font>
    <font>
      <i/>
      <sz val="11"/>
      <color theme="0"/>
      <name val="Arial"/>
      <family val="2"/>
    </font>
    <font>
      <b/>
      <sz val="24"/>
      <color theme="0"/>
      <name val="Arial"/>
      <family val="2"/>
    </font>
    <font>
      <b/>
      <sz val="12"/>
      <color theme="4" tint="-0.499984740745262"/>
      <name val="Arial"/>
      <family val="2"/>
    </font>
    <font>
      <b/>
      <sz val="11"/>
      <color theme="4" tint="-0.499984740745262"/>
      <name val="Arial"/>
      <family val="2"/>
    </font>
    <font>
      <b/>
      <sz val="14"/>
      <color theme="4" tint="-0.499984740745262"/>
      <name val="Arial"/>
      <family val="2"/>
    </font>
    <font>
      <sz val="11"/>
      <color theme="0"/>
      <name val="Arial"/>
      <family val="2"/>
    </font>
    <font>
      <sz val="14"/>
      <color theme="1"/>
      <name val="Calibri"/>
      <family val="2"/>
      <scheme val="minor"/>
    </font>
    <font>
      <sz val="14"/>
      <color theme="1"/>
      <name val="Arial"/>
      <family val="2"/>
    </font>
    <font>
      <b/>
      <sz val="18"/>
      <color theme="0"/>
      <name val="Arial"/>
      <family val="2"/>
    </font>
    <font>
      <sz val="12"/>
      <name val="Arial"/>
      <family val="2"/>
    </font>
    <font>
      <sz val="12"/>
      <color rgb="FFFF0000"/>
      <name val="Arial"/>
      <family val="2"/>
    </font>
    <font>
      <b/>
      <sz val="14"/>
      <name val="Arial"/>
      <family val="2"/>
    </font>
    <font>
      <b/>
      <sz val="12"/>
      <color theme="1"/>
      <name val="Arial"/>
      <family val="2"/>
    </font>
    <font>
      <b/>
      <sz val="10"/>
      <color theme="1"/>
      <name val="Calibri"/>
      <family val="2"/>
      <scheme val="minor"/>
    </font>
    <font>
      <b/>
      <sz val="9"/>
      <color theme="1"/>
      <name val="Calibri"/>
      <family val="2"/>
      <scheme val="minor"/>
    </font>
    <font>
      <sz val="9"/>
      <name val="Calibri"/>
      <family val="2"/>
      <scheme val="minor"/>
    </font>
    <font>
      <b/>
      <sz val="9"/>
      <color theme="1"/>
      <name val="Arial"/>
      <family val="2"/>
    </font>
    <font>
      <b/>
      <sz val="9"/>
      <name val="Arial"/>
      <family val="2"/>
    </font>
  </fonts>
  <fills count="8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CC"/>
        <bgColor indexed="64"/>
      </patternFill>
    </fill>
    <fill>
      <patternFill patternType="solid">
        <fgColor theme="6" tint="0.39997558519241921"/>
        <bgColor indexed="64"/>
      </patternFill>
    </fill>
    <fill>
      <patternFill patternType="solid">
        <fgColor theme="1"/>
        <bgColor indexed="64"/>
      </patternFill>
    </fill>
    <fill>
      <patternFill patternType="solid">
        <fgColor indexed="8"/>
        <bgColor indexed="64"/>
      </patternFill>
    </fill>
    <fill>
      <patternFill patternType="solid">
        <fgColor rgb="FFCCCC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FF"/>
        <bgColor rgb="FF000000"/>
      </patternFill>
    </fill>
    <fill>
      <patternFill patternType="solid">
        <fgColor rgb="FFB8CCE4"/>
        <bgColor rgb="FF000000"/>
      </patternFill>
    </fill>
    <fill>
      <patternFill patternType="solid">
        <fgColor theme="9" tint="0.39997558519241921"/>
        <bgColor rgb="FF000000"/>
      </patternFill>
    </fill>
    <fill>
      <patternFill patternType="solid">
        <fgColor rgb="FFFABF8F"/>
        <bgColor rgb="FF000000"/>
      </patternFill>
    </fill>
    <fill>
      <patternFill patternType="solid">
        <fgColor theme="0" tint="-0.14999847407452621"/>
        <bgColor rgb="FF000000"/>
      </patternFill>
    </fill>
    <fill>
      <patternFill patternType="solid">
        <fgColor theme="4" tint="-0.499984740745262"/>
        <bgColor indexed="64"/>
      </patternFill>
    </fill>
    <fill>
      <patternFill patternType="solid">
        <fgColor rgb="FFBFBFBF"/>
        <bgColor rgb="FF000000"/>
      </patternFill>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theme="3"/>
        <bgColor indexed="64"/>
      </patternFill>
    </fill>
    <fill>
      <patternFill patternType="solid">
        <fgColor theme="6"/>
        <bgColor indexed="64"/>
      </patternFill>
    </fill>
    <fill>
      <patternFill patternType="solid">
        <fgColor theme="5"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theme="7"/>
        <bgColor indexed="64"/>
      </patternFill>
    </fill>
    <fill>
      <patternFill patternType="solid">
        <fgColor theme="4"/>
        <bgColor indexed="64"/>
      </patternFill>
    </fill>
    <fill>
      <patternFill patternType="solid">
        <fgColor rgb="FFFF0000"/>
        <bgColor indexed="64"/>
      </patternFill>
    </fill>
    <fill>
      <patternFill patternType="solid">
        <fgColor theme="4"/>
        <bgColor theme="4"/>
      </patternFill>
    </fill>
    <fill>
      <patternFill patternType="solid">
        <fgColor theme="2" tint="-0.749992370372631"/>
        <bgColor indexed="64"/>
      </patternFill>
    </fill>
    <fill>
      <patternFill patternType="solid">
        <fgColor theme="0" tint="-0.249977111117893"/>
        <bgColor rgb="FF000000"/>
      </patternFill>
    </fill>
    <fill>
      <patternFill patternType="solid">
        <fgColor rgb="FF25C6FF"/>
        <bgColor indexed="64"/>
      </patternFill>
    </fill>
    <fill>
      <patternFill patternType="solid">
        <fgColor rgb="FFFFCCCC"/>
        <bgColor indexed="64"/>
      </patternFill>
    </fill>
    <fill>
      <patternFill patternType="gray125">
        <fgColor theme="3" tint="0.39991454817346722"/>
        <bgColor rgb="FFFFFFCC"/>
      </patternFill>
    </fill>
    <fill>
      <patternFill patternType="gray125">
        <fgColor theme="3"/>
        <bgColor rgb="FFFFFFCC"/>
      </patternFill>
    </fill>
    <fill>
      <patternFill patternType="gray125">
        <fgColor theme="3" tint="0.39991454817346722"/>
        <bgColor rgb="FFFFCCCC"/>
      </patternFill>
    </fill>
    <fill>
      <patternFill patternType="gray125">
        <fgColor theme="3"/>
        <bgColor rgb="FFFFCCCC"/>
      </patternFill>
    </fill>
  </fills>
  <borders count="221">
    <border>
      <left/>
      <right/>
      <top/>
      <bottom/>
      <diagonal/>
    </border>
    <border>
      <left style="thin">
        <color theme="0" tint="-0.24994659260841701"/>
      </left>
      <right style="medium">
        <color auto="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auto="1"/>
      </bottom>
      <diagonal/>
    </border>
    <border>
      <left style="medium">
        <color auto="1"/>
      </left>
      <right style="thin">
        <color theme="0" tint="-0.24994659260841701"/>
      </right>
      <top style="thin">
        <color theme="0" tint="-0.24994659260841701"/>
      </top>
      <bottom style="medium">
        <color indexed="64"/>
      </bottom>
      <diagonal/>
    </border>
    <border>
      <left style="thin">
        <color theme="0" tint="-0.24994659260841701"/>
      </left>
      <right style="medium">
        <color auto="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indexed="64"/>
      </top>
      <bottom style="thin">
        <color indexed="64"/>
      </bottom>
      <diagonal/>
    </border>
    <border>
      <left style="medium">
        <color indexed="64"/>
      </left>
      <right style="thin">
        <color theme="0" tint="-0.24994659260841701"/>
      </right>
      <top style="thin">
        <color indexed="64"/>
      </top>
      <bottom style="thin">
        <color indexed="64"/>
      </bottom>
      <diagonal/>
    </border>
    <border>
      <left/>
      <right/>
      <top style="thin">
        <color auto="1"/>
      </top>
      <bottom style="thin">
        <color auto="1"/>
      </bottom>
      <diagonal/>
    </border>
    <border>
      <left style="thin">
        <color theme="0" tint="-0.24994659260841701"/>
      </left>
      <right style="medium">
        <color auto="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thin">
        <color theme="0" tint="-0.24994659260841701"/>
      </top>
      <bottom/>
      <diagonal/>
    </border>
    <border>
      <left style="thin">
        <color theme="0" tint="-0.24994659260841701"/>
      </left>
      <right style="medium">
        <color auto="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auto="1"/>
      </left>
      <right style="thin">
        <color theme="0" tint="-0.24994659260841701"/>
      </right>
      <top style="medium">
        <color indexed="64"/>
      </top>
      <bottom style="thin">
        <color theme="0" tint="-0.24994659260841701"/>
      </bottom>
      <diagonal/>
    </border>
    <border>
      <left/>
      <right/>
      <top style="medium">
        <color auto="1"/>
      </top>
      <bottom/>
      <diagonal/>
    </border>
    <border>
      <left/>
      <right style="medium">
        <color indexed="64"/>
      </right>
      <top style="medium">
        <color indexed="64"/>
      </top>
      <bottom/>
      <diagonal/>
    </border>
    <border>
      <left style="thin">
        <color theme="0" tint="-0.24994659260841701"/>
      </left>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right style="thin">
        <color theme="0" tint="-0.24994659260841701"/>
      </right>
      <top style="thin">
        <color theme="0" tint="-0.24994659260841701"/>
      </top>
      <bottom style="medium">
        <color auto="1"/>
      </bottom>
      <diagonal/>
    </border>
    <border>
      <left/>
      <right style="thin">
        <color theme="0" tint="-0.24994659260841701"/>
      </right>
      <top style="thin">
        <color theme="0" tint="-0.2499465926084170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theme="0" tint="-0.24994659260841701"/>
      </left>
      <right/>
      <top style="thin">
        <color theme="0" tint="-0.24994659260841701"/>
      </top>
      <bottom style="medium">
        <color auto="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medium">
        <color indexed="64"/>
      </left>
      <right/>
      <top style="medium">
        <color auto="1"/>
      </top>
      <bottom style="medium">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theme="0" tint="-0.24994659260841701"/>
      </top>
      <bottom style="medium">
        <color auto="1"/>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auto="1"/>
      </bottom>
      <diagonal/>
    </border>
    <border>
      <left style="medium">
        <color indexed="64"/>
      </left>
      <right/>
      <top style="thin">
        <color theme="0" tint="-0.34998626667073579"/>
      </top>
      <bottom/>
      <diagonal/>
    </border>
    <border>
      <left style="thin">
        <color theme="0" tint="-0.34998626667073579"/>
      </left>
      <right/>
      <top style="thin">
        <color theme="0" tint="-0.34998626667073579"/>
      </top>
      <bottom/>
      <diagonal/>
    </border>
    <border>
      <left style="medium">
        <color indexed="64"/>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theme="0" tint="-0.24994659260841701"/>
      </left>
      <right style="medium">
        <color rgb="FFFF0000"/>
      </right>
      <top/>
      <bottom style="thin">
        <color theme="0" tint="-0.24994659260841701"/>
      </bottom>
      <diagonal/>
    </border>
    <border>
      <left style="medium">
        <color rgb="FFFF0000"/>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FF0000"/>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FF0000"/>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right style="medium">
        <color auto="1"/>
      </right>
      <top style="thin">
        <color theme="0" tint="-0.24994659260841701"/>
      </top>
      <bottom style="medium">
        <color auto="1"/>
      </bottom>
      <diagonal/>
    </border>
    <border>
      <left style="medium">
        <color indexed="64"/>
      </left>
      <right/>
      <top style="thin">
        <color indexed="64"/>
      </top>
      <bottom style="thin">
        <color indexed="64"/>
      </bottom>
      <diagonal/>
    </border>
    <border>
      <left style="medium">
        <color indexed="64"/>
      </left>
      <right style="medium">
        <color auto="1"/>
      </right>
      <top/>
      <bottom style="thin">
        <color auto="1"/>
      </bottom>
      <diagonal/>
    </border>
    <border>
      <left style="medium">
        <color auto="1"/>
      </left>
      <right style="medium">
        <color indexed="64"/>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style="medium">
        <color indexed="64"/>
      </bottom>
      <diagonal/>
    </border>
    <border>
      <left style="medium">
        <color indexed="64"/>
      </left>
      <right style="thin">
        <color rgb="FFBFBFBF"/>
      </right>
      <top style="medium">
        <color indexed="64"/>
      </top>
      <bottom style="mediumDashed">
        <color indexed="64"/>
      </bottom>
      <diagonal/>
    </border>
    <border>
      <left style="thin">
        <color rgb="FFBFBFBF"/>
      </left>
      <right style="thin">
        <color rgb="FFBFBFBF"/>
      </right>
      <top style="medium">
        <color indexed="64"/>
      </top>
      <bottom style="mediumDashed">
        <color indexed="64"/>
      </bottom>
      <diagonal/>
    </border>
    <border>
      <left style="thin">
        <color rgb="FFBFBFBF"/>
      </left>
      <right style="medium">
        <color indexed="64"/>
      </right>
      <top style="medium">
        <color indexed="64"/>
      </top>
      <bottom style="mediumDashed">
        <color indexed="64"/>
      </bottom>
      <diagonal/>
    </border>
    <border>
      <left style="medium">
        <color indexed="64"/>
      </left>
      <right style="thin">
        <color theme="0" tint="-0.24994659260841701"/>
      </right>
      <top/>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diagonal/>
    </border>
    <border>
      <left/>
      <right style="medium">
        <color indexed="64"/>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style="mediumDashed">
        <color theme="0" tint="-0.34998626667073579"/>
      </bottom>
      <diagonal/>
    </border>
    <border>
      <left style="thin">
        <color theme="0" tint="-0.24994659260841701"/>
      </left>
      <right style="thin">
        <color theme="0" tint="-0.24994659260841701"/>
      </right>
      <top/>
      <bottom style="mediumDashed">
        <color theme="0" tint="-0.34998626667073579"/>
      </bottom>
      <diagonal/>
    </border>
    <border>
      <left style="thin">
        <color theme="0" tint="-0.24994659260841701"/>
      </left>
      <right/>
      <top/>
      <bottom style="mediumDashed">
        <color theme="0" tint="-0.34998626667073579"/>
      </bottom>
      <diagonal/>
    </border>
    <border>
      <left/>
      <right/>
      <top/>
      <bottom style="mediumDashed">
        <color theme="0" tint="-0.34998626667073579"/>
      </bottom>
      <diagonal/>
    </border>
    <border>
      <left/>
      <right style="medium">
        <color indexed="64"/>
      </right>
      <top/>
      <bottom style="mediumDashed">
        <color theme="0" tint="-0.34998626667073579"/>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medium">
        <color indexed="64"/>
      </left>
      <right style="thin">
        <color theme="0" tint="-0.24994659260841701"/>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theme="0" tint="-0.24994659260841701"/>
      </left>
      <right/>
      <top/>
      <bottom style="medium">
        <color indexed="64"/>
      </bottom>
      <diagonal/>
    </border>
    <border>
      <left style="medium">
        <color indexed="64"/>
      </left>
      <right style="thin">
        <color theme="0" tint="-0.24994659260841701"/>
      </right>
      <top style="mediumDashed">
        <color indexed="64"/>
      </top>
      <bottom style="thin">
        <color indexed="64"/>
      </bottom>
      <diagonal/>
    </border>
    <border>
      <left style="thin">
        <color theme="0" tint="-0.24994659260841701"/>
      </left>
      <right style="thin">
        <color theme="0" tint="-0.24994659260841701"/>
      </right>
      <top style="mediumDashed">
        <color indexed="64"/>
      </top>
      <bottom style="thin">
        <color indexed="64"/>
      </bottom>
      <diagonal/>
    </border>
    <border>
      <left style="thin">
        <color theme="0" tint="-0.24994659260841701"/>
      </left>
      <right/>
      <top style="mediumDashed">
        <color indexed="64"/>
      </top>
      <bottom style="thin">
        <color indexed="64"/>
      </bottom>
      <diagonal/>
    </border>
    <border>
      <left/>
      <right/>
      <top style="mediumDashed">
        <color indexed="64"/>
      </top>
      <bottom style="thin">
        <color indexed="64"/>
      </bottom>
      <diagonal/>
    </border>
    <border>
      <left/>
      <right style="medium">
        <color indexed="64"/>
      </right>
      <top style="mediumDashed">
        <color indexed="64"/>
      </top>
      <bottom style="thin">
        <color indexed="64"/>
      </bottom>
      <diagonal/>
    </border>
    <border>
      <left style="thin">
        <color theme="0" tint="-0.2499465926084170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style="thin">
        <color theme="0" tint="-0.24994659260841701"/>
      </top>
      <bottom style="hair">
        <color indexed="64"/>
      </bottom>
      <diagonal/>
    </border>
    <border>
      <left style="thin">
        <color theme="0" tint="-0.24994659260841701"/>
      </left>
      <right style="thin">
        <color theme="0" tint="-0.24994659260841701"/>
      </right>
      <top style="thin">
        <color theme="0" tint="-0.24994659260841701"/>
      </top>
      <bottom style="hair">
        <color indexed="64"/>
      </bottom>
      <diagonal/>
    </border>
    <border>
      <left style="thin">
        <color theme="0" tint="-0.24994659260841701"/>
      </left>
      <right style="medium">
        <color indexed="64"/>
      </right>
      <top style="thin">
        <color theme="0" tint="-0.24994659260841701"/>
      </top>
      <bottom style="hair">
        <color indexed="64"/>
      </bottom>
      <diagonal/>
    </border>
    <border>
      <left style="thin">
        <color theme="0" tint="-0.24994659260841701"/>
      </left>
      <right style="medium">
        <color indexed="64"/>
      </right>
      <top/>
      <bottom style="medium">
        <color indexed="64"/>
      </bottom>
      <diagonal/>
    </border>
    <border>
      <left style="thin">
        <color rgb="FFBFBFBF"/>
      </left>
      <right style="medium">
        <color indexed="64"/>
      </right>
      <top style="medium">
        <color indexed="64"/>
      </top>
      <bottom style="medium">
        <color indexed="64"/>
      </bottom>
      <diagonal/>
    </border>
    <border>
      <left style="thin">
        <color rgb="FFBFBFBF"/>
      </left>
      <right style="medium">
        <color indexed="64"/>
      </right>
      <top/>
      <bottom style="thin">
        <color rgb="FFBFBFBF"/>
      </bottom>
      <diagonal/>
    </border>
    <border>
      <left style="thin">
        <color rgb="FFBFBFBF"/>
      </left>
      <right style="medium">
        <color indexed="64"/>
      </right>
      <top style="thin">
        <color rgb="FFBFBFBF"/>
      </top>
      <bottom style="thin">
        <color rgb="FFBFBFBF"/>
      </bottom>
      <diagonal/>
    </border>
    <border>
      <left style="medium">
        <color indexed="64"/>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medium">
        <color indexed="64"/>
      </right>
      <top style="thin">
        <color rgb="FFBFBFBF"/>
      </top>
      <bottom/>
      <diagonal/>
    </border>
    <border>
      <left style="thin">
        <color rgb="FFBFBFBF"/>
      </left>
      <right style="medium">
        <color indexed="64"/>
      </right>
      <top style="thin">
        <color rgb="FFBFBFBF"/>
      </top>
      <bottom style="medium">
        <color indexed="64"/>
      </bottom>
      <diagonal/>
    </border>
    <border>
      <left/>
      <right style="thin">
        <color theme="0" tint="-0.24994659260841701"/>
      </right>
      <top/>
      <bottom style="medium">
        <color indexed="64"/>
      </bottom>
      <diagonal/>
    </border>
    <border>
      <left/>
      <right style="thin">
        <color theme="0" tint="-0.24994659260841701"/>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auto="1"/>
      </bottom>
      <diagonal/>
    </border>
    <border>
      <left style="thin">
        <color theme="0" tint="-0.24994659260841701"/>
      </left>
      <right style="thin">
        <color theme="0" tint="-0.24994659260841701"/>
      </right>
      <top style="medium">
        <color indexed="64"/>
      </top>
      <bottom/>
      <diagonal/>
    </border>
    <border>
      <left style="thin">
        <color rgb="FFBFBFBF"/>
      </left>
      <right style="medium">
        <color indexed="64"/>
      </right>
      <top style="medium">
        <color indexed="64"/>
      </top>
      <bottom/>
      <diagonal/>
    </border>
    <border>
      <left style="thin">
        <color rgb="FFBFBFBF"/>
      </left>
      <right style="thin">
        <color indexed="64"/>
      </right>
      <top style="medium">
        <color indexed="64"/>
      </top>
      <bottom/>
      <diagonal/>
    </border>
    <border>
      <left style="medium">
        <color indexed="64"/>
      </left>
      <right style="thin">
        <color indexed="64"/>
      </right>
      <top style="medium">
        <color indexed="64"/>
      </top>
      <bottom/>
      <diagonal/>
    </border>
    <border>
      <left/>
      <right style="dotted">
        <color rgb="FFFF0000"/>
      </right>
      <top/>
      <bottom style="dotted">
        <color rgb="FFFF0000"/>
      </bottom>
      <diagonal/>
    </border>
    <border>
      <left style="thin">
        <color theme="0" tint="-0.24994659260841701"/>
      </left>
      <right style="medium">
        <color rgb="FFFF0000"/>
      </right>
      <top style="thin">
        <color theme="0" tint="-0.24994659260841701"/>
      </top>
      <bottom style="dotted">
        <color rgb="FFFF0000"/>
      </bottom>
      <diagonal/>
    </border>
    <border>
      <left style="thin">
        <color theme="0" tint="-0.24994659260841701"/>
      </left>
      <right style="thin">
        <color theme="0" tint="-0.24994659260841701"/>
      </right>
      <top style="thin">
        <color theme="0" tint="-0.24994659260841701"/>
      </top>
      <bottom style="dotted">
        <color rgb="FFFF0000"/>
      </bottom>
      <diagonal/>
    </border>
    <border>
      <left style="medium">
        <color rgb="FFFF0000"/>
      </left>
      <right style="thin">
        <color theme="0" tint="-0.24994659260841701"/>
      </right>
      <top style="thin">
        <color theme="0" tint="-0.24994659260841701"/>
      </top>
      <bottom style="dotted">
        <color rgb="FFFF0000"/>
      </bottom>
      <diagonal/>
    </border>
    <border>
      <left style="dotted">
        <color rgb="FFFF0000"/>
      </left>
      <right style="medium">
        <color rgb="FFFF0000"/>
      </right>
      <top/>
      <bottom style="dotted">
        <color rgb="FFFF0000"/>
      </bottom>
      <diagonal/>
    </border>
    <border>
      <left/>
      <right style="dotted">
        <color rgb="FFFF0000"/>
      </right>
      <top/>
      <bottom/>
      <diagonal/>
    </border>
    <border>
      <left style="dotted">
        <color rgb="FFFF0000"/>
      </left>
      <right style="medium">
        <color rgb="FFFF0000"/>
      </right>
      <top/>
      <bottom/>
      <diagonal/>
    </border>
    <border>
      <left style="thin">
        <color theme="0" tint="-0.24994659260841701"/>
      </left>
      <right style="medium">
        <color rgb="FFFF0000"/>
      </right>
      <top style="medium">
        <color rgb="FFFF0000"/>
      </top>
      <bottom style="medium">
        <color rgb="FFFF0000"/>
      </bottom>
      <diagonal/>
    </border>
    <border>
      <left style="thin">
        <color theme="0" tint="-0.24994659260841701"/>
      </left>
      <right style="thin">
        <color theme="0" tint="-0.24994659260841701"/>
      </right>
      <top style="medium">
        <color rgb="FFFF0000"/>
      </top>
      <bottom style="medium">
        <color rgb="FFFF0000"/>
      </bottom>
      <diagonal/>
    </border>
    <border>
      <left style="medium">
        <color rgb="FFFF0000"/>
      </left>
      <right style="thin">
        <color theme="0" tint="-0.24994659260841701"/>
      </right>
      <top style="medium">
        <color rgb="FFFF0000"/>
      </top>
      <bottom style="medium">
        <color rgb="FFFF0000"/>
      </bottom>
      <diagonal/>
    </border>
    <border>
      <left style="dotted">
        <color rgb="FFFF0000"/>
      </left>
      <right/>
      <top/>
      <bottom/>
      <diagonal/>
    </border>
    <border>
      <left style="thin">
        <color theme="0" tint="-0.24994659260841701"/>
      </left>
      <right style="dotted">
        <color rgb="FFFF0000"/>
      </right>
      <top style="thin">
        <color theme="0" tint="-0.24994659260841701"/>
      </top>
      <bottom style="medium">
        <color indexed="64"/>
      </bottom>
      <diagonal/>
    </border>
    <border>
      <left style="dotted">
        <color rgb="FFFF0000"/>
      </left>
      <right style="medium">
        <color indexed="64"/>
      </right>
      <top/>
      <bottom/>
      <diagonal/>
    </border>
    <border>
      <left style="thin">
        <color theme="0" tint="-0.24994659260841701"/>
      </left>
      <right style="dotted">
        <color rgb="FFFF0000"/>
      </right>
      <top style="thin">
        <color theme="0" tint="-0.24994659260841701"/>
      </top>
      <bottom style="thin">
        <color theme="0" tint="-0.24994659260841701"/>
      </bottom>
      <diagonal/>
    </border>
    <border>
      <left style="thin">
        <color theme="0" tint="-0.24994659260841701"/>
      </left>
      <right style="dotted">
        <color rgb="FFFF0000"/>
      </right>
      <top/>
      <bottom style="thin">
        <color theme="0" tint="-0.24994659260841701"/>
      </bottom>
      <diagonal/>
    </border>
    <border>
      <left style="thin">
        <color rgb="FFBFBFBF"/>
      </left>
      <right style="dotted">
        <color rgb="FFFF0000"/>
      </right>
      <top style="dotted">
        <color rgb="FFFF0000"/>
      </top>
      <bottom style="medium">
        <color indexed="64"/>
      </bottom>
      <diagonal/>
    </border>
    <border>
      <left style="thin">
        <color rgb="FFBFBFBF"/>
      </left>
      <right style="thin">
        <color indexed="64"/>
      </right>
      <top style="dotted">
        <color rgb="FFFF0000"/>
      </top>
      <bottom style="medium">
        <color auto="1"/>
      </bottom>
      <diagonal/>
    </border>
    <border>
      <left style="medium">
        <color indexed="64"/>
      </left>
      <right style="thin">
        <color indexed="64"/>
      </right>
      <top style="dotted">
        <color rgb="FFFF0000"/>
      </top>
      <bottom style="medium">
        <color indexed="64"/>
      </bottom>
      <diagonal/>
    </border>
    <border>
      <left style="dotted">
        <color rgb="FFFF0000"/>
      </left>
      <right style="medium">
        <color indexed="64"/>
      </right>
      <top style="dotted">
        <color rgb="FFFF0000"/>
      </top>
      <bottom/>
      <diagonal/>
    </border>
    <border>
      <left style="thin">
        <color rgb="FFBFBFBF"/>
      </left>
      <right style="thin">
        <color rgb="FFBFBFBF"/>
      </right>
      <top style="medium">
        <color indexed="64"/>
      </top>
      <bottom/>
      <diagonal/>
    </border>
    <border>
      <left style="medium">
        <color auto="1"/>
      </left>
      <right style="medium">
        <color indexed="64"/>
      </right>
      <top/>
      <bottom style="thin">
        <color theme="0" tint="-0.24994659260841701"/>
      </bottom>
      <diagonal/>
    </border>
    <border>
      <left/>
      <right style="medium">
        <color indexed="64"/>
      </right>
      <top style="thin">
        <color theme="0" tint="-0.24994659260841701"/>
      </top>
      <bottom style="thin">
        <color indexed="64"/>
      </bottom>
      <diagonal/>
    </border>
    <border>
      <left style="thin">
        <color theme="0" tint="-0.24994659260841701"/>
      </left>
      <right style="medium">
        <color indexed="64"/>
      </right>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right style="medium">
        <color indexed="64"/>
      </right>
      <top style="thin">
        <color indexed="64"/>
      </top>
      <bottom style="thin">
        <color theme="0" tint="-0.24994659260841701"/>
      </bottom>
      <diagonal/>
    </border>
    <border>
      <left style="thin">
        <color theme="0" tint="-0.24994659260841701"/>
      </left>
      <right style="medium">
        <color indexed="64"/>
      </right>
      <top style="thin">
        <color indexed="64"/>
      </top>
      <bottom style="thin">
        <color theme="0" tint="-0.24994659260841701"/>
      </bottom>
      <diagonal/>
    </border>
    <border>
      <left style="medium">
        <color indexed="64"/>
      </left>
      <right/>
      <top style="thin">
        <color theme="4" tint="0.39997558519241921"/>
      </top>
      <bottom style="medium">
        <color auto="1"/>
      </bottom>
      <diagonal/>
    </border>
    <border>
      <left style="medium">
        <color indexed="64"/>
      </left>
      <right/>
      <top style="thin">
        <color theme="4" tint="0.39997558519241921"/>
      </top>
      <bottom/>
      <diagonal/>
    </border>
    <border>
      <left/>
      <right style="medium">
        <color indexed="64"/>
      </right>
      <top style="thin">
        <color theme="4" tint="0.39997558519241921"/>
      </top>
      <bottom/>
      <diagonal/>
    </border>
    <border>
      <left/>
      <right/>
      <top style="thin">
        <color theme="4" tint="0.39997558519241921"/>
      </top>
      <bottom/>
      <diagonal/>
    </border>
    <border>
      <left style="thin">
        <color indexed="64"/>
      </left>
      <right style="medium">
        <color indexed="64"/>
      </right>
      <top style="thin">
        <color theme="0" tint="-0.24994659260841701"/>
      </top>
      <bottom/>
      <diagonal/>
    </border>
    <border>
      <left style="medium">
        <color indexed="64"/>
      </left>
      <right style="thin">
        <color theme="0" tint="-0.24994659260841701"/>
      </right>
      <top style="thin">
        <color theme="0" tint="-0.24994659260841701"/>
      </top>
      <bottom style="thin">
        <color indexed="64"/>
      </bottom>
      <diagonal/>
    </border>
    <border>
      <left/>
      <right style="medium">
        <color indexed="64"/>
      </right>
      <top style="mediumDashed">
        <color indexed="64"/>
      </top>
      <bottom/>
      <diagonal/>
    </border>
    <border>
      <left/>
      <right/>
      <top style="mediumDashed">
        <color indexed="64"/>
      </top>
      <bottom/>
      <diagonal/>
    </border>
    <border>
      <left style="thin">
        <color theme="0" tint="-0.24994659260841701"/>
      </left>
      <right/>
      <top style="mediumDashed">
        <color indexed="64"/>
      </top>
      <bottom/>
      <diagonal/>
    </border>
    <border>
      <left style="thin">
        <color rgb="FFBFBFBF"/>
      </left>
      <right style="medium">
        <color indexed="64"/>
      </right>
      <top/>
      <bottom style="mediumDashed">
        <color indexed="64"/>
      </bottom>
      <diagonal/>
    </border>
    <border>
      <left style="thin">
        <color rgb="FFBFBFBF"/>
      </left>
      <right style="thin">
        <color rgb="FFBFBFBF"/>
      </right>
      <top/>
      <bottom style="mediumDashed">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indexed="64"/>
      </bottom>
      <diagonal/>
    </border>
    <border>
      <left style="medium">
        <color indexed="64"/>
      </left>
      <right/>
      <top style="thin">
        <color indexed="64"/>
      </top>
      <bottom style="thin">
        <color theme="0" tint="-0.24994659260841701"/>
      </bottom>
      <diagonal/>
    </border>
    <border>
      <left/>
      <right style="medium">
        <color indexed="64"/>
      </right>
      <top style="medium">
        <color auto="1"/>
      </top>
      <bottom style="thin">
        <color indexed="64"/>
      </bottom>
      <diagonal/>
    </border>
    <border>
      <left/>
      <right/>
      <top style="medium">
        <color auto="1"/>
      </top>
      <bottom style="thin">
        <color indexed="64"/>
      </bottom>
      <diagonal/>
    </border>
    <border>
      <left/>
      <right style="medium">
        <color indexed="64"/>
      </right>
      <top style="thin">
        <color indexed="64"/>
      </top>
      <bottom/>
      <diagonal/>
    </border>
    <border>
      <left style="medium">
        <color indexed="64"/>
      </left>
      <right style="thin">
        <color rgb="FFBFBFBF"/>
      </right>
      <top/>
      <bottom style="mediumDashed">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rgb="FFBFBFBF"/>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tint="-0.24994659260841701"/>
      </right>
      <top/>
      <bottom style="thin">
        <color theme="0" tint="-0.24994659260841701"/>
      </bottom>
      <diagonal/>
    </border>
    <border>
      <left style="thin">
        <color indexed="64"/>
      </left>
      <right/>
      <top style="thin">
        <color indexed="64"/>
      </top>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style="thin">
        <color theme="0" tint="-0.24994659260841701"/>
      </right>
      <top/>
      <bottom style="thin">
        <color theme="0" tint="-0.24994659260841701"/>
      </bottom>
      <diagonal/>
    </border>
    <border>
      <left/>
      <right/>
      <top style="thin">
        <color theme="0" tint="-0.34998626667073579"/>
      </top>
      <bottom/>
      <diagonal/>
    </border>
    <border>
      <left style="medium">
        <color indexed="64"/>
      </left>
      <right/>
      <top style="thin">
        <color theme="4"/>
      </top>
      <bottom/>
      <diagonal/>
    </border>
    <border>
      <left style="thin">
        <color indexed="64"/>
      </left>
      <right style="medium">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s>
  <cellStyleXfs count="49">
    <xf numFmtId="0" fontId="0" fillId="0" borderId="0"/>
    <xf numFmtId="9" fontId="1" fillId="0" borderId="0" applyFont="0" applyFill="0" applyBorder="0" applyAlignment="0" applyProtection="0"/>
    <xf numFmtId="0" fontId="1" fillId="0" borderId="0">
      <protection locked="0"/>
    </xf>
    <xf numFmtId="0" fontId="14" fillId="4" borderId="0">
      <alignment horizontal="left" vertical="center"/>
      <protection locked="0"/>
    </xf>
    <xf numFmtId="164" fontId="1" fillId="0" borderId="0" applyFont="0" applyFill="0" applyBorder="0" applyAlignment="0" applyProtection="0"/>
    <xf numFmtId="0" fontId="55" fillId="0" borderId="0" applyNumberFormat="0" applyFill="0" applyBorder="0" applyAlignment="0" applyProtection="0"/>
    <xf numFmtId="0" fontId="56" fillId="0" borderId="145" applyNumberFormat="0" applyFill="0" applyAlignment="0" applyProtection="0"/>
    <xf numFmtId="0" fontId="57" fillId="0" borderId="146" applyNumberFormat="0" applyFill="0" applyAlignment="0" applyProtection="0"/>
    <xf numFmtId="0" fontId="58" fillId="0" borderId="147" applyNumberFormat="0" applyFill="0" applyAlignment="0" applyProtection="0"/>
    <xf numFmtId="0" fontId="58" fillId="0" borderId="0" applyNumberFormat="0" applyFill="0" applyBorder="0" applyAlignment="0" applyProtection="0"/>
    <xf numFmtId="0" fontId="59" fillId="31" borderId="0" applyNumberFormat="0" applyBorder="0" applyAlignment="0" applyProtection="0"/>
    <xf numFmtId="0" fontId="60" fillId="32" borderId="0" applyNumberFormat="0" applyBorder="0" applyAlignment="0" applyProtection="0"/>
    <xf numFmtId="0" fontId="61" fillId="33" borderId="0" applyNumberFormat="0" applyBorder="0" applyAlignment="0" applyProtection="0"/>
    <xf numFmtId="0" fontId="62" fillId="34" borderId="148" applyNumberFormat="0" applyAlignment="0" applyProtection="0"/>
    <xf numFmtId="0" fontId="63" fillId="35" borderId="149" applyNumberFormat="0" applyAlignment="0" applyProtection="0"/>
    <xf numFmtId="0" fontId="64" fillId="35" borderId="148" applyNumberFormat="0" applyAlignment="0" applyProtection="0"/>
    <xf numFmtId="0" fontId="65" fillId="0" borderId="150" applyNumberFormat="0" applyFill="0" applyAlignment="0" applyProtection="0"/>
    <xf numFmtId="0" fontId="66" fillId="36" borderId="151" applyNumberFormat="0" applyAlignment="0" applyProtection="0"/>
    <xf numFmtId="0" fontId="67" fillId="0" borderId="0" applyNumberFormat="0" applyFill="0" applyBorder="0" applyAlignment="0" applyProtection="0"/>
    <xf numFmtId="0" fontId="1" fillId="37" borderId="152" applyNumberFormat="0" applyFont="0" applyAlignment="0" applyProtection="0"/>
    <xf numFmtId="0" fontId="68" fillId="0" borderId="0" applyNumberFormat="0" applyFill="0" applyBorder="0" applyAlignment="0" applyProtection="0"/>
    <xf numFmtId="0" fontId="2" fillId="0" borderId="153" applyNumberFormat="0" applyFill="0" applyAlignment="0" applyProtection="0"/>
    <xf numFmtId="0" fontId="69"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69" fillId="45" borderId="0" applyNumberFormat="0" applyBorder="0" applyAlignment="0" applyProtection="0"/>
    <xf numFmtId="0" fontId="69"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69" fillId="53" borderId="0" applyNumberFormat="0" applyBorder="0" applyAlignment="0" applyProtection="0"/>
    <xf numFmtId="0" fontId="69"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69" fillId="57" borderId="0" applyNumberFormat="0" applyBorder="0" applyAlignment="0" applyProtection="0"/>
    <xf numFmtId="0" fontId="69"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69" fillId="61" borderId="0" applyNumberFormat="0" applyBorder="0" applyAlignment="0" applyProtection="0"/>
    <xf numFmtId="0" fontId="37" fillId="4" borderId="0">
      <alignment vertical="center"/>
    </xf>
    <xf numFmtId="49" fontId="37" fillId="10" borderId="0">
      <alignment vertical="center"/>
    </xf>
    <xf numFmtId="0" fontId="11" fillId="10" borderId="0">
      <alignment vertical="center"/>
      <protection locked="0"/>
    </xf>
  </cellStyleXfs>
  <cellXfs count="1074">
    <xf numFmtId="0" fontId="0" fillId="0" borderId="0" xfId="0"/>
    <xf numFmtId="0" fontId="99" fillId="4" borderId="22" xfId="2" applyFont="1" applyFill="1" applyBorder="1" applyProtection="1"/>
    <xf numFmtId="0" fontId="99" fillId="4" borderId="34" xfId="2" applyFont="1" applyFill="1" applyBorder="1" applyProtection="1"/>
    <xf numFmtId="0" fontId="99" fillId="4" borderId="23" xfId="2" applyFont="1" applyFill="1" applyBorder="1" applyProtection="1"/>
    <xf numFmtId="0" fontId="0" fillId="0" borderId="0" xfId="0" applyAlignment="1">
      <alignment vertical="top"/>
    </xf>
    <xf numFmtId="0" fontId="0" fillId="0" borderId="0" xfId="0" applyAlignment="1">
      <alignment horizontal="center" vertical="top"/>
    </xf>
    <xf numFmtId="0" fontId="0" fillId="0" borderId="47" xfId="0" applyBorder="1"/>
    <xf numFmtId="0" fontId="22" fillId="29" borderId="98" xfId="0" applyFont="1" applyFill="1" applyBorder="1"/>
    <xf numFmtId="0" fontId="22" fillId="29" borderId="99" xfId="0" applyFont="1" applyFill="1" applyBorder="1"/>
    <xf numFmtId="0" fontId="4" fillId="2" borderId="0" xfId="0" applyFont="1" applyFill="1"/>
    <xf numFmtId="0" fontId="14" fillId="11" borderId="0" xfId="0" applyFont="1" applyFill="1" applyAlignment="1">
      <alignment horizontal="left" vertical="center"/>
    </xf>
    <xf numFmtId="0" fontId="14" fillId="11" borderId="0" xfId="0" applyFont="1" applyFill="1" applyAlignment="1">
      <alignment vertical="center"/>
    </xf>
    <xf numFmtId="0" fontId="0" fillId="2" borderId="0" xfId="0" applyFill="1"/>
    <xf numFmtId="0" fontId="14" fillId="4" borderId="0" xfId="3" applyProtection="1">
      <alignment horizontal="left" vertical="center"/>
    </xf>
    <xf numFmtId="0" fontId="37" fillId="4" borderId="0" xfId="46">
      <alignment vertical="center"/>
    </xf>
    <xf numFmtId="0" fontId="70" fillId="10" borderId="0" xfId="47" applyNumberFormat="1" applyFont="1">
      <alignment vertical="center"/>
    </xf>
    <xf numFmtId="49" fontId="70" fillId="10" borderId="0" xfId="47" applyFont="1">
      <alignment vertical="center"/>
    </xf>
    <xf numFmtId="0" fontId="70" fillId="10" borderId="0" xfId="47" quotePrefix="1" applyNumberFormat="1" applyFont="1">
      <alignment vertical="center"/>
    </xf>
    <xf numFmtId="0" fontId="0" fillId="0" borderId="0" xfId="0" quotePrefix="1" applyAlignment="1">
      <alignment horizontal="center" vertical="top"/>
    </xf>
    <xf numFmtId="0" fontId="0" fillId="0" borderId="0" xfId="0" quotePrefix="1"/>
    <xf numFmtId="0" fontId="3" fillId="0" borderId="0" xfId="0" quotePrefix="1" applyFont="1"/>
    <xf numFmtId="0" fontId="0" fillId="63" borderId="0" xfId="0" applyFill="1"/>
    <xf numFmtId="0" fontId="71" fillId="63" borderId="0" xfId="0" applyFont="1" applyFill="1" applyAlignment="1">
      <alignment vertical="center"/>
    </xf>
    <xf numFmtId="0" fontId="0" fillId="0" borderId="0" xfId="0" applyAlignment="1">
      <alignment vertical="center"/>
    </xf>
    <xf numFmtId="1" fontId="4" fillId="2" borderId="0" xfId="0" applyNumberFormat="1" applyFont="1" applyFill="1"/>
    <xf numFmtId="0" fontId="4" fillId="2" borderId="0" xfId="0" applyFont="1" applyFill="1" applyAlignment="1">
      <alignment horizontal="center"/>
    </xf>
    <xf numFmtId="0" fontId="0" fillId="0" borderId="0" xfId="0" applyAlignment="1">
      <alignment horizontal="left"/>
    </xf>
    <xf numFmtId="0" fontId="4" fillId="2" borderId="0" xfId="0" applyFont="1" applyFill="1" applyAlignment="1">
      <alignment horizontal="left"/>
    </xf>
    <xf numFmtId="0" fontId="34" fillId="18" borderId="0" xfId="0" applyFont="1" applyFill="1" applyAlignment="1">
      <alignment vertical="top"/>
    </xf>
    <xf numFmtId="0" fontId="33" fillId="0" borderId="0" xfId="0" applyFont="1"/>
    <xf numFmtId="0" fontId="72" fillId="0" borderId="0" xfId="0" applyFont="1" applyAlignment="1">
      <alignment vertical="center"/>
    </xf>
    <xf numFmtId="0" fontId="72" fillId="18" borderId="0" xfId="0" applyFont="1" applyFill="1" applyAlignment="1">
      <alignment vertical="center"/>
    </xf>
    <xf numFmtId="0" fontId="0" fillId="0" borderId="0" xfId="0" applyAlignment="1">
      <alignment horizontal="left" vertical="top"/>
    </xf>
    <xf numFmtId="0" fontId="33" fillId="18" borderId="0" xfId="0" applyFont="1" applyFill="1"/>
    <xf numFmtId="0" fontId="33" fillId="16" borderId="0" xfId="0" applyFont="1" applyFill="1" applyAlignment="1">
      <alignment vertical="center"/>
    </xf>
    <xf numFmtId="0" fontId="0" fillId="0" borderId="0" xfId="0" applyAlignment="1">
      <alignment horizontal="right" indent="1"/>
    </xf>
    <xf numFmtId="0" fontId="3" fillId="0" borderId="0" xfId="0" applyFont="1"/>
    <xf numFmtId="0" fontId="0" fillId="0" borderId="32" xfId="0" applyBorder="1"/>
    <xf numFmtId="168" fontId="32" fillId="2" borderId="33" xfId="0" applyNumberFormat="1" applyFont="1" applyFill="1" applyBorder="1"/>
    <xf numFmtId="168" fontId="32" fillId="2" borderId="142" xfId="0" applyNumberFormat="1" applyFont="1" applyFill="1" applyBorder="1"/>
    <xf numFmtId="0" fontId="73" fillId="0" borderId="53" xfId="0" applyFont="1" applyBorder="1" applyAlignment="1">
      <alignment horizontal="right"/>
    </xf>
    <xf numFmtId="0" fontId="3" fillId="23" borderId="0" xfId="0" applyFont="1" applyFill="1"/>
    <xf numFmtId="168" fontId="7" fillId="18" borderId="32" xfId="0" applyNumberFormat="1" applyFont="1" applyFill="1" applyBorder="1" applyAlignment="1">
      <alignment horizontal="center" vertical="center" wrapText="1"/>
    </xf>
    <xf numFmtId="168" fontId="7" fillId="18" borderId="33" xfId="0" applyNumberFormat="1" applyFont="1" applyFill="1" applyBorder="1" applyAlignment="1">
      <alignment horizontal="center" vertical="center" wrapText="1"/>
    </xf>
    <xf numFmtId="168" fontId="7" fillId="18" borderId="33" xfId="0" applyNumberFormat="1" applyFont="1" applyFill="1" applyBorder="1" applyAlignment="1">
      <alignment horizontal="left" vertical="center" wrapText="1"/>
    </xf>
    <xf numFmtId="168" fontId="7" fillId="18" borderId="142" xfId="0" applyNumberFormat="1" applyFont="1" applyFill="1" applyBorder="1" applyAlignment="1">
      <alignment horizontal="center" vertical="center" wrapText="1"/>
    </xf>
    <xf numFmtId="0" fontId="0" fillId="0" borderId="37" xfId="0" applyBorder="1" applyAlignment="1">
      <alignment vertical="center"/>
    </xf>
    <xf numFmtId="0" fontId="3" fillId="23" borderId="0" xfId="0" applyFont="1" applyFill="1" applyAlignment="1">
      <alignment vertical="top"/>
    </xf>
    <xf numFmtId="0" fontId="3" fillId="0" borderId="0" xfId="0" applyFont="1" applyAlignment="1">
      <alignment horizontal="right" vertical="center"/>
    </xf>
    <xf numFmtId="168" fontId="7" fillId="9" borderId="89" xfId="0" applyNumberFormat="1" applyFont="1" applyFill="1" applyBorder="1" applyAlignment="1">
      <alignment horizontal="center" vertical="center" wrapText="1"/>
    </xf>
    <xf numFmtId="168" fontId="7" fillId="18" borderId="89" xfId="0" applyNumberFormat="1" applyFont="1" applyFill="1" applyBorder="1" applyAlignment="1">
      <alignment horizontal="center" vertical="center" wrapText="1"/>
    </xf>
    <xf numFmtId="168" fontId="7" fillId="18" borderId="89" xfId="0" applyNumberFormat="1" applyFont="1" applyFill="1" applyBorder="1" applyAlignment="1">
      <alignment horizontal="left" vertical="center" wrapText="1"/>
    </xf>
    <xf numFmtId="168" fontId="7" fillId="9" borderId="44" xfId="0" applyNumberFormat="1" applyFont="1" applyFill="1" applyBorder="1" applyAlignment="1">
      <alignment horizontal="center" vertical="center" wrapText="1"/>
    </xf>
    <xf numFmtId="0" fontId="26" fillId="0" borderId="0" xfId="0" applyFont="1"/>
    <xf numFmtId="0" fontId="2" fillId="16" borderId="0" xfId="0" applyFont="1" applyFill="1" applyAlignment="1">
      <alignment vertical="center"/>
    </xf>
    <xf numFmtId="0" fontId="7" fillId="9" borderId="90" xfId="0" applyFont="1" applyFill="1" applyBorder="1" applyAlignment="1">
      <alignment horizontal="center" vertical="center" wrapText="1"/>
    </xf>
    <xf numFmtId="0" fontId="7" fillId="18" borderId="87" xfId="0" applyFont="1" applyFill="1" applyBorder="1" applyAlignment="1">
      <alignment horizontal="center" vertical="center" wrapText="1"/>
    </xf>
    <xf numFmtId="0" fontId="73" fillId="0" borderId="34" xfId="0" applyFont="1" applyBorder="1" applyAlignment="1">
      <alignment horizontal="right" vertical="center"/>
    </xf>
    <xf numFmtId="0" fontId="7" fillId="64" borderId="0" xfId="0" applyFont="1" applyFill="1" applyAlignment="1">
      <alignment horizontal="right" vertical="center" wrapText="1"/>
    </xf>
    <xf numFmtId="0" fontId="0" fillId="0" borderId="0" xfId="0" applyAlignment="1">
      <alignment horizontal="left" vertical="center"/>
    </xf>
    <xf numFmtId="14" fontId="7" fillId="9" borderId="53" xfId="0" applyNumberFormat="1" applyFont="1" applyFill="1" applyBorder="1" applyAlignment="1">
      <alignment vertical="center"/>
    </xf>
    <xf numFmtId="14" fontId="7" fillId="9" borderId="53" xfId="0" applyNumberFormat="1" applyFont="1" applyFill="1" applyBorder="1" applyAlignment="1">
      <alignment horizontal="left" vertical="center"/>
    </xf>
    <xf numFmtId="0" fontId="7" fillId="9" borderId="88" xfId="0" applyFont="1" applyFill="1" applyBorder="1" applyAlignment="1">
      <alignment horizontal="center" vertical="center" wrapText="1"/>
    </xf>
    <xf numFmtId="0" fontId="10" fillId="9" borderId="87" xfId="0" applyFont="1" applyFill="1" applyBorder="1" applyAlignment="1">
      <alignment horizontal="center" vertical="center" wrapText="1"/>
    </xf>
    <xf numFmtId="0" fontId="74" fillId="0" borderId="22" xfId="0" applyFont="1" applyBorder="1" applyAlignment="1">
      <alignment horizontal="center" vertical="center"/>
    </xf>
    <xf numFmtId="0" fontId="74" fillId="0" borderId="23" xfId="0" applyFont="1" applyBorder="1" applyAlignment="1">
      <alignment horizontal="center" vertical="center"/>
    </xf>
    <xf numFmtId="0" fontId="74" fillId="0" borderId="34" xfId="0" applyFont="1" applyBorder="1" applyAlignment="1">
      <alignment horizontal="center" vertical="center"/>
    </xf>
    <xf numFmtId="14" fontId="0" fillId="9" borderId="53" xfId="0" applyNumberFormat="1" applyFill="1" applyBorder="1" applyAlignment="1">
      <alignment horizontal="left" vertical="center"/>
    </xf>
    <xf numFmtId="0" fontId="74" fillId="0" borderId="17" xfId="0" applyFont="1" applyBorder="1" applyAlignment="1">
      <alignment horizontal="center" vertical="center" wrapText="1"/>
    </xf>
    <xf numFmtId="0" fontId="74" fillId="0" borderId="16" xfId="0" applyFont="1" applyBorder="1" applyAlignment="1">
      <alignment horizontal="center" vertical="center" wrapText="1"/>
    </xf>
    <xf numFmtId="0" fontId="74" fillId="0" borderId="24" xfId="0" applyFont="1" applyBorder="1" applyAlignment="1">
      <alignment horizontal="center" vertical="center" wrapText="1"/>
    </xf>
    <xf numFmtId="167" fontId="7" fillId="7" borderId="155" xfId="0" applyNumberFormat="1" applyFont="1" applyFill="1" applyBorder="1" applyAlignment="1" applyProtection="1">
      <alignment horizontal="left" vertical="center" wrapText="1"/>
      <protection locked="0"/>
    </xf>
    <xf numFmtId="167" fontId="7" fillId="7" borderId="156" xfId="0" applyNumberFormat="1" applyFont="1" applyFill="1" applyBorder="1" applyAlignment="1" applyProtection="1">
      <alignment horizontal="left" vertical="center" wrapText="1"/>
      <protection locked="0"/>
    </xf>
    <xf numFmtId="3" fontId="7" fillId="7" borderId="156" xfId="0" applyNumberFormat="1" applyFont="1" applyFill="1" applyBorder="1" applyAlignment="1" applyProtection="1">
      <alignment horizontal="left" vertical="center" wrapText="1"/>
      <protection locked="0"/>
    </xf>
    <xf numFmtId="3" fontId="7" fillId="7" borderId="157" xfId="0" applyNumberFormat="1" applyFont="1" applyFill="1" applyBorder="1" applyAlignment="1">
      <alignment horizontal="left" vertical="center" wrapText="1"/>
    </xf>
    <xf numFmtId="0" fontId="31" fillId="0" borderId="0" xfId="0" applyFont="1" applyAlignment="1">
      <alignment vertical="center"/>
    </xf>
    <xf numFmtId="0" fontId="74" fillId="0" borderId="32" xfId="0" applyFont="1" applyBorder="1" applyAlignment="1">
      <alignment horizontal="center" vertical="center" wrapText="1"/>
    </xf>
    <xf numFmtId="0" fontId="74" fillId="0" borderId="33" xfId="0" applyFont="1" applyBorder="1" applyAlignment="1">
      <alignment horizontal="center" vertical="center" wrapText="1"/>
    </xf>
    <xf numFmtId="0" fontId="74" fillId="0" borderId="19" xfId="0" applyFont="1" applyBorder="1" applyAlignment="1">
      <alignment horizontal="center" vertical="center" wrapText="1"/>
    </xf>
    <xf numFmtId="0" fontId="3" fillId="0" borderId="0" xfId="0" applyFont="1" applyAlignment="1">
      <alignment horizontal="left" indent="3"/>
    </xf>
    <xf numFmtId="0" fontId="7" fillId="0" borderId="0" xfId="0" applyFont="1" applyAlignment="1">
      <alignment vertical="center"/>
    </xf>
    <xf numFmtId="0" fontId="7" fillId="14" borderId="22" xfId="0" applyFont="1" applyFill="1" applyBorder="1" applyAlignment="1">
      <alignment vertical="center"/>
    </xf>
    <xf numFmtId="0" fontId="7" fillId="14" borderId="23" xfId="0" applyFont="1" applyFill="1" applyBorder="1" applyAlignment="1">
      <alignment vertical="center"/>
    </xf>
    <xf numFmtId="0" fontId="7" fillId="14" borderId="34" xfId="0" applyFont="1" applyFill="1" applyBorder="1" applyAlignment="1">
      <alignment vertical="center"/>
    </xf>
    <xf numFmtId="0" fontId="0" fillId="65" borderId="0" xfId="0" applyFill="1"/>
    <xf numFmtId="0" fontId="75" fillId="65" borderId="0" xfId="0" applyFont="1" applyFill="1" applyAlignment="1">
      <alignment horizontal="left"/>
    </xf>
    <xf numFmtId="0" fontId="76" fillId="0" borderId="0" xfId="0" applyFont="1"/>
    <xf numFmtId="0" fontId="0" fillId="0" borderId="1" xfId="0" applyBorder="1" applyAlignment="1">
      <alignment horizontal="left"/>
    </xf>
    <xf numFmtId="0" fontId="0" fillId="0" borderId="2" xfId="0" applyBorder="1" applyAlignment="1">
      <alignment horizontal="left" vertical="top"/>
    </xf>
    <xf numFmtId="0" fontId="0" fillId="14" borderId="3" xfId="0" applyFill="1" applyBorder="1" applyAlignment="1">
      <alignment horizontal="left" vertical="center" wrapText="1"/>
    </xf>
    <xf numFmtId="0" fontId="0" fillId="0" borderId="52" xfId="0" applyBorder="1" applyAlignment="1">
      <alignment horizontal="left"/>
    </xf>
    <xf numFmtId="0" fontId="0" fillId="14" borderId="27" xfId="0" applyFill="1" applyBorder="1" applyAlignment="1">
      <alignment horizontal="left" vertical="top"/>
    </xf>
    <xf numFmtId="0" fontId="0" fillId="14" borderId="29" xfId="0" applyFill="1" applyBorder="1" applyAlignment="1">
      <alignment horizontal="left" vertical="center" wrapText="1"/>
    </xf>
    <xf numFmtId="0" fontId="0" fillId="14" borderId="13" xfId="0" applyFill="1" applyBorder="1" applyAlignment="1">
      <alignment horizontal="left"/>
    </xf>
    <xf numFmtId="0" fontId="0" fillId="14" borderId="14" xfId="0" applyFill="1" applyBorder="1" applyAlignment="1">
      <alignment horizontal="left"/>
    </xf>
    <xf numFmtId="0" fontId="0" fillId="14" borderId="15" xfId="0" applyFill="1" applyBorder="1" applyAlignment="1">
      <alignment horizontal="left" vertical="center" wrapText="1"/>
    </xf>
    <xf numFmtId="0" fontId="2" fillId="66" borderId="73" xfId="0" applyFont="1" applyFill="1" applyBorder="1" applyAlignment="1">
      <alignment vertical="center"/>
    </xf>
    <xf numFmtId="0" fontId="7" fillId="66" borderId="158" xfId="0" applyFont="1" applyFill="1" applyBorder="1" applyAlignment="1">
      <alignment horizontal="center" vertical="center" wrapText="1"/>
    </xf>
    <xf numFmtId="0" fontId="7" fillId="66" borderId="72" xfId="0" applyFont="1" applyFill="1" applyBorder="1" applyAlignment="1">
      <alignment horizontal="center" vertical="center" wrapText="1"/>
    </xf>
    <xf numFmtId="0" fontId="0" fillId="0" borderId="37" xfId="0" applyBorder="1"/>
    <xf numFmtId="0" fontId="0" fillId="0" borderId="40" xfId="0" applyBorder="1" applyAlignment="1">
      <alignment vertical="center"/>
    </xf>
    <xf numFmtId="0" fontId="0" fillId="14" borderId="35" xfId="0" applyFill="1" applyBorder="1"/>
    <xf numFmtId="0" fontId="0" fillId="14" borderId="47" xfId="0" applyFill="1" applyBorder="1"/>
    <xf numFmtId="0" fontId="0" fillId="14" borderId="36" xfId="0" applyFill="1" applyBorder="1"/>
    <xf numFmtId="0" fontId="7" fillId="66" borderId="32" xfId="0" applyFont="1" applyFill="1" applyBorder="1" applyAlignment="1">
      <alignment horizontal="center" vertical="center" wrapText="1"/>
    </xf>
    <xf numFmtId="0" fontId="7" fillId="66" borderId="33" xfId="0" applyFont="1" applyFill="1" applyBorder="1" applyAlignment="1">
      <alignment horizontal="center" vertical="center" wrapText="1"/>
    </xf>
    <xf numFmtId="0" fontId="7" fillId="66" borderId="19" xfId="0" applyFont="1" applyFill="1" applyBorder="1" applyAlignment="1">
      <alignment horizontal="center" vertical="center" wrapText="1"/>
    </xf>
    <xf numFmtId="0" fontId="0" fillId="0" borderId="1" xfId="0" applyBorder="1"/>
    <xf numFmtId="0" fontId="0" fillId="0" borderId="2" xfId="0" applyBorder="1"/>
    <xf numFmtId="0" fontId="0" fillId="67" borderId="3" xfId="0" applyFill="1" applyBorder="1" applyAlignment="1">
      <alignment horizontal="center" vertical="center" wrapText="1"/>
    </xf>
    <xf numFmtId="0" fontId="0" fillId="0" borderId="52" xfId="0" applyBorder="1"/>
    <xf numFmtId="0" fontId="0" fillId="0" borderId="27" xfId="0" applyBorder="1"/>
    <xf numFmtId="0" fontId="0" fillId="67" borderId="29" xfId="0" applyFill="1" applyBorder="1" applyAlignment="1">
      <alignment horizontal="center" vertical="center" wrapText="1"/>
    </xf>
    <xf numFmtId="0" fontId="0" fillId="67" borderId="27" xfId="0" applyFill="1" applyBorder="1" applyAlignment="1">
      <alignment horizontal="center" vertical="center" wrapText="1"/>
    </xf>
    <xf numFmtId="0" fontId="0" fillId="0" borderId="13" xfId="0" applyBorder="1"/>
    <xf numFmtId="0" fontId="0" fillId="0" borderId="14" xfId="0" applyBorder="1"/>
    <xf numFmtId="0" fontId="0" fillId="67" borderId="14" xfId="0" applyFill="1" applyBorder="1" applyAlignment="1">
      <alignment horizontal="center" vertical="center" wrapText="1"/>
    </xf>
    <xf numFmtId="0" fontId="0" fillId="67" borderId="15" xfId="0" applyFill="1" applyBorder="1" applyAlignment="1">
      <alignment horizontal="center" vertical="center" wrapText="1"/>
    </xf>
    <xf numFmtId="0" fontId="78" fillId="68" borderId="159" xfId="0" applyFont="1" applyFill="1" applyBorder="1" applyAlignment="1">
      <alignment vertical="center" wrapText="1"/>
    </xf>
    <xf numFmtId="0" fontId="78" fillId="68" borderId="160" xfId="0" applyFont="1" applyFill="1" applyBorder="1" applyAlignment="1">
      <alignment vertical="center" wrapText="1"/>
    </xf>
    <xf numFmtId="0" fontId="78" fillId="68" borderId="161" xfId="0" applyFont="1" applyFill="1" applyBorder="1" applyAlignment="1">
      <alignment vertical="center" wrapText="1"/>
    </xf>
    <xf numFmtId="0" fontId="0" fillId="5" borderId="66" xfId="0" applyFill="1" applyBorder="1" applyAlignment="1">
      <alignment horizontal="center"/>
    </xf>
    <xf numFmtId="0" fontId="0" fillId="5" borderId="61" xfId="0" applyFill="1" applyBorder="1" applyAlignment="1">
      <alignment horizontal="center"/>
    </xf>
    <xf numFmtId="0" fontId="78" fillId="69" borderId="53" xfId="0" applyFont="1" applyFill="1" applyBorder="1" applyAlignment="1">
      <alignment horizontal="center" vertical="center" wrapText="1"/>
    </xf>
    <xf numFmtId="0" fontId="0" fillId="0" borderId="162" xfId="0" applyBorder="1"/>
    <xf numFmtId="0" fontId="0" fillId="0" borderId="163" xfId="0" applyBorder="1"/>
    <xf numFmtId="0" fontId="0" fillId="0" borderId="164" xfId="0" applyBorder="1"/>
    <xf numFmtId="0" fontId="0" fillId="5" borderId="165" xfId="0" applyFill="1" applyBorder="1" applyAlignment="1">
      <alignment horizontal="center"/>
    </xf>
    <xf numFmtId="0" fontId="0" fillId="0" borderId="167" xfId="0" applyBorder="1"/>
    <xf numFmtId="0" fontId="0" fillId="0" borderId="65" xfId="0" applyBorder="1"/>
    <xf numFmtId="0" fontId="0" fillId="5" borderId="64" xfId="0" applyFill="1" applyBorder="1" applyAlignment="1">
      <alignment horizontal="center"/>
    </xf>
    <xf numFmtId="0" fontId="0" fillId="5" borderId="27" xfId="0" applyFill="1" applyBorder="1" applyAlignment="1">
      <alignment horizontal="center" vertical="center" wrapText="1"/>
    </xf>
    <xf numFmtId="0" fontId="0" fillId="5" borderId="65" xfId="0" applyFill="1" applyBorder="1" applyAlignment="1">
      <alignment horizontal="center" vertical="center" wrapText="1"/>
    </xf>
    <xf numFmtId="0" fontId="0" fillId="5" borderId="59" xfId="0" applyFill="1" applyBorder="1" applyAlignment="1">
      <alignment horizontal="center" vertical="center" wrapText="1"/>
    </xf>
    <xf numFmtId="0" fontId="0" fillId="5" borderId="5" xfId="0" applyFill="1" applyBorder="1" applyAlignment="1">
      <alignment horizontal="center" vertical="center" wrapText="1"/>
    </xf>
    <xf numFmtId="0" fontId="0" fillId="0" borderId="5" xfId="0" applyBorder="1"/>
    <xf numFmtId="0" fontId="0" fillId="5" borderId="60" xfId="0" applyFill="1" applyBorder="1" applyAlignment="1">
      <alignment horizontal="center"/>
    </xf>
    <xf numFmtId="0" fontId="78" fillId="69" borderId="169" xfId="0" applyFont="1" applyFill="1" applyBorder="1" applyAlignment="1">
      <alignment horizontal="center" vertical="center" wrapText="1"/>
    </xf>
    <xf numFmtId="0" fontId="78" fillId="69" borderId="170" xfId="0" applyFont="1" applyFill="1" applyBorder="1" applyAlignment="1">
      <alignment horizontal="center" vertical="center" wrapText="1"/>
    </xf>
    <xf numFmtId="0" fontId="78" fillId="69" borderId="171" xfId="0" applyFont="1" applyFill="1" applyBorder="1" applyAlignment="1">
      <alignment horizontal="center" vertical="center" wrapText="1"/>
    </xf>
    <xf numFmtId="0" fontId="66" fillId="70" borderId="0" xfId="0" applyFont="1" applyFill="1" applyAlignment="1">
      <alignment horizontal="centerContinuous"/>
    </xf>
    <xf numFmtId="0" fontId="76" fillId="0" borderId="172" xfId="0" applyFont="1" applyBorder="1"/>
    <xf numFmtId="0" fontId="0" fillId="0" borderId="173" xfId="0" applyBorder="1"/>
    <xf numFmtId="0" fontId="0" fillId="5" borderId="2" xfId="0" applyFill="1" applyBorder="1" applyAlignment="1">
      <alignment horizontal="center" vertical="center" wrapText="1"/>
    </xf>
    <xf numFmtId="0" fontId="0" fillId="0" borderId="3" xfId="0" applyBorder="1"/>
    <xf numFmtId="0" fontId="0" fillId="0" borderId="175" xfId="0" applyBorder="1"/>
    <xf numFmtId="0" fontId="0" fillId="0" borderId="29" xfId="0" applyBorder="1"/>
    <xf numFmtId="0" fontId="0" fillId="0" borderId="29" xfId="0" applyBorder="1" applyAlignment="1">
      <alignment vertical="center"/>
    </xf>
    <xf numFmtId="0" fontId="0" fillId="5" borderId="29" xfId="0" applyFill="1" applyBorder="1" applyAlignment="1">
      <alignment horizontal="center" vertical="center" wrapText="1"/>
    </xf>
    <xf numFmtId="0" fontId="0" fillId="5" borderId="176" xfId="0" applyFill="1" applyBorder="1" applyAlignment="1">
      <alignment horizontal="center" vertical="center" wrapText="1"/>
    </xf>
    <xf numFmtId="0" fontId="0" fillId="5" borderId="0" xfId="0" applyFill="1" applyAlignment="1">
      <alignment horizontal="center"/>
    </xf>
    <xf numFmtId="0" fontId="0" fillId="5" borderId="40" xfId="0" applyFill="1" applyBorder="1" applyAlignment="1">
      <alignment horizontal="center"/>
    </xf>
    <xf numFmtId="0" fontId="78" fillId="69" borderId="177" xfId="0" applyFont="1" applyFill="1" applyBorder="1" applyAlignment="1">
      <alignment horizontal="center" vertical="center" wrapText="1"/>
    </xf>
    <xf numFmtId="0" fontId="78" fillId="69" borderId="178" xfId="0" applyFont="1" applyFill="1" applyBorder="1" applyAlignment="1">
      <alignment horizontal="center" vertical="center" wrapText="1"/>
    </xf>
    <xf numFmtId="0" fontId="78" fillId="69" borderId="179" xfId="0" applyFont="1" applyFill="1" applyBorder="1" applyAlignment="1">
      <alignment horizontal="center" vertical="center" wrapText="1"/>
    </xf>
    <xf numFmtId="0" fontId="80" fillId="0" borderId="0" xfId="0" applyFont="1" applyAlignment="1">
      <alignment horizontal="right"/>
    </xf>
    <xf numFmtId="0" fontId="23" fillId="18" borderId="66" xfId="0" applyFont="1" applyFill="1" applyBorder="1" applyAlignment="1">
      <alignment horizontal="center" vertical="center"/>
    </xf>
    <xf numFmtId="0" fontId="23" fillId="18" borderId="61" xfId="0" applyFont="1" applyFill="1" applyBorder="1" applyAlignment="1">
      <alignment horizontal="center" vertical="center"/>
    </xf>
    <xf numFmtId="0" fontId="23" fillId="18" borderId="56" xfId="0" applyFont="1" applyFill="1" applyBorder="1" applyAlignment="1">
      <alignment horizontal="center" vertical="center"/>
    </xf>
    <xf numFmtId="0" fontId="7" fillId="9" borderId="181" xfId="0" applyFont="1" applyFill="1" applyBorder="1" applyAlignment="1">
      <alignment vertical="center" wrapText="1"/>
    </xf>
    <xf numFmtId="0" fontId="4" fillId="18" borderId="66" xfId="0" applyFont="1" applyFill="1" applyBorder="1" applyAlignment="1">
      <alignment horizontal="center" vertical="center"/>
    </xf>
    <xf numFmtId="0" fontId="16" fillId="18" borderId="61" xfId="0" applyFont="1" applyFill="1" applyBorder="1" applyAlignment="1">
      <alignment horizontal="center" vertical="top" wrapText="1"/>
    </xf>
    <xf numFmtId="0" fontId="16" fillId="18" borderId="182" xfId="0" applyFont="1" applyFill="1" applyBorder="1" applyAlignment="1">
      <alignment horizontal="center" vertical="top" wrapText="1"/>
    </xf>
    <xf numFmtId="0" fontId="7" fillId="64" borderId="53" xfId="0" applyFont="1" applyFill="1" applyBorder="1" applyAlignment="1">
      <alignment vertical="center" wrapText="1"/>
    </xf>
    <xf numFmtId="0" fontId="1" fillId="0" borderId="0" xfId="0" applyFont="1" applyAlignment="1">
      <alignment horizontal="left" indent="2"/>
    </xf>
    <xf numFmtId="0" fontId="23" fillId="0" borderId="1" xfId="0" applyFont="1" applyBorder="1" applyAlignment="1">
      <alignment vertical="center"/>
    </xf>
    <xf numFmtId="0" fontId="23" fillId="0" borderId="2" xfId="0" applyFont="1" applyBorder="1" applyAlignment="1">
      <alignment vertical="center"/>
    </xf>
    <xf numFmtId="0" fontId="23" fillId="0" borderId="3" xfId="0" applyFont="1" applyBorder="1" applyAlignment="1">
      <alignment vertical="center"/>
    </xf>
    <xf numFmtId="0" fontId="3" fillId="0" borderId="1" xfId="0" applyFont="1" applyBorder="1"/>
    <xf numFmtId="0" fontId="3" fillId="0" borderId="2" xfId="0" applyFont="1" applyBorder="1"/>
    <xf numFmtId="0" fontId="3" fillId="0" borderId="2" xfId="0" applyFont="1" applyBorder="1" applyAlignment="1">
      <alignment vertical="center"/>
    </xf>
    <xf numFmtId="0" fontId="3" fillId="18" borderId="2" xfId="0" applyFont="1" applyFill="1" applyBorder="1" applyAlignment="1">
      <alignment wrapText="1"/>
    </xf>
    <xf numFmtId="0" fontId="3" fillId="0" borderId="3" xfId="0" applyFont="1" applyBorder="1" applyAlignment="1">
      <alignment vertical="center"/>
    </xf>
    <xf numFmtId="0" fontId="23" fillId="0" borderId="52" xfId="0" applyFont="1" applyBorder="1" applyAlignment="1">
      <alignment vertical="center"/>
    </xf>
    <xf numFmtId="0" fontId="23" fillId="0" borderId="27" xfId="0" applyFont="1" applyBorder="1" applyAlignment="1">
      <alignment vertical="center"/>
    </xf>
    <xf numFmtId="0" fontId="23" fillId="0" borderId="29" xfId="0" applyFont="1" applyBorder="1" applyAlignment="1">
      <alignment vertical="center"/>
    </xf>
    <xf numFmtId="0" fontId="3" fillId="0" borderId="52" xfId="0" applyFont="1" applyBorder="1"/>
    <xf numFmtId="0" fontId="3" fillId="0" borderId="27" xfId="0" applyFont="1" applyBorder="1"/>
    <xf numFmtId="0" fontId="3" fillId="0" borderId="27" xfId="0" applyFont="1" applyBorder="1" applyAlignment="1">
      <alignment vertical="center"/>
    </xf>
    <xf numFmtId="0" fontId="3" fillId="18" borderId="27" xfId="0" applyFont="1" applyFill="1" applyBorder="1" applyAlignment="1">
      <alignment wrapText="1"/>
    </xf>
    <xf numFmtId="0" fontId="3" fillId="0" borderId="29" xfId="0" applyFont="1" applyBorder="1" applyAlignment="1">
      <alignment vertical="center"/>
    </xf>
    <xf numFmtId="0" fontId="22" fillId="18" borderId="29" xfId="0" applyFont="1" applyFill="1" applyBorder="1" applyAlignment="1">
      <alignment wrapText="1"/>
    </xf>
    <xf numFmtId="0" fontId="23" fillId="18" borderId="27" xfId="0" applyFont="1" applyFill="1" applyBorder="1" applyAlignment="1">
      <alignment vertical="center"/>
    </xf>
    <xf numFmtId="0" fontId="23" fillId="18" borderId="52" xfId="0" applyFont="1" applyFill="1" applyBorder="1" applyAlignment="1">
      <alignment vertical="center"/>
    </xf>
    <xf numFmtId="0" fontId="23" fillId="18" borderId="29" xfId="0" applyFont="1" applyFill="1" applyBorder="1" applyAlignment="1">
      <alignment vertical="center"/>
    </xf>
    <xf numFmtId="0" fontId="24" fillId="18" borderId="52" xfId="0" applyFont="1" applyFill="1" applyBorder="1" applyAlignment="1">
      <alignment vertical="center" wrapText="1"/>
    </xf>
    <xf numFmtId="0" fontId="24" fillId="18" borderId="27" xfId="0" applyFont="1" applyFill="1" applyBorder="1" applyAlignment="1">
      <alignment vertical="center" wrapText="1"/>
    </xf>
    <xf numFmtId="0" fontId="23" fillId="18" borderId="13" xfId="0" applyFont="1" applyFill="1" applyBorder="1" applyAlignment="1">
      <alignment vertical="center"/>
    </xf>
    <xf numFmtId="0" fontId="23" fillId="18" borderId="14" xfId="0" applyFont="1" applyFill="1" applyBorder="1" applyAlignment="1">
      <alignment vertical="center"/>
    </xf>
    <xf numFmtId="0" fontId="23" fillId="18" borderId="15" xfId="0" applyFont="1" applyFill="1" applyBorder="1" applyAlignment="1">
      <alignment vertical="center"/>
    </xf>
    <xf numFmtId="0" fontId="24" fillId="18" borderId="13" xfId="0" applyFont="1" applyFill="1" applyBorder="1" applyAlignment="1">
      <alignment vertical="center" wrapText="1"/>
    </xf>
    <xf numFmtId="0" fontId="24" fillId="18" borderId="14" xfId="0" applyFont="1" applyFill="1" applyBorder="1" applyAlignment="1">
      <alignment vertical="center" wrapText="1"/>
    </xf>
    <xf numFmtId="0" fontId="3" fillId="18" borderId="14" xfId="0" applyFont="1" applyFill="1" applyBorder="1" applyAlignment="1">
      <alignment wrapText="1"/>
    </xf>
    <xf numFmtId="0" fontId="22" fillId="18" borderId="15" xfId="0" applyFont="1" applyFill="1" applyBorder="1" applyAlignment="1">
      <alignment wrapText="1"/>
    </xf>
    <xf numFmtId="0" fontId="0" fillId="0" borderId="0" xfId="0" applyAlignment="1">
      <alignment wrapText="1"/>
    </xf>
    <xf numFmtId="0" fontId="0" fillId="0" borderId="0" xfId="0" applyAlignment="1">
      <alignment vertical="center" wrapText="1"/>
    </xf>
    <xf numFmtId="0" fontId="7" fillId="64" borderId="55" xfId="0" applyFont="1" applyFill="1" applyBorder="1" applyAlignment="1">
      <alignment vertical="center" wrapText="1"/>
    </xf>
    <xf numFmtId="0" fontId="7" fillId="9" borderId="134" xfId="0" applyFont="1" applyFill="1" applyBorder="1" applyAlignment="1">
      <alignment vertical="center" wrapText="1"/>
    </xf>
    <xf numFmtId="0" fontId="7" fillId="9" borderId="55" xfId="0" applyFont="1" applyFill="1" applyBorder="1" applyAlignment="1">
      <alignment vertical="center" wrapText="1"/>
    </xf>
    <xf numFmtId="0" fontId="7" fillId="64" borderId="55" xfId="0" applyFont="1" applyFill="1" applyBorder="1" applyAlignment="1">
      <alignment horizontal="left" vertical="center" wrapText="1"/>
    </xf>
    <xf numFmtId="0" fontId="7" fillId="9" borderId="54" xfId="0" applyFont="1" applyFill="1" applyBorder="1" applyAlignment="1">
      <alignment vertical="center" wrapText="1"/>
    </xf>
    <xf numFmtId="0" fontId="0" fillId="22" borderId="0" xfId="0" applyFill="1"/>
    <xf numFmtId="0" fontId="0" fillId="0" borderId="47" xfId="0" applyBorder="1" applyAlignment="1">
      <alignment vertical="center"/>
    </xf>
    <xf numFmtId="0" fontId="0" fillId="0" borderId="1" xfId="0" applyBorder="1" applyAlignment="1">
      <alignment vertical="center"/>
    </xf>
    <xf numFmtId="0" fontId="0" fillId="18" borderId="2" xfId="0" applyFill="1" applyBorder="1"/>
    <xf numFmtId="0" fontId="0" fillId="0" borderId="52" xfId="0" applyBorder="1" applyAlignment="1">
      <alignment vertical="center"/>
    </xf>
    <xf numFmtId="0" fontId="0" fillId="18" borderId="27" xfId="0" applyFill="1" applyBorder="1"/>
    <xf numFmtId="0" fontId="0" fillId="18" borderId="52" xfId="0" applyFill="1" applyBorder="1" applyAlignment="1">
      <alignment vertical="center"/>
    </xf>
    <xf numFmtId="0" fontId="0" fillId="18" borderId="27" xfId="0" applyFill="1" applyBorder="1" applyAlignment="1">
      <alignment vertical="center"/>
    </xf>
    <xf numFmtId="0" fontId="0" fillId="18" borderId="27" xfId="0" applyFill="1" applyBorder="1" applyProtection="1">
      <protection locked="0"/>
    </xf>
    <xf numFmtId="0" fontId="0" fillId="18" borderId="29" xfId="0" applyFill="1" applyBorder="1"/>
    <xf numFmtId="0" fontId="0" fillId="18" borderId="52" xfId="0" applyFill="1" applyBorder="1"/>
    <xf numFmtId="49" fontId="0" fillId="18" borderId="13" xfId="0" applyNumberFormat="1" applyFill="1" applyBorder="1"/>
    <xf numFmtId="0" fontId="0" fillId="18" borderId="14" xfId="0" applyFill="1" applyBorder="1" applyAlignment="1">
      <alignment vertical="center"/>
    </xf>
    <xf numFmtId="49" fontId="0" fillId="18" borderId="14" xfId="0" applyNumberFormat="1" applyFill="1" applyBorder="1"/>
    <xf numFmtId="0" fontId="0" fillId="18" borderId="14" xfId="0" applyFill="1" applyBorder="1" applyProtection="1">
      <protection locked="0"/>
    </xf>
    <xf numFmtId="0" fontId="0" fillId="18" borderId="15" xfId="0" applyFill="1" applyBorder="1"/>
    <xf numFmtId="0" fontId="2" fillId="3" borderId="45" xfId="0" applyFont="1" applyFill="1" applyBorder="1" applyAlignment="1">
      <alignment horizontal="left" vertical="top" wrapText="1"/>
    </xf>
    <xf numFmtId="0" fontId="8" fillId="3" borderId="45" xfId="0" applyFont="1" applyFill="1" applyBorder="1" applyAlignment="1">
      <alignment horizontal="left" vertical="top" wrapText="1"/>
    </xf>
    <xf numFmtId="0" fontId="0" fillId="10" borderId="35" xfId="0" applyFill="1" applyBorder="1"/>
    <xf numFmtId="0" fontId="0" fillId="2" borderId="66" xfId="0" applyFill="1" applyBorder="1" applyAlignment="1">
      <alignment vertical="center"/>
    </xf>
    <xf numFmtId="0" fontId="0" fillId="10" borderId="37" xfId="0" applyFill="1" applyBorder="1"/>
    <xf numFmtId="0" fontId="0" fillId="2" borderId="61" xfId="0" applyFill="1" applyBorder="1" applyAlignment="1">
      <alignment vertical="center"/>
    </xf>
    <xf numFmtId="0" fontId="0" fillId="2" borderId="182" xfId="0" applyFill="1" applyBorder="1" applyAlignment="1">
      <alignment vertical="center"/>
    </xf>
    <xf numFmtId="0" fontId="0" fillId="2" borderId="83" xfId="0" applyFill="1" applyBorder="1" applyAlignment="1">
      <alignment vertical="center"/>
    </xf>
    <xf numFmtId="0" fontId="0" fillId="0" borderId="2" xfId="0" applyBorder="1" applyAlignment="1">
      <alignment vertical="center"/>
    </xf>
    <xf numFmtId="0" fontId="0" fillId="2" borderId="183" xfId="0" applyFill="1" applyBorder="1" applyAlignment="1">
      <alignment horizontal="left" vertical="center"/>
    </xf>
    <xf numFmtId="0" fontId="0" fillId="2" borderId="83" xfId="0" applyFill="1" applyBorder="1" applyAlignment="1">
      <alignment vertical="top"/>
    </xf>
    <xf numFmtId="0" fontId="0" fillId="2" borderId="1" xfId="0" applyFill="1" applyBorder="1" applyAlignment="1">
      <alignment horizontal="left" vertical="center"/>
    </xf>
    <xf numFmtId="0" fontId="0" fillId="0" borderId="25" xfId="0" applyBorder="1"/>
    <xf numFmtId="0" fontId="0" fillId="0" borderId="27" xfId="0" applyBorder="1" applyAlignment="1">
      <alignment vertical="center"/>
    </xf>
    <xf numFmtId="0" fontId="0" fillId="2" borderId="79" xfId="0" applyFill="1" applyBorder="1" applyAlignment="1">
      <alignment horizontal="left" vertical="center"/>
    </xf>
    <xf numFmtId="0" fontId="0" fillId="2" borderId="46" xfId="0" applyFill="1" applyBorder="1" applyAlignment="1">
      <alignment vertical="top"/>
    </xf>
    <xf numFmtId="0" fontId="0" fillId="2" borderId="52" xfId="0" applyFill="1" applyBorder="1" applyAlignment="1">
      <alignment horizontal="left" vertical="center"/>
    </xf>
    <xf numFmtId="0" fontId="0" fillId="0" borderId="26" xfId="0" applyBorder="1"/>
    <xf numFmtId="0" fontId="0" fillId="7" borderId="52" xfId="0" applyFill="1" applyBorder="1" applyAlignment="1">
      <alignment horizontal="left" vertical="center"/>
    </xf>
    <xf numFmtId="0" fontId="0" fillId="2" borderId="102" xfId="0" applyFill="1" applyBorder="1" applyAlignment="1">
      <alignment horizontal="left" vertical="center"/>
    </xf>
    <xf numFmtId="0" fontId="0" fillId="2" borderId="42" xfId="0" applyFill="1" applyBorder="1" applyAlignment="1">
      <alignment horizontal="left" vertical="center"/>
    </xf>
    <xf numFmtId="0" fontId="0" fillId="7" borderId="4" xfId="0" applyFill="1" applyBorder="1" applyAlignment="1">
      <alignment horizontal="left" vertical="center"/>
    </xf>
    <xf numFmtId="0" fontId="0" fillId="2" borderId="46" xfId="0" applyFill="1" applyBorder="1" applyAlignment="1">
      <alignment vertical="center"/>
    </xf>
    <xf numFmtId="0" fontId="0" fillId="7" borderId="184" xfId="0" applyFill="1" applyBorder="1" applyAlignment="1">
      <alignment horizontal="left" vertical="center"/>
    </xf>
    <xf numFmtId="0" fontId="0" fillId="7" borderId="185" xfId="0" applyFill="1" applyBorder="1" applyAlignment="1">
      <alignment horizontal="left" vertical="center"/>
    </xf>
    <xf numFmtId="0" fontId="25" fillId="7" borderId="27" xfId="0" applyFont="1" applyFill="1" applyBorder="1"/>
    <xf numFmtId="0" fontId="0" fillId="0" borderId="102" xfId="0" applyBorder="1"/>
    <xf numFmtId="1" fontId="4" fillId="2" borderId="27" xfId="0" applyNumberFormat="1" applyFont="1" applyFill="1" applyBorder="1"/>
    <xf numFmtId="0" fontId="4" fillId="2" borderId="27" xfId="0" applyFont="1" applyFill="1" applyBorder="1"/>
    <xf numFmtId="0" fontId="0" fillId="2" borderId="77" xfId="0" applyFill="1" applyBorder="1" applyAlignment="1">
      <alignment horizontal="left" vertical="center"/>
    </xf>
    <xf numFmtId="0" fontId="0" fillId="7" borderId="4" xfId="0" applyFill="1" applyBorder="1"/>
    <xf numFmtId="0" fontId="25" fillId="5" borderId="27" xfId="0" applyFont="1" applyFill="1" applyBorder="1"/>
    <xf numFmtId="0" fontId="0" fillId="2" borderId="84" xfId="0" applyFill="1" applyBorder="1" applyAlignment="1">
      <alignment vertical="center"/>
    </xf>
    <xf numFmtId="0" fontId="3" fillId="27" borderId="29" xfId="0" applyFont="1" applyFill="1" applyBorder="1" applyAlignment="1">
      <alignment horizontal="left"/>
    </xf>
    <xf numFmtId="0" fontId="0" fillId="0" borderId="42" xfId="0" applyBorder="1" applyAlignment="1">
      <alignment horizontal="left" vertical="center"/>
    </xf>
    <xf numFmtId="0" fontId="0" fillId="0" borderId="183" xfId="0" applyBorder="1"/>
    <xf numFmtId="0" fontId="0" fillId="7" borderId="185" xfId="0" applyFill="1" applyBorder="1"/>
    <xf numFmtId="0" fontId="0" fillId="18" borderId="26" xfId="0" applyFill="1" applyBorder="1" applyAlignment="1">
      <alignment vertical="center"/>
    </xf>
    <xf numFmtId="0" fontId="0" fillId="0" borderId="79" xfId="0" applyBorder="1" applyAlignment="1">
      <alignment horizontal="left" vertical="center"/>
    </xf>
    <xf numFmtId="0" fontId="0" fillId="0" borderId="186" xfId="0" applyBorder="1"/>
    <xf numFmtId="0" fontId="0" fillId="7" borderId="52" xfId="0" applyFill="1" applyBorder="1"/>
    <xf numFmtId="0" fontId="0" fillId="7" borderId="187" xfId="0" applyFill="1" applyBorder="1"/>
    <xf numFmtId="0" fontId="0" fillId="18" borderId="26" xfId="0" applyFill="1" applyBorder="1"/>
    <xf numFmtId="0" fontId="25" fillId="5" borderId="14" xfId="0" applyFont="1" applyFill="1" applyBorder="1"/>
    <xf numFmtId="0" fontId="0" fillId="0" borderId="77" xfId="0" applyBorder="1" applyAlignment="1">
      <alignment horizontal="left" vertical="center"/>
    </xf>
    <xf numFmtId="0" fontId="0" fillId="7" borderId="13" xfId="0" applyFill="1" applyBorder="1" applyAlignment="1">
      <alignment horizontal="left" vertical="center"/>
    </xf>
    <xf numFmtId="0" fontId="25" fillId="7" borderId="14" xfId="0" applyFont="1" applyFill="1" applyBorder="1"/>
    <xf numFmtId="0" fontId="3" fillId="27" borderId="15" xfId="0" applyFont="1" applyFill="1" applyBorder="1" applyAlignment="1">
      <alignment horizontal="left"/>
    </xf>
    <xf numFmtId="49" fontId="0" fillId="18" borderId="94" xfId="0" applyNumberFormat="1" applyFill="1" applyBorder="1"/>
    <xf numFmtId="0" fontId="8" fillId="7" borderId="45" xfId="0" applyFont="1" applyFill="1" applyBorder="1" applyAlignment="1">
      <alignment horizontal="center" vertical="center" wrapText="1"/>
    </xf>
    <xf numFmtId="0" fontId="7" fillId="3" borderId="22" xfId="0" applyFont="1" applyFill="1" applyBorder="1" applyAlignment="1">
      <alignment horizontal="centerContinuous" vertical="center" wrapText="1"/>
    </xf>
    <xf numFmtId="0" fontId="7" fillId="3" borderId="34" xfId="0" applyFont="1" applyFill="1" applyBorder="1" applyAlignment="1">
      <alignment horizontal="centerContinuous" vertical="center" wrapText="1"/>
    </xf>
    <xf numFmtId="0" fontId="7" fillId="7" borderId="45" xfId="0" applyFont="1" applyFill="1" applyBorder="1" applyAlignment="1">
      <alignment horizontal="center" vertical="center" wrapText="1"/>
    </xf>
    <xf numFmtId="0" fontId="8" fillId="7" borderId="45" xfId="0" applyFont="1" applyFill="1" applyBorder="1" applyAlignment="1">
      <alignment horizontal="left" vertical="center" wrapText="1"/>
    </xf>
    <xf numFmtId="1" fontId="6" fillId="2" borderId="0" xfId="0" applyNumberFormat="1" applyFont="1" applyFill="1"/>
    <xf numFmtId="0" fontId="4" fillId="5" borderId="66" xfId="0" applyFont="1" applyFill="1" applyBorder="1"/>
    <xf numFmtId="0" fontId="4" fillId="5" borderId="61" xfId="0" applyFont="1" applyFill="1" applyBorder="1"/>
    <xf numFmtId="0" fontId="4" fillId="5" borderId="76" xfId="0" applyFont="1" applyFill="1" applyBorder="1"/>
    <xf numFmtId="0" fontId="4" fillId="5" borderId="75" xfId="0" applyFont="1" applyFill="1" applyBorder="1"/>
    <xf numFmtId="0" fontId="4" fillId="5" borderId="74" xfId="0" applyFont="1" applyFill="1" applyBorder="1"/>
    <xf numFmtId="0" fontId="4" fillId="5" borderId="56" xfId="0" applyFont="1" applyFill="1" applyBorder="1"/>
    <xf numFmtId="0" fontId="82" fillId="63" borderId="45" xfId="0" applyFont="1" applyFill="1" applyBorder="1" applyAlignment="1">
      <alignment horizontal="center" vertical="center" wrapText="1"/>
    </xf>
    <xf numFmtId="0" fontId="4" fillId="3" borderId="53" xfId="0" applyFont="1" applyFill="1" applyBorder="1" applyAlignment="1">
      <alignment horizontal="left" vertical="top" wrapText="1"/>
    </xf>
    <xf numFmtId="49" fontId="4" fillId="2" borderId="0" xfId="0" applyNumberFormat="1" applyFont="1" applyFill="1"/>
    <xf numFmtId="0" fontId="4" fillId="0" borderId="66" xfId="0" applyFont="1" applyBorder="1"/>
    <xf numFmtId="0" fontId="4" fillId="0" borderId="71" xfId="0" applyFont="1" applyBorder="1"/>
    <xf numFmtId="0" fontId="4" fillId="0" borderId="61" xfId="0" applyFont="1" applyBorder="1"/>
    <xf numFmtId="0" fontId="4" fillId="5" borderId="68" xfId="0" applyFont="1" applyFill="1" applyBorder="1"/>
    <xf numFmtId="0" fontId="4" fillId="5" borderId="182" xfId="0" applyFont="1" applyFill="1" applyBorder="1"/>
    <xf numFmtId="0" fontId="4" fillId="5" borderId="67" xfId="0" applyFont="1" applyFill="1" applyBorder="1"/>
    <xf numFmtId="0" fontId="4" fillId="5" borderId="67" xfId="0" quotePrefix="1" applyFont="1" applyFill="1" applyBorder="1"/>
    <xf numFmtId="0" fontId="83" fillId="65" borderId="0" xfId="0" applyFont="1" applyFill="1" applyAlignment="1">
      <alignment horizontal="left"/>
    </xf>
    <xf numFmtId="0" fontId="0" fillId="0" borderId="0" xfId="0" quotePrefix="1" applyAlignment="1">
      <alignment horizontal="left"/>
    </xf>
    <xf numFmtId="49" fontId="0" fillId="7" borderId="1" xfId="0" applyNumberFormat="1" applyFill="1" applyBorder="1" applyAlignment="1">
      <alignment horizontal="center"/>
    </xf>
    <xf numFmtId="49" fontId="3" fillId="27" borderId="3" xfId="0" applyNumberFormat="1" applyFont="1" applyFill="1" applyBorder="1" applyAlignment="1">
      <alignment horizontal="center"/>
    </xf>
    <xf numFmtId="49" fontId="0" fillId="7" borderId="52" xfId="0" applyNumberFormat="1" applyFill="1" applyBorder="1" applyAlignment="1">
      <alignment horizontal="center"/>
    </xf>
    <xf numFmtId="49" fontId="3" fillId="27" borderId="29" xfId="0" applyNumberFormat="1" applyFont="1" applyFill="1" applyBorder="1" applyAlignment="1">
      <alignment horizontal="center"/>
    </xf>
    <xf numFmtId="0" fontId="0" fillId="18" borderId="1" xfId="0" quotePrefix="1" applyFill="1" applyBorder="1" applyAlignment="1">
      <alignment horizontal="left"/>
    </xf>
    <xf numFmtId="0" fontId="0" fillId="0" borderId="3" xfId="0" applyBorder="1" applyAlignment="1">
      <alignment horizontal="right"/>
    </xf>
    <xf numFmtId="0" fontId="0" fillId="18" borderId="52" xfId="0" quotePrefix="1" applyFill="1" applyBorder="1" applyAlignment="1">
      <alignment horizontal="left"/>
    </xf>
    <xf numFmtId="0" fontId="0" fillId="0" borderId="29" xfId="0" applyBorder="1" applyAlignment="1">
      <alignment horizontal="right"/>
    </xf>
    <xf numFmtId="0" fontId="4" fillId="2" borderId="0" xfId="0" quotePrefix="1" applyFont="1" applyFill="1" applyAlignment="1">
      <alignment horizontal="left"/>
    </xf>
    <xf numFmtId="0" fontId="2" fillId="0" borderId="13" xfId="0" applyFont="1" applyBorder="1"/>
    <xf numFmtId="0" fontId="0" fillId="0" borderId="15" xfId="0" applyBorder="1"/>
    <xf numFmtId="0" fontId="0" fillId="6" borderId="66" xfId="0" quotePrefix="1" applyFill="1" applyBorder="1" applyAlignment="1">
      <alignment horizontal="left"/>
    </xf>
    <xf numFmtId="0" fontId="0" fillId="0" borderId="96" xfId="0" applyBorder="1" applyAlignment="1">
      <alignment horizontal="right"/>
    </xf>
    <xf numFmtId="0" fontId="0" fillId="6" borderId="61" xfId="0" quotePrefix="1" applyFill="1" applyBorder="1" applyAlignment="1">
      <alignment horizontal="left"/>
    </xf>
    <xf numFmtId="0" fontId="0" fillId="0" borderId="92" xfId="0" applyBorder="1" applyAlignment="1">
      <alignment horizontal="right"/>
    </xf>
    <xf numFmtId="0" fontId="0" fillId="0" borderId="101" xfId="0" applyBorder="1" applyAlignment="1">
      <alignment horizontal="right"/>
    </xf>
    <xf numFmtId="0" fontId="0" fillId="6" borderId="61" xfId="0" applyFill="1" applyBorder="1" applyAlignment="1">
      <alignment horizontal="left"/>
    </xf>
    <xf numFmtId="0" fontId="0" fillId="6" borderId="56" xfId="0" applyFill="1" applyBorder="1" applyAlignment="1">
      <alignment horizontal="left"/>
    </xf>
    <xf numFmtId="0" fontId="21" fillId="26" borderId="23" xfId="0" applyFont="1" applyFill="1" applyBorder="1" applyAlignment="1">
      <alignment horizontal="center"/>
    </xf>
    <xf numFmtId="0" fontId="0" fillId="0" borderId="95" xfId="0" applyBorder="1" applyAlignment="1">
      <alignment horizontal="right"/>
    </xf>
    <xf numFmtId="49" fontId="0" fillId="7" borderId="13" xfId="0" applyNumberFormat="1" applyFill="1" applyBorder="1" applyAlignment="1">
      <alignment horizontal="center"/>
    </xf>
    <xf numFmtId="49" fontId="3" fillId="27" borderId="15" xfId="0" applyNumberFormat="1" applyFont="1" applyFill="1" applyBorder="1" applyAlignment="1">
      <alignment horizontal="center"/>
    </xf>
    <xf numFmtId="0" fontId="2" fillId="0" borderId="0" xfId="0" quotePrefix="1" applyFont="1"/>
    <xf numFmtId="0" fontId="2" fillId="0" borderId="0" xfId="0" quotePrefix="1" applyFont="1" applyAlignment="1">
      <alignment horizontal="left"/>
    </xf>
    <xf numFmtId="0" fontId="7" fillId="0" borderId="0" xfId="0" applyFont="1" applyAlignment="1">
      <alignment horizontal="center"/>
    </xf>
    <xf numFmtId="1" fontId="8" fillId="2" borderId="0" xfId="0" applyNumberFormat="1" applyFont="1" applyFill="1" applyAlignment="1">
      <alignment horizontal="center"/>
    </xf>
    <xf numFmtId="0" fontId="4" fillId="21" borderId="66" xfId="0" applyFont="1" applyFill="1" applyBorder="1" applyAlignment="1">
      <alignment vertical="center"/>
    </xf>
    <xf numFmtId="49" fontId="5" fillId="21" borderId="188" xfId="0" applyNumberFormat="1" applyFont="1" applyFill="1" applyBorder="1"/>
    <xf numFmtId="49" fontId="4" fillId="21" borderId="188" xfId="0" applyNumberFormat="1" applyFont="1" applyFill="1" applyBorder="1"/>
    <xf numFmtId="0" fontId="4" fillId="21" borderId="80" xfId="0" applyFont="1" applyFill="1" applyBorder="1" applyAlignment="1">
      <alignment vertical="center"/>
    </xf>
    <xf numFmtId="49" fontId="5" fillId="21" borderId="189" xfId="0" applyNumberFormat="1" applyFont="1" applyFill="1" applyBorder="1"/>
    <xf numFmtId="49" fontId="4" fillId="21" borderId="189" xfId="0" applyNumberFormat="1" applyFont="1" applyFill="1" applyBorder="1"/>
    <xf numFmtId="0" fontId="0" fillId="21" borderId="80" xfId="0" applyFill="1" applyBorder="1"/>
    <xf numFmtId="0" fontId="4" fillId="21" borderId="45" xfId="0" applyFont="1" applyFill="1" applyBorder="1" applyAlignment="1">
      <alignment vertical="center"/>
    </xf>
    <xf numFmtId="49" fontId="5" fillId="21" borderId="24" xfId="0" applyNumberFormat="1" applyFont="1" applyFill="1" applyBorder="1"/>
    <xf numFmtId="49" fontId="4" fillId="21" borderId="24" xfId="0" applyNumberFormat="1" applyFont="1" applyFill="1" applyBorder="1"/>
    <xf numFmtId="1" fontId="4" fillId="2" borderId="0" xfId="0" applyNumberFormat="1" applyFont="1" applyFill="1" applyAlignment="1">
      <alignment vertical="center"/>
    </xf>
    <xf numFmtId="0" fontId="4" fillId="2" borderId="0" xfId="0" applyFont="1" applyFill="1" applyAlignment="1">
      <alignment vertical="center"/>
    </xf>
    <xf numFmtId="49" fontId="15" fillId="21" borderId="190" xfId="0" applyNumberFormat="1" applyFont="1" applyFill="1" applyBorder="1" applyAlignment="1">
      <alignment vertical="center" wrapText="1"/>
    </xf>
    <xf numFmtId="49" fontId="15" fillId="21" borderId="16" xfId="0" applyNumberFormat="1" applyFont="1" applyFill="1" applyBorder="1" applyAlignment="1">
      <alignment vertical="center" wrapText="1"/>
    </xf>
    <xf numFmtId="0" fontId="15" fillId="21" borderId="191" xfId="0" applyFont="1" applyFill="1" applyBorder="1" applyAlignment="1">
      <alignment vertical="center" wrapText="1"/>
    </xf>
    <xf numFmtId="0" fontId="15" fillId="21" borderId="189" xfId="0" applyFont="1" applyFill="1" applyBorder="1" applyAlignment="1">
      <alignment vertical="center" wrapText="1"/>
    </xf>
    <xf numFmtId="0" fontId="3" fillId="0" borderId="105" xfId="0" applyFont="1" applyBorder="1" applyAlignment="1">
      <alignment horizontal="center"/>
    </xf>
    <xf numFmtId="0" fontId="18" fillId="0" borderId="192" xfId="0" applyFont="1" applyBorder="1"/>
    <xf numFmtId="0" fontId="3" fillId="0" borderId="51" xfId="0" applyFont="1" applyBorder="1"/>
    <xf numFmtId="0" fontId="18" fillId="0" borderId="51" xfId="0" applyFont="1" applyBorder="1"/>
    <xf numFmtId="0" fontId="18" fillId="0" borderId="50" xfId="0" applyFont="1" applyBorder="1"/>
    <xf numFmtId="173" fontId="3" fillId="0" borderId="51" xfId="0" applyNumberFormat="1" applyFont="1" applyBorder="1" applyAlignment="1">
      <alignment horizontal="center" vertical="center"/>
    </xf>
    <xf numFmtId="0" fontId="3" fillId="0" borderId="51"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top"/>
    </xf>
    <xf numFmtId="0" fontId="3" fillId="0" borderId="105" xfId="0" applyFont="1" applyBorder="1" applyAlignment="1">
      <alignment horizontal="center" vertical="top"/>
    </xf>
    <xf numFmtId="0" fontId="3" fillId="0" borderId="50" xfId="0" applyFont="1" applyBorder="1" applyAlignment="1">
      <alignment horizontal="center" vertical="top"/>
    </xf>
    <xf numFmtId="0" fontId="5" fillId="0" borderId="51" xfId="0" applyFont="1" applyBorder="1" applyAlignment="1">
      <alignment vertical="top"/>
    </xf>
    <xf numFmtId="0" fontId="5" fillId="0" borderId="51" xfId="0" applyFont="1" applyBorder="1" applyAlignment="1">
      <alignment horizontal="center" vertical="top"/>
    </xf>
    <xf numFmtId="0" fontId="3" fillId="0" borderId="50" xfId="0" applyFont="1" applyBorder="1" applyAlignment="1">
      <alignment horizontal="left" vertical="top"/>
    </xf>
    <xf numFmtId="166" fontId="3" fillId="0" borderId="49" xfId="0" applyNumberFormat="1" applyFont="1" applyBorder="1" applyAlignment="1">
      <alignment horizontal="right" vertical="top" indent="1"/>
    </xf>
    <xf numFmtId="0" fontId="4" fillId="0" borderId="48" xfId="0" applyFont="1" applyBorder="1" applyAlignment="1">
      <alignment vertical="top"/>
    </xf>
    <xf numFmtId="1" fontId="4" fillId="0" borderId="105" xfId="0" applyNumberFormat="1" applyFont="1" applyBorder="1" applyAlignment="1">
      <alignment horizontal="center" vertical="top"/>
    </xf>
    <xf numFmtId="1" fontId="4" fillId="0" borderId="51" xfId="0" applyNumberFormat="1" applyFont="1" applyBorder="1" applyAlignment="1">
      <alignment horizontal="center" vertical="top"/>
    </xf>
    <xf numFmtId="0" fontId="17" fillId="0" borderId="51" xfId="0" applyFont="1" applyBorder="1" applyAlignment="1">
      <alignment vertical="top"/>
    </xf>
    <xf numFmtId="174" fontId="3" fillId="0" borderId="49" xfId="0" applyNumberFormat="1" applyFont="1" applyBorder="1" applyAlignment="1">
      <alignment horizontal="right" vertical="top" indent="1"/>
    </xf>
    <xf numFmtId="173" fontId="3" fillId="0" borderId="51" xfId="0" applyNumberFormat="1" applyFont="1" applyBorder="1" applyAlignment="1">
      <alignment horizontal="center"/>
    </xf>
    <xf numFmtId="0" fontId="18" fillId="0" borderId="51" xfId="0" applyFont="1" applyBorder="1" applyAlignment="1">
      <alignment horizontal="left" vertical="center"/>
    </xf>
    <xf numFmtId="0" fontId="18" fillId="0" borderId="51" xfId="0" applyFont="1" applyBorder="1" applyAlignment="1">
      <alignment vertical="center"/>
    </xf>
    <xf numFmtId="0" fontId="18" fillId="0" borderId="50" xfId="0" applyFont="1" applyBorder="1" applyAlignment="1">
      <alignment horizontal="left" vertical="center"/>
    </xf>
    <xf numFmtId="0" fontId="3" fillId="0" borderId="51" xfId="0" applyFont="1" applyBorder="1" applyAlignment="1">
      <alignment horizontal="center" vertical="top"/>
    </xf>
    <xf numFmtId="0" fontId="3" fillId="0" borderId="50" xfId="0" applyFont="1" applyBorder="1"/>
    <xf numFmtId="0" fontId="0" fillId="0" borderId="50" xfId="0" applyBorder="1" applyAlignment="1">
      <alignment horizontal="left" vertical="top"/>
    </xf>
    <xf numFmtId="166" fontId="3" fillId="7" borderId="49" xfId="0" applyNumberFormat="1" applyFont="1" applyFill="1" applyBorder="1" applyAlignment="1">
      <alignment horizontal="right" vertical="top" indent="1"/>
    </xf>
    <xf numFmtId="0" fontId="4" fillId="7" borderId="48" xfId="0" applyFont="1" applyFill="1" applyBorder="1" applyAlignment="1">
      <alignment vertical="top"/>
    </xf>
    <xf numFmtId="0" fontId="20" fillId="0" borderId="50" xfId="0" applyFont="1" applyBorder="1" applyAlignment="1">
      <alignment horizontal="center" vertical="top"/>
    </xf>
    <xf numFmtId="14" fontId="0" fillId="0" borderId="0" xfId="0" applyNumberFormat="1" applyAlignment="1">
      <alignment vertical="center" wrapText="1"/>
    </xf>
    <xf numFmtId="0" fontId="0" fillId="0" borderId="35" xfId="0" applyBorder="1"/>
    <xf numFmtId="0" fontId="0" fillId="13" borderId="35" xfId="0" applyFill="1" applyBorder="1"/>
    <xf numFmtId="0" fontId="0" fillId="13" borderId="47" xfId="0" applyFill="1" applyBorder="1"/>
    <xf numFmtId="0" fontId="0" fillId="13" borderId="36" xfId="0" applyFill="1" applyBorder="1"/>
    <xf numFmtId="0" fontId="2" fillId="5" borderId="35" xfId="0" applyFont="1" applyFill="1" applyBorder="1" applyAlignment="1">
      <alignment horizontal="center"/>
    </xf>
    <xf numFmtId="0" fontId="2" fillId="5" borderId="47" xfId="0" applyFont="1" applyFill="1" applyBorder="1"/>
    <xf numFmtId="0" fontId="2" fillId="5" borderId="36" xfId="0" applyFont="1" applyFill="1" applyBorder="1"/>
    <xf numFmtId="0" fontId="0" fillId="7" borderId="47" xfId="0" applyFill="1" applyBorder="1"/>
    <xf numFmtId="0" fontId="0" fillId="7" borderId="47" xfId="0" applyFill="1" applyBorder="1" applyAlignment="1">
      <alignment vertical="center"/>
    </xf>
    <xf numFmtId="1" fontId="4" fillId="7" borderId="47" xfId="0" applyNumberFormat="1" applyFont="1" applyFill="1" applyBorder="1"/>
    <xf numFmtId="0" fontId="4" fillId="7" borderId="47" xfId="0" applyFont="1" applyFill="1" applyBorder="1"/>
    <xf numFmtId="0" fontId="4" fillId="7" borderId="47" xfId="0" applyFont="1" applyFill="1" applyBorder="1" applyAlignment="1">
      <alignment horizontal="center"/>
    </xf>
    <xf numFmtId="0" fontId="0" fillId="7" borderId="47" xfId="0" applyFill="1" applyBorder="1" applyAlignment="1">
      <alignment horizontal="left"/>
    </xf>
    <xf numFmtId="49" fontId="4" fillId="7" borderId="47" xfId="0" applyNumberFormat="1" applyFont="1" applyFill="1" applyBorder="1"/>
    <xf numFmtId="0" fontId="4" fillId="7" borderId="36" xfId="0" applyFont="1" applyFill="1" applyBorder="1"/>
    <xf numFmtId="0" fontId="2" fillId="13" borderId="37" xfId="0" applyFont="1" applyFill="1" applyBorder="1" applyAlignment="1">
      <alignment horizontal="center"/>
    </xf>
    <xf numFmtId="0" fontId="2" fillId="13" borderId="0" xfId="0" applyFont="1" applyFill="1" applyAlignment="1">
      <alignment horizontal="center"/>
    </xf>
    <xf numFmtId="0" fontId="2" fillId="13" borderId="40" xfId="0" applyFont="1" applyFill="1" applyBorder="1" applyAlignment="1">
      <alignment horizontal="center"/>
    </xf>
    <xf numFmtId="0" fontId="2" fillId="5" borderId="37" xfId="0" applyFont="1" applyFill="1" applyBorder="1" applyAlignment="1">
      <alignment horizontal="center"/>
    </xf>
    <xf numFmtId="0" fontId="7" fillId="5" borderId="0" xfId="0" applyFont="1" applyFill="1" applyAlignment="1">
      <alignment horizontal="center"/>
    </xf>
    <xf numFmtId="0" fontId="7" fillId="5" borderId="40" xfId="0" applyFont="1" applyFill="1" applyBorder="1" applyAlignment="1">
      <alignment horizontal="center"/>
    </xf>
    <xf numFmtId="0" fontId="0" fillId="7" borderId="0" xfId="0" applyFill="1"/>
    <xf numFmtId="0" fontId="0" fillId="7" borderId="0" xfId="0" applyFill="1" applyAlignment="1">
      <alignment vertical="center"/>
    </xf>
    <xf numFmtId="0" fontId="0" fillId="7" borderId="40" xfId="0" applyFill="1" applyBorder="1"/>
    <xf numFmtId="0" fontId="2" fillId="5" borderId="17" xfId="0" applyFont="1" applyFill="1" applyBorder="1" applyAlignment="1">
      <alignment horizontal="center"/>
    </xf>
    <xf numFmtId="0" fontId="0" fillId="0" borderId="17" xfId="0" applyBorder="1"/>
    <xf numFmtId="0" fontId="0" fillId="7" borderId="16" xfId="0" applyFill="1" applyBorder="1"/>
    <xf numFmtId="0" fontId="0" fillId="7" borderId="16" xfId="0" applyFill="1" applyBorder="1" applyAlignment="1">
      <alignment vertical="center"/>
    </xf>
    <xf numFmtId="0" fontId="0" fillId="7" borderId="24" xfId="0" applyFill="1" applyBorder="1"/>
    <xf numFmtId="0" fontId="16" fillId="12" borderId="35" xfId="0" applyFont="1" applyFill="1" applyBorder="1" applyAlignment="1">
      <alignment vertical="top"/>
    </xf>
    <xf numFmtId="0" fontId="16" fillId="12" borderId="47" xfId="0" applyFont="1" applyFill="1" applyBorder="1" applyAlignment="1">
      <alignment vertical="top"/>
    </xf>
    <xf numFmtId="0" fontId="16" fillId="12" borderId="47" xfId="0" applyFont="1" applyFill="1" applyBorder="1" applyAlignment="1">
      <alignment horizontal="left" vertical="top"/>
    </xf>
    <xf numFmtId="0" fontId="16" fillId="12" borderId="36" xfId="0" applyFont="1" applyFill="1" applyBorder="1" applyAlignment="1">
      <alignment vertical="top"/>
    </xf>
    <xf numFmtId="0" fontId="16" fillId="12" borderId="37" xfId="0" applyFont="1" applyFill="1" applyBorder="1" applyAlignment="1">
      <alignment vertical="top"/>
    </xf>
    <xf numFmtId="0" fontId="16" fillId="12" borderId="0" xfId="0" applyFont="1" applyFill="1" applyAlignment="1">
      <alignment vertical="top"/>
    </xf>
    <xf numFmtId="0" fontId="16" fillId="12" borderId="0" xfId="0" applyFont="1" applyFill="1" applyAlignment="1">
      <alignment horizontal="left" vertical="top"/>
    </xf>
    <xf numFmtId="14" fontId="16" fillId="12" borderId="0" xfId="0" applyNumberFormat="1" applyFont="1" applyFill="1" applyAlignment="1">
      <alignment horizontal="left" vertical="top"/>
    </xf>
    <xf numFmtId="0" fontId="16" fillId="12" borderId="40" xfId="0" applyFont="1" applyFill="1" applyBorder="1" applyAlignment="1">
      <alignment vertical="top"/>
    </xf>
    <xf numFmtId="49" fontId="15" fillId="12" borderId="40" xfId="0" applyNumberFormat="1" applyFont="1" applyFill="1" applyBorder="1" applyAlignment="1">
      <alignment horizontal="right" vertical="top"/>
    </xf>
    <xf numFmtId="0" fontId="15" fillId="12" borderId="17" xfId="0" applyFont="1" applyFill="1" applyBorder="1" applyAlignment="1">
      <alignment horizontal="center" vertical="top"/>
    </xf>
    <xf numFmtId="0" fontId="15" fillId="12" borderId="16" xfId="0" applyFont="1" applyFill="1" applyBorder="1" applyAlignment="1">
      <alignment horizontal="center" vertical="top"/>
    </xf>
    <xf numFmtId="0" fontId="15" fillId="12" borderId="24" xfId="0" applyFont="1" applyFill="1" applyBorder="1" applyAlignment="1">
      <alignment horizontal="left" vertical="top"/>
    </xf>
    <xf numFmtId="0" fontId="29" fillId="24" borderId="140" xfId="0" applyFont="1" applyFill="1" applyBorder="1" applyAlignment="1">
      <alignment vertical="top"/>
    </xf>
    <xf numFmtId="0" fontId="29" fillId="24" borderId="70" xfId="0" applyFont="1" applyFill="1" applyBorder="1" applyAlignment="1">
      <alignment vertical="top"/>
    </xf>
    <xf numFmtId="0" fontId="29" fillId="24" borderId="70" xfId="0" quotePrefix="1" applyFont="1" applyFill="1" applyBorder="1" applyAlignment="1">
      <alignment vertical="top"/>
    </xf>
    <xf numFmtId="0" fontId="54" fillId="24" borderId="70" xfId="0" quotePrefix="1" applyFont="1" applyFill="1" applyBorder="1" applyAlignment="1">
      <alignment vertical="top"/>
    </xf>
    <xf numFmtId="0" fontId="3" fillId="24" borderId="70" xfId="0" applyFont="1" applyFill="1" applyBorder="1" applyAlignment="1">
      <alignment horizontal="center" vertical="top"/>
    </xf>
    <xf numFmtId="0" fontId="3" fillId="24" borderId="69" xfId="0" applyFont="1" applyFill="1" applyBorder="1" applyAlignment="1">
      <alignment horizontal="left" vertical="top" indent="2"/>
    </xf>
    <xf numFmtId="0" fontId="29" fillId="24" borderId="139" xfId="0" applyFont="1" applyFill="1" applyBorder="1" applyAlignment="1">
      <alignment vertical="top"/>
    </xf>
    <xf numFmtId="0" fontId="29" fillId="24" borderId="138" xfId="0" applyFont="1" applyFill="1" applyBorder="1" applyAlignment="1">
      <alignment vertical="top"/>
    </xf>
    <xf numFmtId="0" fontId="29" fillId="24" borderId="138" xfId="0" quotePrefix="1" applyFont="1" applyFill="1" applyBorder="1" applyAlignment="1">
      <alignment vertical="top"/>
    </xf>
    <xf numFmtId="0" fontId="54" fillId="24" borderId="138" xfId="0" quotePrefix="1" applyFont="1" applyFill="1" applyBorder="1" applyAlignment="1">
      <alignment vertical="top"/>
    </xf>
    <xf numFmtId="0" fontId="3" fillId="24" borderId="138" xfId="0" applyFont="1" applyFill="1" applyBorder="1" applyAlignment="1">
      <alignment horizontal="center" vertical="top"/>
    </xf>
    <xf numFmtId="0" fontId="3" fillId="24" borderId="137" xfId="0" applyFont="1" applyFill="1" applyBorder="1" applyAlignment="1">
      <alignment horizontal="left" vertical="top" indent="2"/>
    </xf>
    <xf numFmtId="0" fontId="29" fillId="24" borderId="136" xfId="0" applyFont="1" applyFill="1" applyBorder="1" applyAlignment="1">
      <alignment vertical="top"/>
    </xf>
    <xf numFmtId="0" fontId="29" fillId="24" borderId="63" xfId="0" applyFont="1" applyFill="1" applyBorder="1" applyAlignment="1">
      <alignment vertical="top"/>
    </xf>
    <xf numFmtId="0" fontId="29" fillId="24" borderId="63" xfId="0" quotePrefix="1" applyFont="1" applyFill="1" applyBorder="1" applyAlignment="1">
      <alignment vertical="top"/>
    </xf>
    <xf numFmtId="0" fontId="54" fillId="24" borderId="63" xfId="0" quotePrefix="1" applyFont="1" applyFill="1" applyBorder="1" applyAlignment="1">
      <alignment vertical="top"/>
    </xf>
    <xf numFmtId="0" fontId="3" fillId="24" borderId="63" xfId="0" applyFont="1" applyFill="1" applyBorder="1" applyAlignment="1">
      <alignment horizontal="center" vertical="top"/>
    </xf>
    <xf numFmtId="0" fontId="3" fillId="24" borderId="62" xfId="0" applyFont="1" applyFill="1" applyBorder="1" applyAlignment="1">
      <alignment horizontal="left" vertical="top" indent="2"/>
    </xf>
    <xf numFmtId="0" fontId="3" fillId="24" borderId="136" xfId="0" applyFont="1" applyFill="1" applyBorder="1" applyAlignment="1">
      <alignment vertical="top"/>
    </xf>
    <xf numFmtId="0" fontId="3" fillId="24" borderId="63" xfId="0" applyFont="1" applyFill="1" applyBorder="1" applyAlignment="1">
      <alignment vertical="top"/>
    </xf>
    <xf numFmtId="0" fontId="3" fillId="24" borderId="63" xfId="0" quotePrefix="1" applyFont="1" applyFill="1" applyBorder="1" applyAlignment="1">
      <alignment vertical="top"/>
    </xf>
    <xf numFmtId="0" fontId="7" fillId="24" borderId="63" xfId="0" quotePrefix="1" applyFont="1" applyFill="1" applyBorder="1" applyAlignment="1">
      <alignment vertical="top"/>
    </xf>
    <xf numFmtId="0" fontId="7" fillId="24" borderId="63" xfId="0" applyFont="1" applyFill="1" applyBorder="1" applyAlignment="1">
      <alignment horizontal="center" vertical="top"/>
    </xf>
    <xf numFmtId="0" fontId="29" fillId="24" borderId="135" xfId="0" applyFont="1" applyFill="1" applyBorder="1" applyAlignment="1">
      <alignment vertical="top"/>
    </xf>
    <xf numFmtId="0" fontId="29" fillId="24" borderId="58" xfId="0" applyFont="1" applyFill="1" applyBorder="1" applyAlignment="1">
      <alignment vertical="top"/>
    </xf>
    <xf numFmtId="0" fontId="29" fillId="24" borderId="58" xfId="0" quotePrefix="1" applyFont="1" applyFill="1" applyBorder="1" applyAlignment="1">
      <alignment vertical="top"/>
    </xf>
    <xf numFmtId="0" fontId="54" fillId="24" borderId="58" xfId="0" quotePrefix="1" applyFont="1" applyFill="1" applyBorder="1" applyAlignment="1">
      <alignment vertical="top"/>
    </xf>
    <xf numFmtId="0" fontId="5" fillId="5" borderId="27" xfId="0" quotePrefix="1" applyFont="1" applyFill="1" applyBorder="1" applyAlignment="1">
      <alignment horizontal="center" vertical="center"/>
    </xf>
    <xf numFmtId="0" fontId="3" fillId="24" borderId="57" xfId="0" applyFont="1" applyFill="1" applyBorder="1" applyAlignment="1">
      <alignment vertical="top"/>
    </xf>
    <xf numFmtId="0" fontId="28" fillId="25" borderId="134" xfId="0" applyFont="1" applyFill="1" applyBorder="1"/>
    <xf numFmtId="0" fontId="22" fillId="25" borderId="55" xfId="0" applyFont="1" applyFill="1" applyBorder="1"/>
    <xf numFmtId="0" fontId="28" fillId="25" borderId="55" xfId="0" applyFont="1" applyFill="1" applyBorder="1"/>
    <xf numFmtId="0" fontId="27" fillId="25" borderId="54" xfId="0" applyFont="1" applyFill="1" applyBorder="1"/>
    <xf numFmtId="0" fontId="4" fillId="10" borderId="37" xfId="0" applyFont="1" applyFill="1" applyBorder="1" applyAlignment="1">
      <alignment vertical="top"/>
    </xf>
    <xf numFmtId="0" fontId="4" fillId="10" borderId="0" xfId="0" applyFont="1" applyFill="1" applyAlignment="1">
      <alignment vertical="top"/>
    </xf>
    <xf numFmtId="0" fontId="50" fillId="10" borderId="0" xfId="0" quotePrefix="1" applyFont="1" applyFill="1" applyAlignment="1">
      <alignment vertical="top"/>
    </xf>
    <xf numFmtId="0" fontId="32" fillId="10" borderId="0" xfId="0" quotePrefix="1" applyFont="1" applyFill="1" applyAlignment="1">
      <alignment vertical="top"/>
    </xf>
    <xf numFmtId="0" fontId="3" fillId="10" borderId="0" xfId="0" quotePrefix="1" applyFont="1" applyFill="1" applyAlignment="1">
      <alignment horizontal="center" vertical="top"/>
    </xf>
    <xf numFmtId="0" fontId="46" fillId="10" borderId="40" xfId="0" applyFont="1" applyFill="1" applyBorder="1" applyAlignment="1">
      <alignment horizontal="left" vertical="top" indent="2"/>
    </xf>
    <xf numFmtId="0" fontId="42" fillId="5" borderId="79" xfId="0" applyFont="1" applyFill="1" applyBorder="1" applyAlignment="1">
      <alignment vertical="top"/>
    </xf>
    <xf numFmtId="0" fontId="42" fillId="5" borderId="92" xfId="0" applyFont="1" applyFill="1" applyBorder="1" applyAlignment="1">
      <alignment vertical="top"/>
    </xf>
    <xf numFmtId="0" fontId="42" fillId="5" borderId="26" xfId="0" quotePrefix="1" applyFont="1" applyFill="1" applyBorder="1" applyAlignment="1">
      <alignment vertical="top"/>
    </xf>
    <xf numFmtId="0" fontId="32" fillId="5" borderId="27" xfId="0" quotePrefix="1" applyFont="1" applyFill="1" applyBorder="1" applyAlignment="1">
      <alignment vertical="top"/>
    </xf>
    <xf numFmtId="0" fontId="3" fillId="5" borderId="29" xfId="0" applyFont="1" applyFill="1" applyBorder="1" applyAlignment="1">
      <alignment vertical="top"/>
    </xf>
    <xf numFmtId="0" fontId="22" fillId="25" borderId="99" xfId="0" applyFont="1" applyFill="1" applyBorder="1"/>
    <xf numFmtId="0" fontId="22" fillId="25" borderId="98" xfId="0" applyFont="1" applyFill="1" applyBorder="1"/>
    <xf numFmtId="0" fontId="28" fillId="25" borderId="98" xfId="0" applyFont="1" applyFill="1" applyBorder="1"/>
    <xf numFmtId="0" fontId="27" fillId="25" borderId="97" xfId="0" applyFont="1" applyFill="1" applyBorder="1"/>
    <xf numFmtId="0" fontId="42" fillId="5" borderId="22" xfId="0" applyFont="1" applyFill="1" applyBorder="1" applyAlignment="1">
      <alignment vertical="top"/>
    </xf>
    <xf numFmtId="0" fontId="42" fillId="5" borderId="23" xfId="0" applyFont="1" applyFill="1" applyBorder="1" applyAlignment="1">
      <alignment vertical="top"/>
    </xf>
    <xf numFmtId="0" fontId="41" fillId="5" borderId="18" xfId="0" quotePrefix="1" applyFont="1" applyFill="1" applyBorder="1" applyAlignment="1">
      <alignment vertical="top"/>
    </xf>
    <xf numFmtId="0" fontId="32" fillId="5" borderId="33" xfId="0" quotePrefix="1" applyFont="1" applyFill="1" applyBorder="1" applyAlignment="1">
      <alignment vertical="top"/>
    </xf>
    <xf numFmtId="0" fontId="5" fillId="5" borderId="33" xfId="0" quotePrefix="1" applyFont="1" applyFill="1" applyBorder="1" applyAlignment="1">
      <alignment horizontal="center" vertical="center"/>
    </xf>
    <xf numFmtId="0" fontId="3" fillId="5" borderId="19" xfId="0" applyFont="1" applyFill="1" applyBorder="1" applyAlignment="1">
      <alignment vertical="top"/>
    </xf>
    <xf numFmtId="0" fontId="32" fillId="5" borderId="133" xfId="0" applyFont="1" applyFill="1" applyBorder="1" applyAlignment="1">
      <alignment vertical="top"/>
    </xf>
    <xf numFmtId="0" fontId="32" fillId="5" borderId="118" xfId="0" applyFont="1" applyFill="1" applyBorder="1" applyAlignment="1">
      <alignment vertical="top"/>
    </xf>
    <xf numFmtId="0" fontId="32" fillId="5" borderId="122" xfId="0" quotePrefix="1" applyFont="1" applyFill="1" applyBorder="1" applyAlignment="1">
      <alignment horizontal="left" vertical="top"/>
    </xf>
    <xf numFmtId="0" fontId="32" fillId="5" borderId="118" xfId="0" quotePrefix="1" applyFont="1" applyFill="1" applyBorder="1" applyAlignment="1">
      <alignment vertical="top"/>
    </xf>
    <xf numFmtId="0" fontId="3" fillId="5" borderId="118" xfId="0" applyFont="1" applyFill="1" applyBorder="1" applyAlignment="1">
      <alignment horizontal="center" vertical="top"/>
    </xf>
    <xf numFmtId="0" fontId="3" fillId="5" borderId="117" xfId="0" applyFont="1" applyFill="1" applyBorder="1" applyAlignment="1">
      <alignment horizontal="left" vertical="top" indent="2"/>
    </xf>
    <xf numFmtId="0" fontId="32" fillId="5" borderId="132" xfId="0" applyFont="1" applyFill="1" applyBorder="1" applyAlignment="1">
      <alignment vertical="top"/>
    </xf>
    <xf numFmtId="0" fontId="32" fillId="5" borderId="131" xfId="0" applyFont="1" applyFill="1" applyBorder="1" applyAlignment="1">
      <alignment vertical="top"/>
    </xf>
    <xf numFmtId="0" fontId="32" fillId="5" borderId="131" xfId="0" quotePrefix="1" applyFont="1" applyFill="1" applyBorder="1" applyAlignment="1">
      <alignment vertical="top"/>
    </xf>
    <xf numFmtId="0" fontId="3" fillId="5" borderId="131" xfId="0" applyFont="1" applyFill="1" applyBorder="1" applyAlignment="1">
      <alignment horizontal="center" vertical="top"/>
    </xf>
    <xf numFmtId="0" fontId="3" fillId="5" borderId="130" xfId="0" applyFont="1" applyFill="1" applyBorder="1" applyAlignment="1">
      <alignment horizontal="left" vertical="top" indent="2"/>
    </xf>
    <xf numFmtId="0" fontId="32" fillId="5" borderId="52" xfId="0" applyFont="1" applyFill="1" applyBorder="1" applyAlignment="1">
      <alignment vertical="top"/>
    </xf>
    <xf numFmtId="0" fontId="32" fillId="5" borderId="27" xfId="0" applyFont="1" applyFill="1" applyBorder="1" applyAlignment="1">
      <alignment vertical="top"/>
    </xf>
    <xf numFmtId="0" fontId="3" fillId="5" borderId="27" xfId="0" applyFont="1" applyFill="1" applyBorder="1" applyAlignment="1">
      <alignment horizontal="center" vertical="top"/>
    </xf>
    <xf numFmtId="0" fontId="3" fillId="5" borderId="29" xfId="0" applyFont="1" applyFill="1" applyBorder="1" applyAlignment="1">
      <alignment horizontal="left" vertical="top" indent="2"/>
    </xf>
    <xf numFmtId="0" fontId="32" fillId="5" borderId="4" xfId="0" applyFont="1" applyFill="1" applyBorder="1" applyAlignment="1">
      <alignment vertical="top"/>
    </xf>
    <xf numFmtId="0" fontId="32" fillId="5" borderId="5" xfId="0" applyFont="1" applyFill="1" applyBorder="1" applyAlignment="1">
      <alignment vertical="top"/>
    </xf>
    <xf numFmtId="0" fontId="32" fillId="5" borderId="5" xfId="0" quotePrefix="1" applyFont="1" applyFill="1" applyBorder="1" applyAlignment="1">
      <alignment vertical="top"/>
    </xf>
    <xf numFmtId="0" fontId="3" fillId="5" borderId="5" xfId="0" applyFont="1" applyFill="1" applyBorder="1" applyAlignment="1">
      <alignment horizontal="center" vertical="top"/>
    </xf>
    <xf numFmtId="0" fontId="3" fillId="5" borderId="6" xfId="0" applyFont="1" applyFill="1" applyBorder="1" applyAlignment="1">
      <alignment horizontal="left" vertical="top" indent="2"/>
    </xf>
    <xf numFmtId="0" fontId="4" fillId="5" borderId="129" xfId="0" applyFont="1" applyFill="1" applyBorder="1" applyAlignment="1">
      <alignment vertical="top"/>
    </xf>
    <xf numFmtId="0" fontId="4" fillId="5" borderId="9" xfId="0" applyFont="1" applyFill="1" applyBorder="1" applyAlignment="1">
      <alignment vertical="top"/>
    </xf>
    <xf numFmtId="0" fontId="32" fillId="5" borderId="128" xfId="0" quotePrefix="1" applyFont="1" applyFill="1" applyBorder="1" applyAlignment="1">
      <alignment vertical="top"/>
    </xf>
    <xf numFmtId="0" fontId="32" fillId="5" borderId="7" xfId="0" quotePrefix="1" applyFont="1" applyFill="1" applyBorder="1" applyAlignment="1">
      <alignment horizontal="left" vertical="top"/>
    </xf>
    <xf numFmtId="0" fontId="3" fillId="5" borderId="7" xfId="0" quotePrefix="1" applyFont="1" applyFill="1" applyBorder="1" applyAlignment="1">
      <alignment horizontal="center" vertical="top"/>
    </xf>
    <xf numFmtId="0" fontId="3" fillId="5" borderId="8" xfId="0" applyFont="1" applyFill="1" applyBorder="1" applyAlignment="1">
      <alignment vertical="top"/>
    </xf>
    <xf numFmtId="0" fontId="4" fillId="5" borderId="127" xfId="0" applyFont="1" applyFill="1" applyBorder="1" applyAlignment="1">
      <alignment vertical="top"/>
    </xf>
    <xf numFmtId="0" fontId="4" fillId="5" borderId="126" xfId="0" applyFont="1" applyFill="1" applyBorder="1" applyAlignment="1">
      <alignment vertical="top"/>
    </xf>
    <xf numFmtId="0" fontId="4" fillId="5" borderId="125" xfId="0" applyFont="1" applyFill="1" applyBorder="1" applyAlignment="1">
      <alignment vertical="top"/>
    </xf>
    <xf numFmtId="0" fontId="32" fillId="5" borderId="124" xfId="0" quotePrefix="1" applyFont="1" applyFill="1" applyBorder="1" applyAlignment="1">
      <alignment horizontal="left" vertical="top"/>
    </xf>
    <xf numFmtId="0" fontId="3" fillId="5" borderId="124" xfId="0" applyFont="1" applyFill="1" applyBorder="1" applyAlignment="1">
      <alignment horizontal="center" vertical="top"/>
    </xf>
    <xf numFmtId="0" fontId="3" fillId="5" borderId="123" xfId="0" applyFont="1" applyFill="1" applyBorder="1" applyAlignment="1">
      <alignment vertical="top"/>
    </xf>
    <xf numFmtId="0" fontId="28" fillId="29" borderId="98" xfId="0" applyFont="1" applyFill="1" applyBorder="1"/>
    <xf numFmtId="0" fontId="27" fillId="29" borderId="97" xfId="0" applyFont="1" applyFill="1" applyBorder="1"/>
    <xf numFmtId="0" fontId="4" fillId="5" borderId="37" xfId="0" applyFont="1" applyFill="1" applyBorder="1" applyAlignment="1">
      <alignment vertical="top"/>
    </xf>
    <xf numFmtId="0" fontId="4" fillId="5" borderId="0" xfId="0" applyFont="1" applyFill="1" applyAlignment="1">
      <alignment vertical="top"/>
    </xf>
    <xf numFmtId="0" fontId="50" fillId="5" borderId="108" xfId="0" quotePrefix="1" applyFont="1" applyFill="1" applyBorder="1" applyAlignment="1">
      <alignment vertical="top"/>
    </xf>
    <xf numFmtId="0" fontId="32" fillId="5" borderId="107" xfId="0" quotePrefix="1" applyFont="1" applyFill="1" applyBorder="1" applyAlignment="1">
      <alignment vertical="top"/>
    </xf>
    <xf numFmtId="0" fontId="3" fillId="5" borderId="107" xfId="0" quotePrefix="1" applyFont="1" applyFill="1" applyBorder="1" applyAlignment="1">
      <alignment horizontal="center" vertical="top"/>
    </xf>
    <xf numFmtId="0" fontId="46" fillId="5" borderId="100" xfId="0" applyFont="1" applyFill="1" applyBorder="1" applyAlignment="1">
      <alignment horizontal="left" vertical="top" indent="2"/>
    </xf>
    <xf numFmtId="0" fontId="32" fillId="5" borderId="0" xfId="0" quotePrefix="1" applyFont="1" applyFill="1" applyAlignment="1">
      <alignment horizontal="left" vertical="top" indent="1"/>
    </xf>
    <xf numFmtId="0" fontId="32" fillId="5" borderId="108" xfId="0" quotePrefix="1" applyFont="1" applyFill="1" applyBorder="1" applyAlignment="1">
      <alignment horizontal="left" vertical="top"/>
    </xf>
    <xf numFmtId="0" fontId="7" fillId="5" borderId="107" xfId="0" quotePrefix="1" applyFont="1" applyFill="1" applyBorder="1" applyAlignment="1">
      <alignment horizontal="center" vertical="top"/>
    </xf>
    <xf numFmtId="0" fontId="45" fillId="5" borderId="100" xfId="0" applyFont="1" applyFill="1" applyBorder="1" applyAlignment="1">
      <alignment horizontal="left" vertical="top" indent="1"/>
    </xf>
    <xf numFmtId="0" fontId="4" fillId="5" borderId="35" xfId="0" applyFont="1" applyFill="1" applyBorder="1" applyAlignment="1">
      <alignment vertical="top"/>
    </xf>
    <xf numFmtId="0" fontId="4" fillId="5" borderId="47" xfId="0" applyFont="1" applyFill="1" applyBorder="1" applyAlignment="1">
      <alignment vertical="top"/>
    </xf>
    <xf numFmtId="0" fontId="32" fillId="5" borderId="47" xfId="0" quotePrefix="1" applyFont="1" applyFill="1" applyBorder="1" applyAlignment="1">
      <alignment horizontal="left" vertical="top" indent="1"/>
    </xf>
    <xf numFmtId="0" fontId="32" fillId="5" borderId="122" xfId="0" quotePrefix="1" applyFont="1" applyFill="1" applyBorder="1" applyAlignment="1">
      <alignment horizontal="center" vertical="top"/>
    </xf>
    <xf numFmtId="0" fontId="46" fillId="5" borderId="117" xfId="0" applyFont="1" applyFill="1" applyBorder="1" applyAlignment="1">
      <alignment horizontal="left" vertical="top" indent="2"/>
    </xf>
    <xf numFmtId="0" fontId="32" fillId="5" borderId="108" xfId="0" quotePrefix="1" applyFont="1" applyFill="1" applyBorder="1" applyAlignment="1">
      <alignment vertical="top"/>
    </xf>
    <xf numFmtId="0" fontId="32" fillId="5" borderId="108" xfId="0" quotePrefix="1" applyFont="1" applyFill="1" applyBorder="1" applyAlignment="1">
      <alignment horizontal="center" vertical="top"/>
    </xf>
    <xf numFmtId="0" fontId="38" fillId="5" borderId="108" xfId="0" applyFont="1" applyFill="1" applyBorder="1" applyAlignment="1">
      <alignment horizontal="left" vertical="top" indent="3"/>
    </xf>
    <xf numFmtId="0" fontId="47" fillId="5" borderId="107" xfId="0" applyFont="1" applyFill="1" applyBorder="1" applyAlignment="1">
      <alignment horizontal="center" vertical="top" wrapText="1"/>
    </xf>
    <xf numFmtId="0" fontId="4" fillId="5" borderId="121" xfId="0" applyFont="1" applyFill="1" applyBorder="1" applyAlignment="1">
      <alignment vertical="top"/>
    </xf>
    <xf numFmtId="0" fontId="4" fillId="5" borderId="120" xfId="0" applyFont="1" applyFill="1" applyBorder="1" applyAlignment="1">
      <alignment vertical="top"/>
    </xf>
    <xf numFmtId="0" fontId="38" fillId="5" borderId="26" xfId="0" applyFont="1" applyFill="1" applyBorder="1" applyAlignment="1">
      <alignment horizontal="left" vertical="top" indent="3"/>
    </xf>
    <xf numFmtId="0" fontId="45" fillId="5" borderId="119" xfId="0" applyFont="1" applyFill="1" applyBorder="1" applyAlignment="1">
      <alignment horizontal="left" vertical="top" indent="1"/>
    </xf>
    <xf numFmtId="0" fontId="32" fillId="5" borderId="118" xfId="0" quotePrefix="1" applyFont="1" applyFill="1" applyBorder="1" applyAlignment="1">
      <alignment horizontal="left" vertical="top"/>
    </xf>
    <xf numFmtId="0" fontId="3" fillId="5" borderId="118" xfId="0" quotePrefix="1" applyFont="1" applyFill="1" applyBorder="1" applyAlignment="1">
      <alignment horizontal="center" vertical="top"/>
    </xf>
    <xf numFmtId="0" fontId="32" fillId="5" borderId="107" xfId="0" quotePrefix="1" applyFont="1" applyFill="1" applyBorder="1" applyAlignment="1">
      <alignment horizontal="left" vertical="top"/>
    </xf>
    <xf numFmtId="0" fontId="47" fillId="5" borderId="107" xfId="0" quotePrefix="1" applyFont="1" applyFill="1" applyBorder="1" applyAlignment="1">
      <alignment horizontal="left" vertical="top" indent="3"/>
    </xf>
    <xf numFmtId="0" fontId="4" fillId="5" borderId="42" xfId="0" applyFont="1" applyFill="1" applyBorder="1" applyAlignment="1">
      <alignment vertical="top"/>
    </xf>
    <xf numFmtId="0" fontId="4" fillId="5" borderId="43" xfId="0" applyFont="1" applyFill="1" applyBorder="1" applyAlignment="1">
      <alignment vertical="top"/>
    </xf>
    <xf numFmtId="0" fontId="32" fillId="5" borderId="104" xfId="0" quotePrefix="1" applyFont="1" applyFill="1" applyBorder="1" applyAlignment="1">
      <alignment horizontal="left" vertical="top"/>
    </xf>
    <xf numFmtId="0" fontId="32" fillId="5" borderId="110" xfId="0" quotePrefix="1" applyFont="1" applyFill="1" applyBorder="1" applyAlignment="1">
      <alignment vertical="top"/>
    </xf>
    <xf numFmtId="0" fontId="3" fillId="5" borderId="110" xfId="0" quotePrefix="1" applyFont="1" applyFill="1" applyBorder="1" applyAlignment="1">
      <alignment horizontal="center" vertical="top"/>
    </xf>
    <xf numFmtId="0" fontId="46" fillId="5" borderId="109" xfId="0" applyFont="1" applyFill="1" applyBorder="1" applyAlignment="1">
      <alignment horizontal="left" vertical="top" indent="2"/>
    </xf>
    <xf numFmtId="0" fontId="15" fillId="5" borderId="107" xfId="0" quotePrefix="1" applyFont="1" applyFill="1" applyBorder="1" applyAlignment="1">
      <alignment horizontal="center" vertical="top"/>
    </xf>
    <xf numFmtId="0" fontId="4" fillId="5" borderId="37" xfId="0" applyFont="1" applyFill="1" applyBorder="1"/>
    <xf numFmtId="0" fontId="4" fillId="5" borderId="0" xfId="0" applyFont="1" applyFill="1"/>
    <xf numFmtId="0" fontId="32" fillId="5" borderId="108" xfId="0" quotePrefix="1" applyFont="1" applyFill="1" applyBorder="1" applyAlignment="1">
      <alignment horizontal="left"/>
    </xf>
    <xf numFmtId="0" fontId="32" fillId="5" borderId="107" xfId="0" quotePrefix="1" applyFont="1" applyFill="1" applyBorder="1"/>
    <xf numFmtId="0" fontId="26" fillId="5" borderId="107" xfId="0" quotePrefix="1" applyFont="1" applyFill="1" applyBorder="1" applyAlignment="1">
      <alignment horizontal="left"/>
    </xf>
    <xf numFmtId="0" fontId="45" fillId="5" borderId="100" xfId="0" applyFont="1" applyFill="1" applyBorder="1" applyAlignment="1">
      <alignment horizontal="left"/>
    </xf>
    <xf numFmtId="0" fontId="4" fillId="5" borderId="116" xfId="0" applyFont="1" applyFill="1" applyBorder="1" applyAlignment="1">
      <alignment vertical="top"/>
    </xf>
    <xf numFmtId="0" fontId="4" fillId="5" borderId="115" xfId="0" applyFont="1" applyFill="1" applyBorder="1" applyAlignment="1">
      <alignment vertical="top"/>
    </xf>
    <xf numFmtId="0" fontId="32" fillId="5" borderId="114" xfId="0" quotePrefix="1" applyFont="1" applyFill="1" applyBorder="1" applyAlignment="1">
      <alignment horizontal="left" vertical="top"/>
    </xf>
    <xf numFmtId="0" fontId="32" fillId="5" borderId="113" xfId="0" quotePrefix="1" applyFont="1" applyFill="1" applyBorder="1" applyAlignment="1">
      <alignment vertical="top"/>
    </xf>
    <xf numFmtId="0" fontId="15" fillId="5" borderId="113" xfId="0" quotePrefix="1" applyFont="1" applyFill="1" applyBorder="1" applyAlignment="1">
      <alignment horizontal="center" vertical="top"/>
    </xf>
    <xf numFmtId="0" fontId="46" fillId="5" borderId="112" xfId="0" applyFont="1" applyFill="1" applyBorder="1" applyAlignment="1">
      <alignment horizontal="left" vertical="top" indent="2"/>
    </xf>
    <xf numFmtId="0" fontId="32" fillId="5" borderId="92" xfId="0" applyFont="1" applyFill="1" applyBorder="1" applyAlignment="1">
      <alignment vertical="top"/>
    </xf>
    <xf numFmtId="0" fontId="32" fillId="5" borderId="108" xfId="0" quotePrefix="1" applyFont="1" applyFill="1" applyBorder="1" applyAlignment="1">
      <alignment horizontal="center" vertical="center"/>
    </xf>
    <xf numFmtId="0" fontId="46" fillId="5" borderId="100" xfId="0" applyFont="1" applyFill="1" applyBorder="1" applyAlignment="1">
      <alignment horizontal="left" vertical="top" indent="4"/>
    </xf>
    <xf numFmtId="14" fontId="3" fillId="5" borderId="107" xfId="0" quotePrefix="1" applyNumberFormat="1" applyFont="1" applyFill="1" applyBorder="1" applyAlignment="1">
      <alignment horizontal="center" vertical="top" wrapText="1"/>
    </xf>
    <xf numFmtId="0" fontId="6" fillId="5" borderId="0" xfId="0" applyFont="1" applyFill="1" applyAlignment="1">
      <alignment vertical="top"/>
    </xf>
    <xf numFmtId="0" fontId="47" fillId="5" borderId="108" xfId="0" quotePrefix="1" applyFont="1" applyFill="1" applyBorder="1" applyAlignment="1">
      <alignment horizontal="left" vertical="top"/>
    </xf>
    <xf numFmtId="0" fontId="47" fillId="5" borderId="107" xfId="0" quotePrefix="1" applyFont="1" applyFill="1" applyBorder="1" applyAlignment="1">
      <alignment horizontal="left" vertical="top" indent="1"/>
    </xf>
    <xf numFmtId="0" fontId="49" fillId="5" borderId="108" xfId="0" quotePrefix="1" applyFont="1" applyFill="1" applyBorder="1" applyAlignment="1">
      <alignment horizontal="left" vertical="top" indent="2"/>
    </xf>
    <xf numFmtId="0" fontId="3" fillId="5" borderId="107" xfId="0" applyFont="1" applyFill="1" applyBorder="1" applyAlignment="1">
      <alignment horizontal="center" vertical="top"/>
    </xf>
    <xf numFmtId="0" fontId="46" fillId="5" borderId="100" xfId="0" applyFont="1" applyFill="1" applyBorder="1" applyAlignment="1">
      <alignment horizontal="left" vertical="top" indent="1"/>
    </xf>
    <xf numFmtId="0" fontId="32" fillId="5" borderId="42" xfId="0" applyFont="1" applyFill="1" applyBorder="1" applyAlignment="1">
      <alignment vertical="top"/>
    </xf>
    <xf numFmtId="0" fontId="32" fillId="5" borderId="43" xfId="0" applyFont="1" applyFill="1" applyBorder="1" applyAlignment="1">
      <alignment vertical="top"/>
    </xf>
    <xf numFmtId="0" fontId="32" fillId="5" borderId="111" xfId="0" quotePrefix="1" applyFont="1" applyFill="1" applyBorder="1" applyAlignment="1">
      <alignment horizontal="left" vertical="top"/>
    </xf>
    <xf numFmtId="0" fontId="32" fillId="5" borderId="110" xfId="0" quotePrefix="1" applyFont="1" applyFill="1" applyBorder="1" applyAlignment="1">
      <alignment horizontal="left" vertical="top" indent="1"/>
    </xf>
    <xf numFmtId="0" fontId="7" fillId="5" borderId="110" xfId="0" quotePrefix="1" applyFont="1" applyFill="1" applyBorder="1" applyAlignment="1">
      <alignment horizontal="center" wrapText="1"/>
    </xf>
    <xf numFmtId="0" fontId="32" fillId="5" borderId="37" xfId="0" applyFont="1" applyFill="1" applyBorder="1" applyAlignment="1">
      <alignment vertical="top"/>
    </xf>
    <xf numFmtId="0" fontId="32" fillId="5" borderId="0" xfId="0" applyFont="1" applyFill="1" applyAlignment="1">
      <alignment vertical="top"/>
    </xf>
    <xf numFmtId="0" fontId="32" fillId="5" borderId="107" xfId="0" quotePrefix="1" applyFont="1" applyFill="1" applyBorder="1" applyAlignment="1">
      <alignment horizontal="left" vertical="top" indent="1"/>
    </xf>
    <xf numFmtId="0" fontId="3" fillId="5" borderId="0" xfId="0" applyFont="1" applyFill="1" applyAlignment="1">
      <alignment horizontal="center" vertical="top" wrapText="1"/>
    </xf>
    <xf numFmtId="0" fontId="7" fillId="5" borderId="5" xfId="0" quotePrefix="1" applyFont="1" applyFill="1" applyBorder="1" applyAlignment="1">
      <alignment horizontal="center" wrapText="1"/>
    </xf>
    <xf numFmtId="0" fontId="45" fillId="5" borderId="100" xfId="0" applyFont="1" applyFill="1" applyBorder="1" applyAlignment="1">
      <alignment horizontal="left" vertical="top" indent="2"/>
    </xf>
    <xf numFmtId="0" fontId="0" fillId="5" borderId="79" xfId="0" applyFill="1" applyBorder="1" applyAlignment="1">
      <alignment vertical="center"/>
    </xf>
    <xf numFmtId="0" fontId="0" fillId="5" borderId="92" xfId="0" applyFill="1" applyBorder="1" applyAlignment="1">
      <alignment vertical="center"/>
    </xf>
    <xf numFmtId="0" fontId="32" fillId="5" borderId="92" xfId="0" applyFont="1" applyFill="1" applyBorder="1" applyAlignment="1">
      <alignment vertical="center"/>
    </xf>
    <xf numFmtId="0" fontId="32" fillId="5" borderId="26" xfId="0" quotePrefix="1" applyFont="1" applyFill="1" applyBorder="1" applyAlignment="1">
      <alignment vertical="center"/>
    </xf>
    <xf numFmtId="0" fontId="32" fillId="5" borderId="27" xfId="0" quotePrefix="1" applyFont="1" applyFill="1" applyBorder="1" applyAlignment="1">
      <alignment vertical="center"/>
    </xf>
    <xf numFmtId="0" fontId="3" fillId="5" borderId="27" xfId="0" quotePrefix="1" applyFont="1" applyFill="1" applyBorder="1" applyAlignment="1">
      <alignment horizontal="center" vertical="center"/>
    </xf>
    <xf numFmtId="0" fontId="3" fillId="5" borderId="29" xfId="0" applyFont="1" applyFill="1" applyBorder="1" applyAlignment="1">
      <alignment vertical="center"/>
    </xf>
    <xf numFmtId="0" fontId="32" fillId="19" borderId="102" xfId="0" applyFont="1" applyFill="1" applyBorder="1" applyAlignment="1">
      <alignment vertical="top"/>
    </xf>
    <xf numFmtId="0" fontId="32" fillId="19" borderId="101" xfId="0" applyFont="1" applyFill="1" applyBorder="1" applyAlignment="1">
      <alignment vertical="top"/>
    </xf>
    <xf numFmtId="0" fontId="32" fillId="19" borderId="30" xfId="0" quotePrefix="1" applyFont="1" applyFill="1" applyBorder="1" applyAlignment="1">
      <alignment horizontal="left" vertical="top"/>
    </xf>
    <xf numFmtId="0" fontId="32" fillId="19" borderId="5" xfId="0" quotePrefix="1" applyFont="1" applyFill="1" applyBorder="1" applyAlignment="1">
      <alignment horizontal="left" vertical="top"/>
    </xf>
    <xf numFmtId="0" fontId="3" fillId="19" borderId="5" xfId="0" applyFont="1" applyFill="1" applyBorder="1" applyAlignment="1">
      <alignment horizontal="center" vertical="top"/>
    </xf>
    <xf numFmtId="0" fontId="3" fillId="19" borderId="6" xfId="0" applyFont="1" applyFill="1" applyBorder="1" applyAlignment="1">
      <alignment horizontal="left" vertical="top" indent="4"/>
    </xf>
    <xf numFmtId="0" fontId="32" fillId="19" borderId="183" xfId="0" applyFont="1" applyFill="1" applyBorder="1" applyAlignment="1">
      <alignment vertical="top"/>
    </xf>
    <xf numFmtId="0" fontId="32" fillId="19" borderId="93" xfId="0" applyFont="1" applyFill="1" applyBorder="1" applyAlignment="1">
      <alignment vertical="top"/>
    </xf>
    <xf numFmtId="0" fontId="32" fillId="19" borderId="104" xfId="0" quotePrefix="1" applyFont="1" applyFill="1" applyBorder="1" applyAlignment="1">
      <alignment horizontal="left" vertical="top"/>
    </xf>
    <xf numFmtId="0" fontId="32" fillId="19" borderId="103" xfId="0" quotePrefix="1" applyFont="1" applyFill="1" applyBorder="1" applyAlignment="1">
      <alignment horizontal="left" vertical="top"/>
    </xf>
    <xf numFmtId="0" fontId="3" fillId="19" borderId="103" xfId="0" applyFont="1" applyFill="1" applyBorder="1" applyAlignment="1">
      <alignment horizontal="center" vertical="top"/>
    </xf>
    <xf numFmtId="0" fontId="3" fillId="19" borderId="193" xfId="0" applyFont="1" applyFill="1" applyBorder="1" applyAlignment="1">
      <alignment horizontal="left" vertical="top" indent="4"/>
    </xf>
    <xf numFmtId="0" fontId="3" fillId="19" borderId="5" xfId="0" quotePrefix="1" applyFont="1" applyFill="1" applyBorder="1" applyAlignment="1">
      <alignment horizontal="center" vertical="top"/>
    </xf>
    <xf numFmtId="0" fontId="7" fillId="19" borderId="6" xfId="0" applyFont="1" applyFill="1" applyBorder="1" applyAlignment="1">
      <alignment horizontal="left" vertical="top"/>
    </xf>
    <xf numFmtId="0" fontId="4" fillId="19" borderId="42" xfId="0" applyFont="1" applyFill="1" applyBorder="1"/>
    <xf numFmtId="0" fontId="4" fillId="19" borderId="43" xfId="0" applyFont="1" applyFill="1" applyBorder="1"/>
    <xf numFmtId="0" fontId="32" fillId="19" borderId="104" xfId="0" quotePrefix="1" applyFont="1" applyFill="1" applyBorder="1" applyAlignment="1">
      <alignment vertical="top"/>
    </xf>
    <xf numFmtId="0" fontId="32" fillId="19" borderId="103" xfId="0" quotePrefix="1" applyFont="1" applyFill="1" applyBorder="1" applyAlignment="1">
      <alignment vertical="top"/>
    </xf>
    <xf numFmtId="0" fontId="3" fillId="19" borderId="110" xfId="0" quotePrefix="1" applyFont="1" applyFill="1" applyBorder="1" applyAlignment="1">
      <alignment horizontal="center" vertical="top"/>
    </xf>
    <xf numFmtId="0" fontId="5" fillId="19" borderId="38" xfId="0" applyFont="1" applyFill="1" applyBorder="1" applyAlignment="1">
      <alignment horizontal="left" indent="4"/>
    </xf>
    <xf numFmtId="0" fontId="0" fillId="19" borderId="79" xfId="0" applyFill="1" applyBorder="1"/>
    <xf numFmtId="0" fontId="0" fillId="19" borderId="92" xfId="0" applyFill="1" applyBorder="1"/>
    <xf numFmtId="0" fontId="32" fillId="19" borderId="92" xfId="0" applyFont="1" applyFill="1" applyBorder="1" applyAlignment="1">
      <alignment vertical="top"/>
    </xf>
    <xf numFmtId="0" fontId="32" fillId="19" borderId="0" xfId="0" applyFont="1" applyFill="1" applyAlignment="1">
      <alignment vertical="top"/>
    </xf>
    <xf numFmtId="0" fontId="32" fillId="19" borderId="26" xfId="0" quotePrefix="1" applyFont="1" applyFill="1" applyBorder="1" applyAlignment="1">
      <alignment vertical="top"/>
    </xf>
    <xf numFmtId="0" fontId="3" fillId="19" borderId="26" xfId="0" quotePrefix="1" applyFont="1" applyFill="1" applyBorder="1" applyAlignment="1">
      <alignment horizontal="center" vertical="top"/>
    </xf>
    <xf numFmtId="0" fontId="3" fillId="19" borderId="40" xfId="0" applyFont="1" applyFill="1" applyBorder="1" applyAlignment="1">
      <alignment horizontal="left" vertical="top" indent="4"/>
    </xf>
    <xf numFmtId="0" fontId="32" fillId="19" borderId="27" xfId="0" quotePrefix="1" applyFont="1" applyFill="1" applyBorder="1" applyAlignment="1">
      <alignment vertical="top"/>
    </xf>
    <xf numFmtId="0" fontId="32" fillId="19" borderId="27" xfId="0" quotePrefix="1" applyFont="1" applyFill="1" applyBorder="1" applyAlignment="1">
      <alignment horizontal="center" vertical="top"/>
    </xf>
    <xf numFmtId="0" fontId="0" fillId="19" borderId="102" xfId="0" applyFill="1" applyBorder="1"/>
    <xf numFmtId="0" fontId="0" fillId="19" borderId="101" xfId="0" applyFill="1" applyBorder="1"/>
    <xf numFmtId="0" fontId="32" fillId="19" borderId="30" xfId="0" quotePrefix="1" applyFont="1" applyFill="1" applyBorder="1" applyAlignment="1">
      <alignment vertical="top"/>
    </xf>
    <xf numFmtId="0" fontId="32" fillId="19" borderId="5" xfId="0" quotePrefix="1" applyFont="1" applyFill="1" applyBorder="1" applyAlignment="1">
      <alignment vertical="top"/>
    </xf>
    <xf numFmtId="0" fontId="32" fillId="19" borderId="5" xfId="0" quotePrefix="1" applyFont="1" applyFill="1" applyBorder="1" applyAlignment="1">
      <alignment horizontal="center" vertical="top"/>
    </xf>
    <xf numFmtId="0" fontId="7" fillId="19" borderId="100" xfId="0" applyFont="1" applyFill="1" applyBorder="1" applyAlignment="1">
      <alignment horizontal="left" vertical="top"/>
    </xf>
    <xf numFmtId="0" fontId="7" fillId="19" borderId="103" xfId="0" applyFont="1" applyFill="1" applyBorder="1" applyAlignment="1">
      <alignment horizontal="center" vertical="top"/>
    </xf>
    <xf numFmtId="0" fontId="3" fillId="19" borderId="27" xfId="0" applyFont="1" applyFill="1" applyBorder="1" applyAlignment="1">
      <alignment horizontal="center" vertical="top"/>
    </xf>
    <xf numFmtId="0" fontId="4" fillId="19" borderId="37" xfId="0" applyFont="1" applyFill="1" applyBorder="1"/>
    <xf numFmtId="0" fontId="4" fillId="19" borderId="0" xfId="0" applyFont="1" applyFill="1"/>
    <xf numFmtId="0" fontId="32" fillId="19" borderId="108" xfId="0" quotePrefix="1" applyFont="1" applyFill="1" applyBorder="1" applyAlignment="1">
      <alignment vertical="top"/>
    </xf>
    <xf numFmtId="0" fontId="32" fillId="19" borderId="107" xfId="0" quotePrefix="1" applyFont="1" applyFill="1" applyBorder="1" applyAlignment="1">
      <alignment vertical="top"/>
    </xf>
    <xf numFmtId="0" fontId="43" fillId="19" borderId="5" xfId="0" quotePrefix="1" applyFont="1" applyFill="1" applyBorder="1" applyAlignment="1">
      <alignment horizontal="center"/>
    </xf>
    <xf numFmtId="0" fontId="3" fillId="19" borderId="0" xfId="0" applyFont="1" applyFill="1" applyAlignment="1">
      <alignment horizontal="center"/>
    </xf>
    <xf numFmtId="0" fontId="0" fillId="19" borderId="37" xfId="0" applyFill="1" applyBorder="1"/>
    <xf numFmtId="0" fontId="0" fillId="19" borderId="0" xfId="0" applyFill="1"/>
    <xf numFmtId="0" fontId="32" fillId="19" borderId="0" xfId="0" quotePrefix="1" applyFont="1" applyFill="1" applyAlignment="1">
      <alignment vertical="top"/>
    </xf>
    <xf numFmtId="0" fontId="3" fillId="19" borderId="109" xfId="0" applyFont="1" applyFill="1" applyBorder="1" applyAlignment="1">
      <alignment horizontal="left" vertical="top" indent="4"/>
    </xf>
    <xf numFmtId="0" fontId="0" fillId="19" borderId="79" xfId="0" applyFill="1" applyBorder="1" applyAlignment="1">
      <alignment vertical="center"/>
    </xf>
    <xf numFmtId="0" fontId="0" fillId="19" borderId="92" xfId="0" applyFill="1" applyBorder="1" applyAlignment="1">
      <alignment vertical="center"/>
    </xf>
    <xf numFmtId="0" fontId="32" fillId="19" borderId="92" xfId="0" applyFont="1" applyFill="1" applyBorder="1" applyAlignment="1">
      <alignment vertical="center"/>
    </xf>
    <xf numFmtId="0" fontId="32" fillId="19" borderId="101" xfId="0" applyFont="1" applyFill="1" applyBorder="1" applyAlignment="1">
      <alignment vertical="center"/>
    </xf>
    <xf numFmtId="0" fontId="38" fillId="19" borderId="26" xfId="0" applyFont="1" applyFill="1" applyBorder="1" applyAlignment="1">
      <alignment horizontal="left" vertical="center"/>
    </xf>
    <xf numFmtId="0" fontId="32" fillId="19" borderId="5" xfId="0" quotePrefix="1" applyFont="1" applyFill="1" applyBorder="1" applyAlignment="1">
      <alignment vertical="center"/>
    </xf>
    <xf numFmtId="0" fontId="3" fillId="19" borderId="101" xfId="0" applyFont="1" applyFill="1" applyBorder="1" applyAlignment="1">
      <alignment horizontal="center" vertical="center" wrapText="1"/>
    </xf>
    <xf numFmtId="0" fontId="0" fillId="19" borderId="102" xfId="0" applyFill="1" applyBorder="1" applyAlignment="1">
      <alignment vertical="center"/>
    </xf>
    <xf numFmtId="0" fontId="0" fillId="19" borderId="101" xfId="0" applyFill="1" applyBorder="1" applyAlignment="1">
      <alignment vertical="center"/>
    </xf>
    <xf numFmtId="0" fontId="38" fillId="19" borderId="30" xfId="0" applyFont="1" applyFill="1" applyBorder="1" applyAlignment="1">
      <alignment horizontal="left" vertical="center"/>
    </xf>
    <xf numFmtId="0" fontId="0" fillId="19" borderId="194" xfId="0" applyFill="1" applyBorder="1"/>
    <xf numFmtId="0" fontId="0" fillId="19" borderId="195" xfId="0" applyFill="1" applyBorder="1"/>
    <xf numFmtId="0" fontId="32" fillId="19" borderId="195" xfId="0" applyFont="1" applyFill="1" applyBorder="1" applyAlignment="1">
      <alignment vertical="top"/>
    </xf>
    <xf numFmtId="0" fontId="32" fillId="19" borderId="196" xfId="0" quotePrefix="1" applyFont="1" applyFill="1" applyBorder="1" applyAlignment="1">
      <alignment vertical="top"/>
    </xf>
    <xf numFmtId="0" fontId="52" fillId="19" borderId="27" xfId="0" quotePrefix="1" applyFont="1" applyFill="1" applyBorder="1" applyAlignment="1">
      <alignment horizontal="center" vertical="center"/>
    </xf>
    <xf numFmtId="0" fontId="7" fillId="19" borderId="6" xfId="0" applyFont="1" applyFill="1" applyBorder="1" applyAlignment="1">
      <alignment horizontal="left"/>
    </xf>
    <xf numFmtId="0" fontId="22" fillId="29" borderId="197" xfId="0" applyFont="1" applyFill="1" applyBorder="1"/>
    <xf numFmtId="0" fontId="22" fillId="29" borderId="198" xfId="0" applyFont="1" applyFill="1" applyBorder="1"/>
    <xf numFmtId="0" fontId="28" fillId="29" borderId="198" xfId="0" applyFont="1" applyFill="1" applyBorder="1"/>
    <xf numFmtId="0" fontId="0" fillId="20" borderId="81" xfId="0" applyFill="1" applyBorder="1"/>
    <xf numFmtId="0" fontId="0" fillId="20" borderId="96" xfId="0" applyFill="1" applyBorder="1"/>
    <xf numFmtId="0" fontId="0" fillId="20" borderId="39" xfId="0" applyFill="1" applyBorder="1" applyAlignment="1">
      <alignment horizontal="left"/>
    </xf>
    <xf numFmtId="0" fontId="84" fillId="6" borderId="39" xfId="0" quotePrefix="1" applyFont="1" applyFill="1" applyBorder="1" applyAlignment="1">
      <alignment horizontal="left"/>
    </xf>
    <xf numFmtId="0" fontId="0" fillId="6" borderId="39" xfId="0" applyFill="1" applyBorder="1" applyAlignment="1">
      <alignment horizontal="center"/>
    </xf>
    <xf numFmtId="0" fontId="0" fillId="20" borderId="39" xfId="0" applyFill="1" applyBorder="1" applyAlignment="1">
      <alignment horizontal="left" indent="1"/>
    </xf>
    <xf numFmtId="0" fontId="0" fillId="20" borderId="79" xfId="0" applyFill="1" applyBorder="1"/>
    <xf numFmtId="0" fontId="0" fillId="20" borderId="92" xfId="0" applyFill="1" applyBorder="1"/>
    <xf numFmtId="0" fontId="0" fillId="20" borderId="78" xfId="0" applyFill="1" applyBorder="1" applyAlignment="1">
      <alignment horizontal="left"/>
    </xf>
    <xf numFmtId="0" fontId="84" fillId="6" borderId="78" xfId="0" quotePrefix="1" applyFont="1" applyFill="1" applyBorder="1" applyAlignment="1">
      <alignment horizontal="left"/>
    </xf>
    <xf numFmtId="0" fontId="0" fillId="6" borderId="78" xfId="0" applyFill="1" applyBorder="1" applyAlignment="1">
      <alignment horizontal="center"/>
    </xf>
    <xf numFmtId="0" fontId="0" fillId="20" borderId="78" xfId="0" applyFill="1" applyBorder="1" applyAlignment="1">
      <alignment horizontal="left" indent="1"/>
    </xf>
    <xf numFmtId="0" fontId="0" fillId="20" borderId="92" xfId="0" quotePrefix="1" applyFill="1" applyBorder="1"/>
    <xf numFmtId="0" fontId="84" fillId="6" borderId="199" xfId="0" quotePrefix="1" applyFont="1" applyFill="1" applyBorder="1" applyAlignment="1">
      <alignment horizontal="left"/>
    </xf>
    <xf numFmtId="0" fontId="0" fillId="6" borderId="199" xfId="0" applyFill="1" applyBorder="1" applyAlignment="1">
      <alignment horizontal="center"/>
    </xf>
    <xf numFmtId="0" fontId="0" fillId="20" borderId="199" xfId="0" applyFill="1" applyBorder="1" applyAlignment="1">
      <alignment horizontal="left" indent="1"/>
    </xf>
    <xf numFmtId="0" fontId="0" fillId="20" borderId="183" xfId="0" applyFill="1" applyBorder="1"/>
    <xf numFmtId="0" fontId="0" fillId="20" borderId="93" xfId="0" applyFill="1" applyBorder="1"/>
    <xf numFmtId="0" fontId="0" fillId="20" borderId="200" xfId="0" applyFill="1" applyBorder="1" applyAlignment="1">
      <alignment horizontal="left"/>
    </xf>
    <xf numFmtId="0" fontId="84" fillId="6" borderId="200" xfId="0" quotePrefix="1" applyFont="1" applyFill="1" applyBorder="1" applyAlignment="1">
      <alignment horizontal="left"/>
    </xf>
    <xf numFmtId="0" fontId="0" fillId="6" borderId="200" xfId="0" applyFill="1" applyBorder="1" applyAlignment="1">
      <alignment horizontal="center"/>
    </xf>
    <xf numFmtId="0" fontId="0" fillId="20" borderId="200" xfId="0" applyFill="1" applyBorder="1" applyAlignment="1">
      <alignment horizontal="left" indent="1"/>
    </xf>
    <xf numFmtId="0" fontId="0" fillId="20" borderId="199" xfId="0" applyFill="1" applyBorder="1" applyAlignment="1">
      <alignment horizontal="left"/>
    </xf>
    <xf numFmtId="0" fontId="84" fillId="6" borderId="38" xfId="0" quotePrefix="1" applyFont="1" applyFill="1" applyBorder="1" applyAlignment="1">
      <alignment horizontal="left"/>
    </xf>
    <xf numFmtId="0" fontId="0" fillId="6" borderId="38" xfId="0" applyFill="1" applyBorder="1" applyAlignment="1">
      <alignment horizontal="center"/>
    </xf>
    <xf numFmtId="0" fontId="0" fillId="20" borderId="38" xfId="0" applyFill="1" applyBorder="1" applyAlignment="1">
      <alignment horizontal="left" indent="1"/>
    </xf>
    <xf numFmtId="0" fontId="0" fillId="20" borderId="106" xfId="0" applyFill="1" applyBorder="1"/>
    <xf numFmtId="0" fontId="0" fillId="20" borderId="105" xfId="0" applyFill="1" applyBorder="1"/>
    <xf numFmtId="0" fontId="0" fillId="20" borderId="41" xfId="0" applyFill="1" applyBorder="1" applyAlignment="1">
      <alignment horizontal="left"/>
    </xf>
    <xf numFmtId="0" fontId="84" fillId="6" borderId="40" xfId="0" quotePrefix="1" applyFont="1" applyFill="1" applyBorder="1" applyAlignment="1">
      <alignment horizontal="left"/>
    </xf>
    <xf numFmtId="0" fontId="0" fillId="6" borderId="40" xfId="0" applyFill="1" applyBorder="1" applyAlignment="1">
      <alignment horizontal="center"/>
    </xf>
    <xf numFmtId="0" fontId="0" fillId="20" borderId="40" xfId="0" applyFill="1" applyBorder="1" applyAlignment="1">
      <alignment horizontal="left" indent="1"/>
    </xf>
    <xf numFmtId="0" fontId="67" fillId="6" borderId="200" xfId="0" applyFont="1" applyFill="1" applyBorder="1" applyAlignment="1">
      <alignment horizontal="center"/>
    </xf>
    <xf numFmtId="0" fontId="84" fillId="6" borderId="201" xfId="0" quotePrefix="1" applyFont="1" applyFill="1" applyBorder="1" applyAlignment="1">
      <alignment horizontal="left"/>
    </xf>
    <xf numFmtId="0" fontId="0" fillId="6" borderId="201" xfId="0" applyFill="1" applyBorder="1" applyAlignment="1">
      <alignment horizontal="center"/>
    </xf>
    <xf numFmtId="0" fontId="0" fillId="20" borderId="201" xfId="0" applyFill="1" applyBorder="1" applyAlignment="1">
      <alignment horizontal="left" indent="1"/>
    </xf>
    <xf numFmtId="0" fontId="0" fillId="20" borderId="102" xfId="0" applyFill="1" applyBorder="1"/>
    <xf numFmtId="0" fontId="0" fillId="20" borderId="101" xfId="0" applyFill="1" applyBorder="1"/>
    <xf numFmtId="0" fontId="84" fillId="6" borderId="50" xfId="0" quotePrefix="1" applyFont="1" applyFill="1" applyBorder="1" applyAlignment="1">
      <alignment horizontal="left"/>
    </xf>
    <xf numFmtId="0" fontId="0" fillId="6" borderId="50" xfId="0" applyFill="1" applyBorder="1" applyAlignment="1">
      <alignment horizontal="center"/>
    </xf>
    <xf numFmtId="0" fontId="0" fillId="20" borderId="50" xfId="0" applyFill="1" applyBorder="1" applyAlignment="1">
      <alignment horizontal="left" indent="1"/>
    </xf>
    <xf numFmtId="0" fontId="0" fillId="6" borderId="201" xfId="0" quotePrefix="1" applyFill="1" applyBorder="1" applyAlignment="1">
      <alignment horizontal="center"/>
    </xf>
    <xf numFmtId="0" fontId="0" fillId="20" borderId="37" xfId="0" applyFill="1" applyBorder="1"/>
    <xf numFmtId="0" fontId="0" fillId="20" borderId="0" xfId="0" applyFill="1"/>
    <xf numFmtId="0" fontId="0" fillId="20" borderId="40" xfId="0" applyFill="1" applyBorder="1" applyAlignment="1">
      <alignment horizontal="left"/>
    </xf>
    <xf numFmtId="0" fontId="67" fillId="6" borderId="40" xfId="0" applyFont="1" applyFill="1" applyBorder="1" applyAlignment="1">
      <alignment horizontal="center"/>
    </xf>
    <xf numFmtId="0" fontId="0" fillId="20" borderId="202" xfId="0" applyFill="1" applyBorder="1"/>
    <xf numFmtId="0" fontId="0" fillId="20" borderId="203" xfId="0" applyFill="1" applyBorder="1"/>
    <xf numFmtId="0" fontId="0" fillId="20" borderId="154" xfId="0" applyFill="1" applyBorder="1" applyAlignment="1">
      <alignment horizontal="left"/>
    </xf>
    <xf numFmtId="0" fontId="84" fillId="6" borderId="24" xfId="0" quotePrefix="1" applyFont="1" applyFill="1" applyBorder="1" applyAlignment="1">
      <alignment horizontal="left"/>
    </xf>
    <xf numFmtId="0" fontId="67" fillId="6" borderId="24" xfId="0" applyFont="1" applyFill="1" applyBorder="1" applyAlignment="1">
      <alignment horizontal="center"/>
    </xf>
    <xf numFmtId="0" fontId="0" fillId="20" borderId="24" xfId="0" applyFill="1" applyBorder="1" applyAlignment="1">
      <alignment horizontal="left" indent="1"/>
    </xf>
    <xf numFmtId="0" fontId="22" fillId="29" borderId="159" xfId="0" applyFont="1" applyFill="1" applyBorder="1"/>
    <xf numFmtId="0" fontId="22" fillId="29" borderId="181" xfId="0" applyFont="1" applyFill="1" applyBorder="1"/>
    <xf numFmtId="0" fontId="28" fillId="29" borderId="181" xfId="0" applyFont="1" applyFill="1" applyBorder="1"/>
    <xf numFmtId="0" fontId="3" fillId="5" borderId="27" xfId="0" applyFont="1" applyFill="1" applyBorder="1" applyAlignment="1">
      <alignment horizontal="center" vertical="center"/>
    </xf>
    <xf numFmtId="0" fontId="3" fillId="5" borderId="29" xfId="0" applyFont="1" applyFill="1" applyBorder="1" applyAlignment="1">
      <alignment horizontal="left" vertical="center" indent="2"/>
    </xf>
    <xf numFmtId="0" fontId="27" fillId="29" borderId="205" xfId="0" applyFont="1" applyFill="1" applyBorder="1"/>
    <xf numFmtId="0" fontId="0" fillId="5" borderId="1" xfId="0" applyFill="1" applyBorder="1"/>
    <xf numFmtId="0" fontId="0" fillId="5" borderId="2" xfId="0" applyFill="1" applyBorder="1"/>
    <xf numFmtId="0" fontId="32" fillId="5" borderId="2" xfId="0" applyFont="1" applyFill="1" applyBorder="1" applyAlignment="1">
      <alignment vertical="top"/>
    </xf>
    <xf numFmtId="0" fontId="32" fillId="5" borderId="2" xfId="0" quotePrefix="1" applyFont="1" applyFill="1" applyBorder="1" applyAlignment="1">
      <alignment vertical="top"/>
    </xf>
    <xf numFmtId="0" fontId="3" fillId="5" borderId="2" xfId="0" quotePrefix="1" applyFont="1" applyFill="1" applyBorder="1" applyAlignment="1">
      <alignment horizontal="center" vertical="top"/>
    </xf>
    <xf numFmtId="0" fontId="3" fillId="5" borderId="3" xfId="0" applyFont="1" applyFill="1" applyBorder="1" applyAlignment="1">
      <alignment horizontal="left" vertical="top" indent="1"/>
    </xf>
    <xf numFmtId="0" fontId="0" fillId="5" borderId="52" xfId="0" applyFill="1" applyBorder="1"/>
    <xf numFmtId="0" fontId="0" fillId="5" borderId="27" xfId="0" applyFill="1" applyBorder="1"/>
    <xf numFmtId="0" fontId="3" fillId="5" borderId="27" xfId="0" quotePrefix="1" applyFont="1" applyFill="1" applyBorder="1" applyAlignment="1">
      <alignment horizontal="center" vertical="top"/>
    </xf>
    <xf numFmtId="0" fontId="3" fillId="5" borderId="29" xfId="0" applyFont="1" applyFill="1" applyBorder="1" applyAlignment="1">
      <alignment horizontal="left" vertical="top" indent="1"/>
    </xf>
    <xf numFmtId="0" fontId="0" fillId="5" borderId="52" xfId="0" applyFill="1" applyBorder="1" applyAlignment="1">
      <alignment vertical="center"/>
    </xf>
    <xf numFmtId="0" fontId="0" fillId="5" borderId="27" xfId="0" applyFill="1" applyBorder="1" applyAlignment="1">
      <alignment vertical="center"/>
    </xf>
    <xf numFmtId="0" fontId="32" fillId="5" borderId="27" xfId="0" applyFont="1" applyFill="1" applyBorder="1" applyAlignment="1">
      <alignment vertical="center"/>
    </xf>
    <xf numFmtId="0" fontId="3" fillId="5" borderId="29" xfId="0" applyFont="1" applyFill="1" applyBorder="1" applyAlignment="1">
      <alignment horizontal="left" vertical="center"/>
    </xf>
    <xf numFmtId="0" fontId="0" fillId="5" borderId="13" xfId="0" applyFill="1" applyBorder="1" applyAlignment="1">
      <alignment vertical="center"/>
    </xf>
    <xf numFmtId="0" fontId="0" fillId="5" borderId="14" xfId="0" applyFill="1" applyBorder="1" applyAlignment="1">
      <alignment vertical="center"/>
    </xf>
    <xf numFmtId="0" fontId="0" fillId="5" borderId="5" xfId="0" applyFill="1" applyBorder="1" applyAlignment="1">
      <alignment vertical="center"/>
    </xf>
    <xf numFmtId="0" fontId="3" fillId="5" borderId="5" xfId="0" quotePrefix="1" applyFont="1" applyFill="1" applyBorder="1" applyAlignment="1">
      <alignment horizontal="center" vertical="center"/>
    </xf>
    <xf numFmtId="0" fontId="3" fillId="5" borderId="6" xfId="0" applyFont="1" applyFill="1" applyBorder="1" applyAlignment="1" applyProtection="1">
      <alignment horizontal="left" vertical="center"/>
      <protection locked="0"/>
    </xf>
    <xf numFmtId="0" fontId="28" fillId="29" borderId="55" xfId="0" applyFont="1" applyFill="1" applyBorder="1"/>
    <xf numFmtId="0" fontId="27" fillId="29" borderId="208" xfId="0" applyFont="1" applyFill="1" applyBorder="1"/>
    <xf numFmtId="0" fontId="0" fillId="5" borderId="81" xfId="0" applyFill="1" applyBorder="1"/>
    <xf numFmtId="0" fontId="0" fillId="5" borderId="96" xfId="0" applyFill="1" applyBorder="1"/>
    <xf numFmtId="0" fontId="32" fillId="5" borderId="96" xfId="0" applyFont="1" applyFill="1" applyBorder="1" applyAlignment="1">
      <alignment vertical="top"/>
    </xf>
    <xf numFmtId="0" fontId="32" fillId="5" borderId="25" xfId="0" quotePrefix="1" applyFont="1" applyFill="1" applyBorder="1" applyAlignment="1">
      <alignment vertical="top"/>
    </xf>
    <xf numFmtId="0" fontId="3" fillId="5" borderId="2" xfId="0" applyFont="1" applyFill="1" applyBorder="1" applyAlignment="1">
      <alignment horizontal="center" vertical="top"/>
    </xf>
    <xf numFmtId="0" fontId="3" fillId="5" borderId="20" xfId="0" applyFont="1" applyFill="1" applyBorder="1" applyAlignment="1">
      <alignment horizontal="left" vertical="top" indent="2"/>
    </xf>
    <xf numFmtId="0" fontId="0" fillId="5" borderId="79" xfId="0" applyFill="1" applyBorder="1"/>
    <xf numFmtId="0" fontId="0" fillId="5" borderId="92" xfId="0" applyFill="1" applyBorder="1"/>
    <xf numFmtId="0" fontId="3" fillId="5" borderId="28" xfId="0" applyFont="1" applyFill="1" applyBorder="1" applyAlignment="1">
      <alignment horizontal="left" vertical="top" indent="2"/>
    </xf>
    <xf numFmtId="0" fontId="41" fillId="5" borderId="26" xfId="0" quotePrefix="1" applyFont="1" applyFill="1" applyBorder="1" applyAlignment="1">
      <alignment horizontal="left" vertical="top" indent="4"/>
    </xf>
    <xf numFmtId="0" fontId="32" fillId="5" borderId="26" xfId="0" quotePrefix="1" applyFont="1" applyFill="1" applyBorder="1" applyAlignment="1">
      <alignment vertical="top"/>
    </xf>
    <xf numFmtId="0" fontId="7" fillId="5" borderId="27" xfId="0" applyFont="1" applyFill="1" applyBorder="1" applyAlignment="1">
      <alignment horizontal="center" vertical="top"/>
    </xf>
    <xf numFmtId="0" fontId="0" fillId="5" borderId="102" xfId="0" applyFill="1" applyBorder="1"/>
    <xf numFmtId="0" fontId="0" fillId="5" borderId="101" xfId="0" applyFill="1" applyBorder="1"/>
    <xf numFmtId="0" fontId="32" fillId="5" borderId="101" xfId="0" applyFont="1" applyFill="1" applyBorder="1" applyAlignment="1">
      <alignment vertical="top"/>
    </xf>
    <xf numFmtId="0" fontId="32" fillId="5" borderId="30" xfId="0" quotePrefix="1" applyFont="1" applyFill="1" applyBorder="1" applyAlignment="1">
      <alignment vertical="top"/>
    </xf>
    <xf numFmtId="0" fontId="3" fillId="5" borderId="211" xfId="0" applyFont="1" applyFill="1" applyBorder="1" applyAlignment="1">
      <alignment horizontal="left" vertical="top" indent="2"/>
    </xf>
    <xf numFmtId="0" fontId="4" fillId="5" borderId="32" xfId="0" applyFont="1" applyFill="1" applyBorder="1"/>
    <xf numFmtId="0" fontId="4" fillId="5" borderId="33" xfId="0" applyFont="1" applyFill="1" applyBorder="1"/>
    <xf numFmtId="0" fontId="3" fillId="8" borderId="33" xfId="0" applyFont="1" applyFill="1" applyBorder="1" applyAlignment="1" applyProtection="1">
      <alignment horizontal="center"/>
      <protection locked="0"/>
    </xf>
    <xf numFmtId="0" fontId="3" fillId="5" borderId="19" xfId="0" applyFont="1" applyFill="1" applyBorder="1" applyAlignment="1">
      <alignment horizontal="left" indent="2"/>
    </xf>
    <xf numFmtId="0" fontId="0" fillId="0" borderId="0" xfId="0" applyAlignment="1">
      <alignment horizontal="right"/>
    </xf>
    <xf numFmtId="0" fontId="32" fillId="5" borderId="35" xfId="0" applyFont="1" applyFill="1" applyBorder="1" applyAlignment="1" applyProtection="1">
      <alignment horizontal="left" vertical="top"/>
      <protection locked="0"/>
    </xf>
    <xf numFmtId="0" fontId="32" fillId="5" borderId="47" xfId="0" applyFont="1" applyFill="1" applyBorder="1" applyAlignment="1" applyProtection="1">
      <alignment horizontal="left" vertical="top"/>
      <protection locked="0"/>
    </xf>
    <xf numFmtId="0" fontId="39" fillId="5" borderId="47" xfId="0" applyFont="1" applyFill="1" applyBorder="1" applyAlignment="1" applyProtection="1">
      <alignment horizontal="left" vertical="top"/>
      <protection locked="0"/>
    </xf>
    <xf numFmtId="0" fontId="40" fillId="5" borderId="47" xfId="0" applyFont="1" applyFill="1" applyBorder="1" applyAlignment="1" applyProtection="1">
      <alignment horizontal="left"/>
      <protection locked="0"/>
    </xf>
    <xf numFmtId="14" fontId="3" fillId="8" borderId="47" xfId="0" quotePrefix="1" applyNumberFormat="1" applyFont="1" applyFill="1" applyBorder="1" applyAlignment="1" applyProtection="1">
      <alignment horizontal="left" vertical="top"/>
      <protection locked="0"/>
    </xf>
    <xf numFmtId="0" fontId="3" fillId="5" borderId="36" xfId="0" applyFont="1" applyFill="1" applyBorder="1" applyAlignment="1" applyProtection="1">
      <alignment horizontal="left" vertical="top" indent="2"/>
      <protection locked="0"/>
    </xf>
    <xf numFmtId="0" fontId="8" fillId="5" borderId="37" xfId="0" applyFont="1" applyFill="1" applyBorder="1" applyAlignment="1" applyProtection="1">
      <alignment horizontal="left" wrapText="1"/>
      <protection locked="0"/>
    </xf>
    <xf numFmtId="0" fontId="8" fillId="5" borderId="0" xfId="0" applyFont="1" applyFill="1" applyAlignment="1" applyProtection="1">
      <alignment horizontal="left" wrapText="1"/>
      <protection locked="0"/>
    </xf>
    <xf numFmtId="0" fontId="32" fillId="5" borderId="0" xfId="0" applyFont="1" applyFill="1" applyAlignment="1" applyProtection="1">
      <alignment horizontal="left" vertical="center"/>
      <protection locked="0"/>
    </xf>
    <xf numFmtId="0" fontId="3" fillId="5" borderId="40" xfId="0" applyFont="1" applyFill="1" applyBorder="1" applyAlignment="1" applyProtection="1">
      <alignment horizontal="left" vertical="center" indent="2"/>
      <protection locked="0"/>
    </xf>
    <xf numFmtId="0" fontId="32" fillId="5" borderId="0" xfId="0" applyFont="1" applyFill="1" applyAlignment="1" applyProtection="1">
      <alignment horizontal="left"/>
      <protection locked="0"/>
    </xf>
    <xf numFmtId="0" fontId="7" fillId="8" borderId="0" xfId="0" applyFont="1" applyFill="1" applyAlignment="1" applyProtection="1">
      <alignment horizontal="left"/>
      <protection locked="0"/>
    </xf>
    <xf numFmtId="0" fontId="3" fillId="5" borderId="40" xfId="0" applyFont="1" applyFill="1" applyBorder="1" applyAlignment="1" applyProtection="1">
      <alignment horizontal="left" indent="2"/>
      <protection locked="0"/>
    </xf>
    <xf numFmtId="0" fontId="4" fillId="5" borderId="37" xfId="0" applyFont="1" applyFill="1" applyBorder="1" applyAlignment="1" applyProtection="1">
      <alignment horizontal="left"/>
      <protection locked="0"/>
    </xf>
    <xf numFmtId="0" fontId="4" fillId="5" borderId="0" xfId="0" applyFont="1" applyFill="1" applyAlignment="1" applyProtection="1">
      <alignment horizontal="left"/>
      <protection locked="0"/>
    </xf>
    <xf numFmtId="0" fontId="39" fillId="5" borderId="0" xfId="0" applyFont="1" applyFill="1" applyAlignment="1" applyProtection="1">
      <alignment horizontal="left" vertical="top"/>
      <protection locked="0"/>
    </xf>
    <xf numFmtId="0" fontId="4" fillId="5" borderId="129" xfId="0" applyFont="1" applyFill="1" applyBorder="1" applyAlignment="1" applyProtection="1">
      <alignment horizontal="left"/>
      <protection locked="0"/>
    </xf>
    <xf numFmtId="0" fontId="4" fillId="5" borderId="9" xfId="0" applyFont="1" applyFill="1" applyBorder="1" applyAlignment="1" applyProtection="1">
      <alignment horizontal="left"/>
      <protection locked="0"/>
    </xf>
    <xf numFmtId="0" fontId="39" fillId="5" borderId="9" xfId="0" applyFont="1" applyFill="1" applyBorder="1" applyAlignment="1" applyProtection="1">
      <alignment horizontal="left" vertical="top"/>
      <protection locked="0"/>
    </xf>
    <xf numFmtId="0" fontId="32" fillId="5" borderId="9" xfId="0" applyFont="1" applyFill="1" applyBorder="1" applyAlignment="1" applyProtection="1">
      <alignment horizontal="left"/>
      <protection locked="0"/>
    </xf>
    <xf numFmtId="0" fontId="7" fillId="62" borderId="9" xfId="0" applyFont="1" applyFill="1" applyBorder="1" applyAlignment="1" applyProtection="1">
      <alignment horizontal="left"/>
      <protection locked="0"/>
    </xf>
    <xf numFmtId="0" fontId="3" fillId="5" borderId="82" xfId="0" applyFont="1" applyFill="1" applyBorder="1" applyAlignment="1" applyProtection="1">
      <alignment horizontal="left" indent="2"/>
      <protection locked="0"/>
    </xf>
    <xf numFmtId="0" fontId="32" fillId="3" borderId="0" xfId="0" applyFont="1" applyFill="1" applyAlignment="1" applyProtection="1">
      <alignment horizontal="left"/>
      <protection locked="0"/>
    </xf>
    <xf numFmtId="0" fontId="7" fillId="3" borderId="0" xfId="0" applyFont="1" applyFill="1" applyAlignment="1" applyProtection="1">
      <alignment horizontal="left"/>
      <protection locked="0"/>
    </xf>
    <xf numFmtId="0" fontId="0" fillId="0" borderId="42" xfId="0" applyBorder="1"/>
    <xf numFmtId="0" fontId="0" fillId="0" borderId="23" xfId="0" applyBorder="1"/>
    <xf numFmtId="0" fontId="4" fillId="2" borderId="35" xfId="0" applyFont="1" applyFill="1" applyBorder="1"/>
    <xf numFmtId="0" fontId="4" fillId="2" borderId="47" xfId="0" applyFont="1" applyFill="1" applyBorder="1"/>
    <xf numFmtId="0" fontId="30" fillId="0" borderId="36" xfId="0" applyFont="1" applyBorder="1"/>
    <xf numFmtId="0" fontId="4" fillId="2" borderId="37" xfId="0" applyFont="1" applyFill="1" applyBorder="1"/>
    <xf numFmtId="0" fontId="30" fillId="2" borderId="40" xfId="0" applyFont="1" applyFill="1" applyBorder="1"/>
    <xf numFmtId="0" fontId="0" fillId="0" borderId="16" xfId="0" applyBorder="1"/>
    <xf numFmtId="0" fontId="4" fillId="2" borderId="16" xfId="0" applyFont="1" applyFill="1" applyBorder="1"/>
    <xf numFmtId="0" fontId="30" fillId="0" borderId="24" xfId="0" applyFont="1" applyBorder="1" applyAlignment="1">
      <alignment horizontal="left"/>
    </xf>
    <xf numFmtId="0" fontId="4" fillId="2" borderId="0" xfId="0" applyFont="1" applyFill="1" applyProtection="1">
      <protection locked="0"/>
    </xf>
    <xf numFmtId="0" fontId="4" fillId="13" borderId="0" xfId="0" applyFont="1" applyFill="1"/>
    <xf numFmtId="0" fontId="53" fillId="13" borderId="0" xfId="0" quotePrefix="1" applyFont="1" applyFill="1"/>
    <xf numFmtId="0" fontId="52" fillId="13" borderId="0" xfId="0" applyFont="1" applyFill="1" applyAlignment="1">
      <alignment horizontal="center"/>
    </xf>
    <xf numFmtId="0" fontId="51" fillId="13" borderId="0" xfId="0" applyFont="1" applyFill="1"/>
    <xf numFmtId="0" fontId="86" fillId="28" borderId="0" xfId="0" applyFont="1" applyFill="1"/>
    <xf numFmtId="0" fontId="4" fillId="28" borderId="0" xfId="0" applyFont="1" applyFill="1"/>
    <xf numFmtId="0" fontId="86" fillId="28" borderId="0" xfId="0" applyFont="1" applyFill="1" applyAlignment="1">
      <alignment vertical="top"/>
    </xf>
    <xf numFmtId="0" fontId="4" fillId="28" borderId="0" xfId="0" applyFont="1" applyFill="1" applyAlignment="1">
      <alignment vertical="top"/>
    </xf>
    <xf numFmtId="0" fontId="4" fillId="2" borderId="0" xfId="0" applyFont="1" applyFill="1" applyAlignment="1">
      <alignment vertical="top"/>
    </xf>
    <xf numFmtId="0" fontId="13" fillId="28" borderId="0" xfId="0" applyFont="1" applyFill="1" applyAlignment="1">
      <alignment horizontal="right" vertical="center"/>
    </xf>
    <xf numFmtId="0" fontId="87" fillId="28" borderId="0" xfId="0" applyFont="1" applyFill="1" applyAlignment="1">
      <alignment vertical="top"/>
    </xf>
    <xf numFmtId="0" fontId="13" fillId="28" borderId="0" xfId="0" applyFont="1" applyFill="1" applyAlignment="1">
      <alignment vertical="top" wrapText="1"/>
    </xf>
    <xf numFmtId="0" fontId="88" fillId="28" borderId="0" xfId="0" applyFont="1" applyFill="1" applyAlignment="1">
      <alignment horizontal="centerContinuous" vertical="top"/>
    </xf>
    <xf numFmtId="0" fontId="88" fillId="2" borderId="0" xfId="0" applyFont="1" applyFill="1" applyAlignment="1">
      <alignment vertical="top"/>
    </xf>
    <xf numFmtId="0" fontId="86" fillId="2" borderId="0" xfId="0" applyFont="1" applyFill="1" applyAlignment="1">
      <alignment vertical="top"/>
    </xf>
    <xf numFmtId="14" fontId="0" fillId="0" borderId="0" xfId="0" applyNumberFormat="1"/>
    <xf numFmtId="0" fontId="89" fillId="28" borderId="0" xfId="0" applyFont="1" applyFill="1" applyAlignment="1">
      <alignment horizontal="center" vertical="top"/>
    </xf>
    <xf numFmtId="0" fontId="90" fillId="28" borderId="0" xfId="0" applyFont="1" applyFill="1" applyAlignment="1">
      <alignment horizontal="center" vertical="top"/>
    </xf>
    <xf numFmtId="0" fontId="8" fillId="28" borderId="0" xfId="0" applyFont="1" applyFill="1" applyAlignment="1">
      <alignment horizontal="center" vertical="top"/>
    </xf>
    <xf numFmtId="0" fontId="90" fillId="28" borderId="0" xfId="0" applyFont="1" applyFill="1" applyAlignment="1">
      <alignment horizontal="left" vertical="top"/>
    </xf>
    <xf numFmtId="0" fontId="90" fillId="28" borderId="0" xfId="0" applyFont="1" applyFill="1" applyAlignment="1">
      <alignment vertical="top"/>
    </xf>
    <xf numFmtId="0" fontId="21" fillId="28" borderId="0" xfId="0" applyFont="1" applyFill="1" applyAlignment="1">
      <alignment vertical="top"/>
    </xf>
    <xf numFmtId="0" fontId="82" fillId="28" borderId="0" xfId="0" applyFont="1" applyFill="1" applyAlignment="1">
      <alignment vertical="top"/>
    </xf>
    <xf numFmtId="0" fontId="91" fillId="28" borderId="0" xfId="0" applyFont="1" applyFill="1" applyAlignment="1">
      <alignment vertical="top"/>
    </xf>
    <xf numFmtId="0" fontId="12" fillId="28" borderId="0" xfId="0" applyFont="1" applyFill="1" applyAlignment="1">
      <alignment vertical="top"/>
    </xf>
    <xf numFmtId="0" fontId="41" fillId="28" borderId="0" xfId="0" applyFont="1" applyFill="1" applyAlignment="1">
      <alignment vertical="top"/>
    </xf>
    <xf numFmtId="0" fontId="92" fillId="28" borderId="0" xfId="0" applyFont="1" applyFill="1" applyAlignment="1">
      <alignment vertical="top"/>
    </xf>
    <xf numFmtId="0" fontId="82" fillId="28" borderId="0" xfId="0" applyFont="1" applyFill="1" applyAlignment="1">
      <alignment horizontal="right"/>
    </xf>
    <xf numFmtId="0" fontId="82" fillId="28" borderId="0" xfId="0" applyFont="1" applyFill="1"/>
    <xf numFmtId="0" fontId="13" fillId="28" borderId="0" xfId="0" applyFont="1" applyFill="1"/>
    <xf numFmtId="0" fontId="78" fillId="28" borderId="0" xfId="0" applyFont="1" applyFill="1" applyAlignment="1">
      <alignment horizontal="right"/>
    </xf>
    <xf numFmtId="0" fontId="82" fillId="28" borderId="0" xfId="0" applyFont="1" applyFill="1" applyAlignment="1">
      <alignment wrapText="1"/>
    </xf>
    <xf numFmtId="0" fontId="13" fillId="28" borderId="0" xfId="0" applyFont="1" applyFill="1" applyAlignment="1">
      <alignment horizontal="left"/>
    </xf>
    <xf numFmtId="0" fontId="93" fillId="0" borderId="0" xfId="0" applyFont="1" applyAlignment="1">
      <alignment vertical="center"/>
    </xf>
    <xf numFmtId="0" fontId="94" fillId="28" borderId="0" xfId="0" applyFont="1" applyFill="1" applyAlignment="1">
      <alignment vertical="center"/>
    </xf>
    <xf numFmtId="0" fontId="94" fillId="2" borderId="0" xfId="0" applyFont="1" applyFill="1" applyAlignment="1">
      <alignment vertical="center"/>
    </xf>
    <xf numFmtId="0" fontId="4" fillId="28" borderId="0" xfId="0" applyFont="1" applyFill="1" applyAlignment="1">
      <alignment vertical="center"/>
    </xf>
    <xf numFmtId="0" fontId="0" fillId="28" borderId="0" xfId="0" applyFill="1"/>
    <xf numFmtId="0" fontId="88" fillId="28" borderId="0" xfId="0" applyFont="1" applyFill="1" applyAlignment="1">
      <alignment vertical="top"/>
    </xf>
    <xf numFmtId="0" fontId="88" fillId="28" borderId="0" xfId="0" applyFont="1" applyFill="1" applyAlignment="1">
      <alignment horizontal="center" vertical="top"/>
    </xf>
    <xf numFmtId="0" fontId="88" fillId="2" borderId="0" xfId="0" applyFont="1" applyFill="1"/>
    <xf numFmtId="0" fontId="88" fillId="28" borderId="0" xfId="0" applyFont="1" applyFill="1"/>
    <xf numFmtId="0" fontId="0" fillId="0" borderId="0" xfId="0" applyAlignment="1">
      <alignment horizontal="center"/>
    </xf>
    <xf numFmtId="49" fontId="95" fillId="2" borderId="0" xfId="47" applyFont="1" applyFill="1">
      <alignment vertical="center"/>
    </xf>
    <xf numFmtId="0" fontId="37" fillId="2" borderId="0" xfId="46" applyFill="1">
      <alignment vertical="center"/>
    </xf>
    <xf numFmtId="0" fontId="96" fillId="2" borderId="0" xfId="46" applyFont="1" applyFill="1" applyAlignment="1">
      <alignment horizontal="justify" vertical="center" wrapText="1"/>
    </xf>
    <xf numFmtId="0" fontId="37" fillId="7" borderId="0" xfId="46" applyFill="1">
      <alignment vertical="center"/>
    </xf>
    <xf numFmtId="0" fontId="98" fillId="7" borderId="0" xfId="46" applyFont="1" applyFill="1">
      <alignment vertical="center"/>
    </xf>
    <xf numFmtId="49" fontId="37" fillId="10" borderId="0" xfId="47">
      <alignment vertical="center"/>
    </xf>
    <xf numFmtId="0" fontId="70" fillId="10" borderId="0" xfId="47" applyNumberFormat="1" applyFont="1" applyAlignment="1">
      <alignment horizontal="left" vertical="center"/>
    </xf>
    <xf numFmtId="49" fontId="3" fillId="30" borderId="213" xfId="0" applyNumberFormat="1" applyFont="1" applyFill="1" applyBorder="1" applyAlignment="1" applyProtection="1">
      <alignment vertical="center" wrapText="1"/>
      <protection locked="0"/>
    </xf>
    <xf numFmtId="0" fontId="100" fillId="3" borderId="34" xfId="2" applyFont="1" applyFill="1" applyBorder="1" applyAlignment="1" applyProtection="1">
      <alignment vertical="center"/>
    </xf>
    <xf numFmtId="0" fontId="100" fillId="3" borderId="23" xfId="2" applyFont="1" applyFill="1" applyBorder="1" applyAlignment="1" applyProtection="1">
      <alignment vertical="center"/>
    </xf>
    <xf numFmtId="0" fontId="10" fillId="9" borderId="86" xfId="2" applyFont="1" applyFill="1" applyBorder="1" applyAlignment="1" applyProtection="1">
      <alignment horizontal="center" vertical="center" wrapText="1"/>
    </xf>
    <xf numFmtId="0" fontId="101" fillId="0" borderId="47" xfId="0" applyFont="1" applyBorder="1" applyAlignment="1">
      <alignment horizontal="center"/>
    </xf>
    <xf numFmtId="0" fontId="2" fillId="6" borderId="86" xfId="0" applyFont="1" applyFill="1" applyBorder="1" applyAlignment="1">
      <alignment horizontal="center" vertical="center" wrapText="1"/>
    </xf>
    <xf numFmtId="0" fontId="10" fillId="9" borderId="46" xfId="2" applyFont="1" applyFill="1" applyBorder="1" applyAlignment="1" applyProtection="1">
      <alignment horizontal="center" vertical="center" wrapText="1"/>
    </xf>
    <xf numFmtId="0" fontId="2" fillId="6" borderId="66" xfId="0" applyFont="1" applyFill="1" applyBorder="1" applyAlignment="1">
      <alignment horizontal="center" vertical="center" wrapText="1"/>
    </xf>
    <xf numFmtId="0" fontId="2" fillId="6" borderId="182" xfId="0" applyFont="1" applyFill="1" applyBorder="1" applyAlignment="1">
      <alignment horizontal="center" vertical="center" wrapText="1"/>
    </xf>
    <xf numFmtId="0" fontId="9" fillId="4" borderId="34" xfId="2" applyFont="1" applyFill="1" applyBorder="1" applyAlignment="1" applyProtection="1">
      <alignment vertical="center"/>
    </xf>
    <xf numFmtId="0" fontId="9" fillId="4" borderId="23" xfId="2" applyFont="1" applyFill="1" applyBorder="1" applyAlignment="1" applyProtection="1">
      <alignment vertical="center"/>
    </xf>
    <xf numFmtId="0" fontId="9" fillId="4" borderId="22" xfId="2" applyFont="1" applyFill="1" applyBorder="1" applyAlignment="1" applyProtection="1">
      <alignment vertical="center"/>
    </xf>
    <xf numFmtId="0" fontId="8" fillId="3" borderId="19" xfId="2" applyFont="1" applyFill="1" applyBorder="1" applyAlignment="1" applyProtection="1">
      <alignment vertical="center"/>
    </xf>
    <xf numFmtId="0" fontId="8" fillId="3" borderId="18" xfId="2" applyFont="1" applyFill="1" applyBorder="1" applyAlignment="1" applyProtection="1">
      <alignment vertical="center"/>
    </xf>
    <xf numFmtId="0" fontId="4" fillId="3" borderId="23" xfId="2" applyFont="1" applyFill="1" applyBorder="1" applyAlignment="1" applyProtection="1">
      <alignment vertical="center"/>
    </xf>
    <xf numFmtId="0" fontId="4" fillId="3" borderId="22" xfId="2" applyFont="1" applyFill="1" applyBorder="1" applyAlignment="1" applyProtection="1">
      <alignment vertical="center"/>
    </xf>
    <xf numFmtId="0" fontId="4" fillId="0" borderId="215" xfId="0" applyFont="1" applyBorder="1" applyAlignment="1">
      <alignment vertical="top"/>
    </xf>
    <xf numFmtId="0" fontId="19" fillId="0" borderId="215" xfId="0" applyFont="1" applyBorder="1" applyAlignment="1">
      <alignment vertical="top"/>
    </xf>
    <xf numFmtId="0" fontId="4" fillId="7" borderId="215" xfId="0" applyFont="1" applyFill="1" applyBorder="1" applyAlignment="1">
      <alignment vertical="top"/>
    </xf>
    <xf numFmtId="0" fontId="19" fillId="0" borderId="216" xfId="0" applyFont="1" applyBorder="1" applyAlignment="1">
      <alignment vertical="top"/>
    </xf>
    <xf numFmtId="0" fontId="15" fillId="15" borderId="0" xfId="0" applyFont="1" applyFill="1" applyAlignment="1">
      <alignment vertical="center" wrapText="1"/>
    </xf>
    <xf numFmtId="0" fontId="15" fillId="15" borderId="207" xfId="0" applyFont="1" applyFill="1" applyBorder="1" applyAlignment="1">
      <alignment vertical="center" wrapText="1"/>
    </xf>
    <xf numFmtId="49" fontId="15" fillId="15" borderId="207" xfId="0" applyNumberFormat="1" applyFont="1" applyFill="1" applyBorder="1" applyAlignment="1">
      <alignment vertical="center" wrapText="1"/>
    </xf>
    <xf numFmtId="0" fontId="7" fillId="16" borderId="40" xfId="0" applyFont="1" applyFill="1" applyBorder="1" applyAlignment="1">
      <alignment horizontal="left" vertical="center" wrapText="1"/>
    </xf>
    <xf numFmtId="0" fontId="7" fillId="16" borderId="207" xfId="0" applyFont="1" applyFill="1" applyBorder="1" applyAlignment="1">
      <alignment horizontal="center" vertical="center" wrapText="1"/>
    </xf>
    <xf numFmtId="0" fontId="78" fillId="72" borderId="207" xfId="0" applyFont="1" applyFill="1" applyBorder="1" applyAlignment="1">
      <alignment horizontal="center" vertical="center" wrapText="1"/>
    </xf>
    <xf numFmtId="1" fontId="78" fillId="72" borderId="207" xfId="0" applyNumberFormat="1" applyFont="1" applyFill="1" applyBorder="1" applyAlignment="1">
      <alignment horizontal="center" vertical="center" wrapText="1"/>
    </xf>
    <xf numFmtId="0" fontId="7" fillId="17" borderId="40" xfId="0" applyFont="1" applyFill="1" applyBorder="1" applyAlignment="1">
      <alignment horizontal="center" vertical="center" wrapText="1"/>
    </xf>
    <xf numFmtId="0" fontId="7" fillId="17" borderId="108" xfId="0" applyFont="1" applyFill="1" applyBorder="1" applyAlignment="1">
      <alignment horizontal="center" vertical="center" wrapText="1"/>
    </xf>
    <xf numFmtId="0" fontId="7" fillId="18" borderId="207" xfId="0" applyFont="1" applyFill="1" applyBorder="1" applyAlignment="1">
      <alignment vertical="center" wrapText="1"/>
    </xf>
    <xf numFmtId="0" fontId="7" fillId="18" borderId="108" xfId="0" applyFont="1" applyFill="1" applyBorder="1" applyAlignment="1">
      <alignment vertical="center" wrapText="1"/>
    </xf>
    <xf numFmtId="0" fontId="7" fillId="9" borderId="108" xfId="0" applyFont="1" applyFill="1" applyBorder="1" applyAlignment="1">
      <alignment vertical="center" wrapText="1"/>
    </xf>
    <xf numFmtId="0" fontId="7" fillId="19" borderId="0" xfId="0" applyFont="1" applyFill="1" applyAlignment="1">
      <alignment vertical="center" wrapText="1"/>
    </xf>
    <xf numFmtId="0" fontId="7" fillId="19" borderId="40" xfId="0" applyFont="1" applyFill="1" applyBorder="1" applyAlignment="1">
      <alignment vertical="center" wrapText="1"/>
    </xf>
    <xf numFmtId="0" fontId="7" fillId="19" borderId="217" xfId="0" applyFont="1" applyFill="1" applyBorder="1" applyAlignment="1">
      <alignment vertical="center" wrapText="1"/>
    </xf>
    <xf numFmtId="0" fontId="7" fillId="14" borderId="0" xfId="0" applyFont="1" applyFill="1" applyAlignment="1">
      <alignment vertical="center" wrapText="1"/>
    </xf>
    <xf numFmtId="0" fontId="7" fillId="71" borderId="40" xfId="0" applyFont="1" applyFill="1" applyBorder="1" applyAlignment="1">
      <alignment vertical="center" wrapText="1"/>
    </xf>
    <xf numFmtId="0" fontId="3" fillId="2" borderId="199" xfId="0" applyFont="1" applyFill="1" applyBorder="1" applyAlignment="1">
      <alignment horizontal="right" vertical="center" wrapText="1" indent="3"/>
    </xf>
    <xf numFmtId="0" fontId="5" fillId="0" borderId="39" xfId="0" applyFont="1" applyBorder="1" applyAlignment="1">
      <alignment horizontal="right" wrapText="1" indent="3"/>
    </xf>
    <xf numFmtId="49" fontId="3" fillId="30" borderId="214" xfId="0" applyNumberFormat="1" applyFont="1" applyFill="1" applyBorder="1" applyAlignment="1" applyProtection="1">
      <alignment vertical="center" wrapText="1"/>
      <protection locked="0"/>
    </xf>
    <xf numFmtId="10" fontId="3" fillId="30" borderId="143" xfId="0" applyNumberFormat="1" applyFont="1" applyFill="1" applyBorder="1" applyAlignment="1" applyProtection="1">
      <alignment vertical="center" wrapText="1"/>
      <protection locked="0"/>
    </xf>
    <xf numFmtId="10" fontId="3" fillId="30" borderId="144" xfId="0" applyNumberFormat="1" applyFont="1" applyFill="1" applyBorder="1" applyAlignment="1" applyProtection="1">
      <alignment vertical="center" wrapText="1"/>
      <protection locked="0"/>
    </xf>
    <xf numFmtId="0" fontId="14" fillId="11" borderId="16" xfId="0" applyFont="1" applyFill="1" applyBorder="1" applyAlignment="1">
      <alignment vertical="center"/>
    </xf>
    <xf numFmtId="0" fontId="13" fillId="10" borderId="0" xfId="48" applyFont="1" applyProtection="1">
      <alignment vertical="center"/>
    </xf>
    <xf numFmtId="0" fontId="12" fillId="10" borderId="0" xfId="0" applyFont="1" applyFill="1" applyAlignment="1">
      <alignment vertical="center"/>
    </xf>
    <xf numFmtId="0" fontId="13" fillId="10" borderId="0" xfId="0" applyFont="1" applyFill="1" applyAlignment="1">
      <alignment vertical="center"/>
    </xf>
    <xf numFmtId="0" fontId="15" fillId="3" borderId="22" xfId="0" applyFont="1" applyFill="1" applyBorder="1" applyAlignment="1">
      <alignment vertical="center"/>
    </xf>
    <xf numFmtId="0" fontId="7" fillId="2" borderId="34" xfId="0" applyFont="1" applyFill="1" applyBorder="1" applyAlignment="1">
      <alignment horizontal="right" vertical="center" wrapText="1"/>
    </xf>
    <xf numFmtId="0" fontId="15" fillId="0" borderId="47" xfId="0" applyFont="1" applyBorder="1" applyAlignment="1">
      <alignment wrapText="1"/>
    </xf>
    <xf numFmtId="0" fontId="10" fillId="2" borderId="0" xfId="0" applyFont="1" applyFill="1"/>
    <xf numFmtId="0" fontId="15" fillId="21" borderId="86" xfId="0" applyFont="1" applyFill="1" applyBorder="1" applyAlignment="1">
      <alignment horizontal="center" vertical="center" wrapText="1"/>
    </xf>
    <xf numFmtId="0" fontId="15" fillId="5" borderId="117" xfId="0" applyFont="1" applyFill="1" applyBorder="1" applyAlignment="1">
      <alignment horizontal="center" vertical="center" wrapText="1"/>
    </xf>
    <xf numFmtId="0" fontId="15" fillId="5" borderId="118" xfId="0" applyFont="1" applyFill="1" applyBorder="1" applyAlignment="1">
      <alignment horizontal="center" vertical="center" wrapText="1"/>
    </xf>
    <xf numFmtId="0" fontId="15" fillId="5" borderId="133"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3" fillId="2" borderId="199" xfId="0" applyFont="1" applyFill="1" applyBorder="1" applyAlignment="1">
      <alignment horizontal="left" vertical="center" wrapText="1"/>
    </xf>
    <xf numFmtId="0" fontId="3" fillId="2" borderId="102" xfId="0" applyFont="1" applyFill="1" applyBorder="1" applyAlignment="1">
      <alignment horizontal="left" vertical="center" wrapText="1"/>
    </xf>
    <xf numFmtId="0" fontId="0" fillId="7" borderId="61" xfId="0" applyFill="1" applyBorder="1"/>
    <xf numFmtId="10" fontId="3" fillId="0" borderId="27" xfId="0" applyNumberFormat="1" applyFont="1" applyBorder="1" applyAlignment="1">
      <alignment vertical="center" wrapText="1"/>
    </xf>
    <xf numFmtId="10" fontId="3" fillId="0" borderId="26" xfId="0" applyNumberFormat="1" applyFont="1" applyBorder="1" applyAlignment="1">
      <alignment vertical="center" wrapText="1"/>
    </xf>
    <xf numFmtId="10" fontId="7" fillId="7" borderId="56" xfId="1" applyNumberFormat="1" applyFont="1" applyFill="1" applyBorder="1" applyAlignment="1" applyProtection="1">
      <alignment horizontal="right" vertical="center"/>
    </xf>
    <xf numFmtId="0" fontId="3" fillId="0" borderId="78" xfId="0" applyFont="1" applyBorder="1" applyAlignment="1">
      <alignment horizontal="left" vertical="center" wrapText="1"/>
    </xf>
    <xf numFmtId="0" fontId="3" fillId="0" borderId="79" xfId="0" applyFont="1" applyBorder="1" applyAlignment="1">
      <alignment horizontal="left" vertical="center" wrapText="1"/>
    </xf>
    <xf numFmtId="0" fontId="0" fillId="7" borderId="29" xfId="0" applyFill="1" applyBorder="1"/>
    <xf numFmtId="0" fontId="0" fillId="7" borderId="27" xfId="0" applyFill="1" applyBorder="1"/>
    <xf numFmtId="0" fontId="0" fillId="7" borderId="26" xfId="0" applyFill="1" applyBorder="1"/>
    <xf numFmtId="10" fontId="0" fillId="7" borderId="61" xfId="1" applyNumberFormat="1" applyFont="1" applyFill="1" applyBorder="1" applyProtection="1"/>
    <xf numFmtId="0" fontId="3" fillId="2" borderId="78" xfId="0" applyFont="1" applyFill="1" applyBorder="1" applyAlignment="1">
      <alignment horizontal="left" vertical="center" wrapText="1"/>
    </xf>
    <xf numFmtId="0" fontId="3" fillId="2" borderId="79" xfId="0" applyFont="1" applyFill="1" applyBorder="1" applyAlignment="1">
      <alignment horizontal="left" vertical="center" wrapText="1"/>
    </xf>
    <xf numFmtId="10" fontId="7" fillId="7" borderId="61" xfId="1" applyNumberFormat="1" applyFont="1" applyFill="1" applyBorder="1" applyAlignment="1" applyProtection="1">
      <alignment horizontal="right" vertical="center"/>
    </xf>
    <xf numFmtId="0" fontId="3" fillId="2" borderId="78" xfId="0" applyFont="1" applyFill="1" applyBorder="1"/>
    <xf numFmtId="0" fontId="3" fillId="2" borderId="79" xfId="0" applyFont="1" applyFill="1" applyBorder="1"/>
    <xf numFmtId="0" fontId="7" fillId="7" borderId="29" xfId="0" applyFont="1" applyFill="1" applyBorder="1" applyAlignment="1">
      <alignment horizontal="right" vertical="center"/>
    </xf>
    <xf numFmtId="0" fontId="7" fillId="7" borderId="27" xfId="0" applyFont="1" applyFill="1" applyBorder="1" applyAlignment="1">
      <alignment horizontal="right" vertical="center"/>
    </xf>
    <xf numFmtId="0" fontId="7" fillId="7" borderId="52" xfId="0" applyFont="1" applyFill="1" applyBorder="1" applyAlignment="1">
      <alignment horizontal="right" vertical="center"/>
    </xf>
    <xf numFmtId="10" fontId="7" fillId="7" borderId="79" xfId="1" applyNumberFormat="1" applyFont="1" applyFill="1" applyBorder="1" applyAlignment="1" applyProtection="1">
      <alignment horizontal="right" vertical="center"/>
    </xf>
    <xf numFmtId="164" fontId="3" fillId="0" borderId="61" xfId="0" applyNumberFormat="1" applyFont="1" applyBorder="1" applyAlignment="1">
      <alignment horizontal="right" vertical="center"/>
    </xf>
    <xf numFmtId="164" fontId="3" fillId="0" borderId="29" xfId="0" applyNumberFormat="1" applyFont="1" applyBorder="1" applyAlignment="1">
      <alignment horizontal="right" vertical="center"/>
    </xf>
    <xf numFmtId="164" fontId="3" fillId="0" borderId="27" xfId="0" applyNumberFormat="1" applyFont="1" applyBorder="1" applyAlignment="1">
      <alignment horizontal="right" vertical="center"/>
    </xf>
    <xf numFmtId="164" fontId="3" fillId="0" borderId="52" xfId="0" applyNumberFormat="1" applyFont="1" applyBorder="1" applyAlignment="1">
      <alignment horizontal="right" vertical="center"/>
    </xf>
    <xf numFmtId="164" fontId="0" fillId="0" borderId="0" xfId="0" applyNumberFormat="1"/>
    <xf numFmtId="10" fontId="3" fillId="0" borderId="29" xfId="0" applyNumberFormat="1" applyFont="1" applyBorder="1"/>
    <xf numFmtId="10" fontId="3" fillId="0" borderId="27" xfId="0" applyNumberFormat="1" applyFont="1" applyBorder="1"/>
    <xf numFmtId="10" fontId="3" fillId="0" borderId="52" xfId="0" applyNumberFormat="1" applyFont="1" applyBorder="1"/>
    <xf numFmtId="10" fontId="3" fillId="0" borderId="79" xfId="1" applyNumberFormat="1" applyFont="1" applyFill="1" applyBorder="1" applyProtection="1"/>
    <xf numFmtId="169" fontId="0" fillId="0" borderId="0" xfId="0" applyNumberFormat="1"/>
    <xf numFmtId="169" fontId="3" fillId="7" borderId="29" xfId="0" applyNumberFormat="1" applyFont="1" applyFill="1" applyBorder="1"/>
    <xf numFmtId="169" fontId="3" fillId="7" borderId="27" xfId="0" applyNumberFormat="1" applyFont="1" applyFill="1" applyBorder="1"/>
    <xf numFmtId="169" fontId="3" fillId="7" borderId="52" xfId="0" applyNumberFormat="1" applyFont="1" applyFill="1" applyBorder="1"/>
    <xf numFmtId="10" fontId="3" fillId="7" borderId="79" xfId="1" applyNumberFormat="1" applyFont="1" applyFill="1" applyBorder="1" applyProtection="1"/>
    <xf numFmtId="0" fontId="0" fillId="2" borderId="78" xfId="0" applyFill="1" applyBorder="1"/>
    <xf numFmtId="0" fontId="0" fillId="2" borderId="79" xfId="0" applyFill="1" applyBorder="1"/>
    <xf numFmtId="10" fontId="3" fillId="7" borderId="79" xfId="1" applyNumberFormat="1" applyFont="1" applyFill="1" applyBorder="1" applyAlignment="1" applyProtection="1">
      <alignment horizontal="right" vertical="center"/>
    </xf>
    <xf numFmtId="0" fontId="3" fillId="2" borderId="39" xfId="0" applyFont="1" applyFill="1" applyBorder="1" applyAlignment="1">
      <alignment horizontal="left" vertical="center" wrapText="1"/>
    </xf>
    <xf numFmtId="0" fontId="3" fillId="2" borderId="81" xfId="0" applyFont="1" applyFill="1" applyBorder="1" applyAlignment="1">
      <alignment horizontal="left" vertical="center" wrapText="1"/>
    </xf>
    <xf numFmtId="0" fontId="0" fillId="7" borderId="66" xfId="0" applyFill="1" applyBorder="1"/>
    <xf numFmtId="10" fontId="3" fillId="0" borderId="3" xfId="0" applyNumberFormat="1" applyFont="1" applyBorder="1"/>
    <xf numFmtId="10" fontId="3" fillId="0" borderId="2" xfId="0" applyNumberFormat="1" applyFont="1" applyBorder="1"/>
    <xf numFmtId="10" fontId="3" fillId="0" borderId="1" xfId="0" applyNumberFormat="1" applyFont="1" applyBorder="1"/>
    <xf numFmtId="10" fontId="3" fillId="0" borderId="81" xfId="1" applyNumberFormat="1" applyFont="1" applyFill="1" applyBorder="1" applyProtection="1"/>
    <xf numFmtId="0" fontId="0" fillId="3" borderId="23" xfId="0" applyFill="1" applyBorder="1" applyAlignment="1">
      <alignment vertical="center"/>
    </xf>
    <xf numFmtId="0" fontId="15" fillId="5" borderId="36" xfId="0" applyFont="1" applyFill="1" applyBorder="1" applyAlignment="1">
      <alignment horizontal="center" vertical="center" wrapText="1"/>
    </xf>
    <xf numFmtId="0" fontId="15" fillId="5" borderId="47"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6" borderId="47" xfId="0" applyFont="1" applyFill="1" applyBorder="1" applyAlignment="1">
      <alignment horizontal="center" vertical="center" wrapText="1"/>
    </xf>
    <xf numFmtId="0" fontId="3" fillId="0" borderId="40" xfId="0" applyFont="1" applyBorder="1"/>
    <xf numFmtId="172" fontId="3" fillId="7" borderId="24" xfId="4" applyNumberFormat="1" applyFont="1" applyFill="1" applyBorder="1" applyProtection="1"/>
    <xf numFmtId="172" fontId="3" fillId="7" borderId="31" xfId="4" applyNumberFormat="1" applyFont="1" applyFill="1" applyBorder="1" applyProtection="1"/>
    <xf numFmtId="172" fontId="3" fillId="7" borderId="14" xfId="4" applyNumberFormat="1" applyFont="1" applyFill="1" applyBorder="1" applyProtection="1"/>
    <xf numFmtId="172" fontId="3" fillId="7" borderId="13" xfId="4" applyNumberFormat="1" applyFont="1" applyFill="1" applyBorder="1" applyProtection="1"/>
    <xf numFmtId="172" fontId="7" fillId="7" borderId="31" xfId="4" applyNumberFormat="1" applyFont="1" applyFill="1" applyBorder="1" applyAlignment="1" applyProtection="1">
      <alignment horizontal="center" vertical="center"/>
    </xf>
    <xf numFmtId="172" fontId="3" fillId="7" borderId="11" xfId="4" applyNumberFormat="1" applyFont="1" applyFill="1" applyBorder="1" applyProtection="1"/>
    <xf numFmtId="10" fontId="3" fillId="7" borderId="17" xfId="1" applyNumberFormat="1" applyFont="1" applyFill="1" applyBorder="1" applyProtection="1"/>
    <xf numFmtId="170" fontId="0" fillId="0" borderId="0" xfId="0" applyNumberFormat="1"/>
    <xf numFmtId="172" fontId="3" fillId="7" borderId="80" xfId="4" applyNumberFormat="1" applyFont="1" applyFill="1" applyBorder="1" applyProtection="1"/>
    <xf numFmtId="172" fontId="3" fillId="7" borderId="12" xfId="4" applyNumberFormat="1" applyFont="1" applyFill="1" applyBorder="1" applyProtection="1"/>
    <xf numFmtId="172" fontId="3" fillId="7" borderId="10" xfId="4" applyNumberFormat="1" applyFont="1" applyFill="1" applyBorder="1" applyProtection="1"/>
    <xf numFmtId="172" fontId="3" fillId="7" borderId="21" xfId="4" applyNumberFormat="1" applyFont="1" applyFill="1" applyBorder="1" applyProtection="1"/>
    <xf numFmtId="10" fontId="3" fillId="7" borderId="10" xfId="1" applyNumberFormat="1" applyFont="1" applyFill="1" applyBorder="1" applyProtection="1"/>
    <xf numFmtId="171" fontId="0" fillId="0" borderId="0" xfId="0" applyNumberFormat="1"/>
    <xf numFmtId="172" fontId="3" fillId="7" borderId="29" xfId="4" applyNumberFormat="1" applyFont="1" applyFill="1" applyBorder="1" applyProtection="1"/>
    <xf numFmtId="172" fontId="3" fillId="7" borderId="78" xfId="4" applyNumberFormat="1" applyFont="1" applyFill="1" applyBorder="1" applyProtection="1"/>
    <xf numFmtId="172" fontId="3" fillId="7" borderId="92" xfId="4" applyNumberFormat="1" applyFont="1" applyFill="1" applyBorder="1" applyProtection="1"/>
    <xf numFmtId="172" fontId="3" fillId="7" borderId="27" xfId="4" applyNumberFormat="1" applyFont="1" applyFill="1" applyBorder="1" applyProtection="1"/>
    <xf numFmtId="10" fontId="3" fillId="7" borderId="52" xfId="1" applyNumberFormat="1" applyFont="1" applyFill="1" applyBorder="1" applyProtection="1"/>
    <xf numFmtId="0" fontId="3" fillId="0" borderId="36" xfId="0" applyFont="1" applyBorder="1"/>
    <xf numFmtId="0" fontId="3" fillId="0" borderId="47" xfId="0" applyFont="1" applyBorder="1"/>
    <xf numFmtId="172" fontId="3" fillId="7" borderId="86" xfId="4" applyNumberFormat="1" applyFont="1" applyFill="1" applyBorder="1" applyProtection="1"/>
    <xf numFmtId="172" fontId="3" fillId="7" borderId="117" xfId="4" applyNumberFormat="1" applyFont="1" applyFill="1" applyBorder="1" applyProtection="1"/>
    <xf numFmtId="172" fontId="3" fillId="7" borderId="118" xfId="4" applyNumberFormat="1" applyFont="1" applyFill="1" applyBorder="1" applyProtection="1"/>
    <xf numFmtId="172" fontId="3" fillId="7" borderId="133" xfId="4" applyNumberFormat="1" applyFont="1" applyFill="1" applyBorder="1" applyProtection="1"/>
    <xf numFmtId="172" fontId="3" fillId="7" borderId="141" xfId="4" applyNumberFormat="1" applyFont="1" applyFill="1" applyBorder="1" applyProtection="1"/>
    <xf numFmtId="10" fontId="3" fillId="7" borderId="133" xfId="1" applyNumberFormat="1" applyFont="1" applyFill="1" applyBorder="1" applyProtection="1"/>
    <xf numFmtId="0" fontId="15" fillId="21" borderId="53"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5" fillId="6" borderId="33"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3" fillId="0" borderId="78" xfId="0" applyFont="1" applyBorder="1"/>
    <xf numFmtId="0" fontId="3" fillId="0" borderId="92" xfId="0" applyFont="1" applyBorder="1"/>
    <xf numFmtId="172" fontId="7" fillId="7" borderId="31" xfId="4" applyNumberFormat="1" applyFont="1" applyFill="1" applyBorder="1" applyProtection="1"/>
    <xf numFmtId="10" fontId="3" fillId="7" borderId="13" xfId="1" applyNumberFormat="1" applyFont="1" applyFill="1" applyBorder="1" applyProtection="1"/>
    <xf numFmtId="172" fontId="3" fillId="7" borderId="52" xfId="4" applyNumberFormat="1" applyFont="1" applyFill="1" applyBorder="1" applyProtection="1"/>
    <xf numFmtId="172" fontId="3" fillId="7" borderId="28" xfId="4" applyNumberFormat="1" applyFont="1" applyFill="1" applyBorder="1" applyProtection="1"/>
    <xf numFmtId="0" fontId="3" fillId="0" borderId="39" xfId="0" applyFont="1" applyBorder="1"/>
    <xf numFmtId="0" fontId="3" fillId="0" borderId="96" xfId="0" applyFont="1" applyBorder="1"/>
    <xf numFmtId="172" fontId="3" fillId="7" borderId="3" xfId="4" applyNumberFormat="1" applyFont="1" applyFill="1" applyBorder="1" applyProtection="1"/>
    <xf numFmtId="172" fontId="3" fillId="7" borderId="2" xfId="4" applyNumberFormat="1" applyFont="1" applyFill="1" applyBorder="1" applyProtection="1"/>
    <xf numFmtId="172" fontId="3" fillId="7" borderId="1" xfId="4" applyNumberFormat="1" applyFont="1" applyFill="1" applyBorder="1" applyProtection="1"/>
    <xf numFmtId="172" fontId="3" fillId="7" borderId="20" xfId="4" applyNumberFormat="1" applyFont="1" applyFill="1" applyBorder="1" applyProtection="1"/>
    <xf numFmtId="10" fontId="3" fillId="7" borderId="1" xfId="1" applyNumberFormat="1" applyFont="1" applyFill="1" applyBorder="1" applyProtection="1"/>
    <xf numFmtId="0" fontId="3" fillId="2" borderId="0" xfId="0" applyFont="1" applyFill="1" applyAlignment="1">
      <alignment horizontal="left" vertical="center" wrapText="1"/>
    </xf>
    <xf numFmtId="165" fontId="3" fillId="30" borderId="13" xfId="0" applyNumberFormat="1" applyFont="1" applyFill="1" applyBorder="1" applyAlignment="1" applyProtection="1">
      <alignment vertical="center" wrapText="1"/>
      <protection locked="0"/>
    </xf>
    <xf numFmtId="165" fontId="3" fillId="30" borderId="1" xfId="0" applyNumberFormat="1" applyFont="1" applyFill="1" applyBorder="1" applyAlignment="1" applyProtection="1">
      <alignment vertical="center" wrapText="1"/>
      <protection locked="0"/>
    </xf>
    <xf numFmtId="10" fontId="3" fillId="30" borderId="29" xfId="0" applyNumberFormat="1" applyFont="1" applyFill="1" applyBorder="1" applyAlignment="1" applyProtection="1">
      <alignment vertical="center" wrapText="1"/>
      <protection locked="0"/>
    </xf>
    <xf numFmtId="0" fontId="4" fillId="28" borderId="0" xfId="0" applyFont="1" applyFill="1" applyAlignment="1" applyProtection="1">
      <alignment horizontal="left"/>
      <protection locked="0"/>
    </xf>
    <xf numFmtId="0" fontId="102" fillId="74" borderId="218" xfId="0" applyFont="1" applyFill="1" applyBorder="1" applyAlignment="1">
      <alignment vertical="center"/>
    </xf>
    <xf numFmtId="0" fontId="103" fillId="74" borderId="218" xfId="0" applyFont="1" applyFill="1" applyBorder="1" applyAlignment="1">
      <alignment vertical="center"/>
    </xf>
    <xf numFmtId="0" fontId="102" fillId="75" borderId="218" xfId="0" applyFont="1" applyFill="1" applyBorder="1" applyAlignment="1">
      <alignment vertical="center"/>
    </xf>
    <xf numFmtId="0" fontId="104" fillId="75" borderId="218" xfId="0" applyFont="1" applyFill="1" applyBorder="1" applyAlignment="1">
      <alignment vertical="center"/>
    </xf>
    <xf numFmtId="0" fontId="102" fillId="76" borderId="218" xfId="0" applyFont="1" applyFill="1" applyBorder="1" applyAlignment="1">
      <alignment vertical="center"/>
    </xf>
    <xf numFmtId="0" fontId="104" fillId="77" borderId="218" xfId="0" applyFont="1" applyFill="1" applyBorder="1" applyAlignment="1">
      <alignment vertical="center"/>
    </xf>
    <xf numFmtId="0" fontId="102" fillId="78" borderId="219" xfId="0" applyFont="1" applyFill="1" applyBorder="1" applyAlignment="1">
      <alignment vertical="center"/>
    </xf>
    <xf numFmtId="0" fontId="104" fillId="79" borderId="220" xfId="0" applyFont="1" applyFill="1" applyBorder="1" applyAlignment="1">
      <alignment vertical="center"/>
    </xf>
    <xf numFmtId="9" fontId="3" fillId="30" borderId="1" xfId="0" applyNumberFormat="1" applyFont="1" applyFill="1" applyBorder="1" applyAlignment="1" applyProtection="1">
      <alignment vertical="center" wrapText="1"/>
      <protection locked="0"/>
    </xf>
    <xf numFmtId="9" fontId="0" fillId="0" borderId="0" xfId="0" applyNumberFormat="1"/>
    <xf numFmtId="9" fontId="3" fillId="30" borderId="4" xfId="0" applyNumberFormat="1" applyFont="1" applyFill="1" applyBorder="1" applyAlignment="1" applyProtection="1">
      <alignment vertical="center" wrapText="1"/>
      <protection locked="0"/>
    </xf>
    <xf numFmtId="0" fontId="7" fillId="64" borderId="0" xfId="0" applyFont="1" applyFill="1" applyAlignment="1">
      <alignment horizontal="right" vertical="center" wrapText="1"/>
    </xf>
    <xf numFmtId="0" fontId="77" fillId="69" borderId="172" xfId="0" applyFont="1" applyFill="1" applyBorder="1" applyAlignment="1">
      <alignment horizontal="right" vertical="center" wrapText="1"/>
    </xf>
    <xf numFmtId="0" fontId="77" fillId="69" borderId="168" xfId="0" applyFont="1" applyFill="1" applyBorder="1" applyAlignment="1">
      <alignment horizontal="right" vertical="center" wrapText="1"/>
    </xf>
    <xf numFmtId="0" fontId="77" fillId="69" borderId="166" xfId="0" applyFont="1" applyFill="1" applyBorder="1" applyAlignment="1">
      <alignment horizontal="right" vertical="center" wrapText="1"/>
    </xf>
    <xf numFmtId="0" fontId="77" fillId="69" borderId="37" xfId="0" applyFont="1" applyFill="1" applyBorder="1" applyAlignment="1">
      <alignment horizontal="right" vertical="center" wrapText="1"/>
    </xf>
    <xf numFmtId="0" fontId="77" fillId="68" borderId="37" xfId="0" applyFont="1" applyFill="1" applyBorder="1" applyAlignment="1">
      <alignment horizontal="right" vertical="center" wrapText="1"/>
    </xf>
    <xf numFmtId="0" fontId="77" fillId="68" borderId="0" xfId="0" applyFont="1" applyFill="1" applyAlignment="1">
      <alignment horizontal="right" vertical="center" wrapText="1"/>
    </xf>
    <xf numFmtId="0" fontId="77" fillId="66" borderId="0" xfId="0" applyFont="1" applyFill="1" applyAlignment="1">
      <alignment horizontal="right" vertical="center"/>
    </xf>
    <xf numFmtId="0" fontId="77" fillId="66" borderId="37" xfId="0" applyFont="1" applyFill="1" applyBorder="1" applyAlignment="1">
      <alignment horizontal="right" vertical="center"/>
    </xf>
    <xf numFmtId="0" fontId="81" fillId="64" borderId="37" xfId="0" applyFont="1" applyFill="1" applyBorder="1" applyAlignment="1">
      <alignment horizontal="right" vertical="center" wrapText="1"/>
    </xf>
    <xf numFmtId="0" fontId="81" fillId="64" borderId="0" xfId="0" applyFont="1" applyFill="1" applyAlignment="1">
      <alignment horizontal="right" vertical="center" wrapText="1"/>
    </xf>
    <xf numFmtId="0" fontId="77" fillId="69" borderId="180" xfId="0" applyFont="1" applyFill="1" applyBorder="1" applyAlignment="1">
      <alignment horizontal="right" vertical="center" wrapText="1"/>
    </xf>
    <xf numFmtId="0" fontId="77" fillId="69" borderId="174" xfId="0" applyFont="1" applyFill="1" applyBorder="1" applyAlignment="1">
      <alignment horizontal="right" vertical="center" wrapText="1"/>
    </xf>
    <xf numFmtId="0" fontId="77" fillId="63" borderId="0" xfId="0" applyFont="1" applyFill="1" applyAlignment="1">
      <alignment horizontal="right" vertical="center" wrapText="1"/>
    </xf>
    <xf numFmtId="0" fontId="0" fillId="2" borderId="45" xfId="0" applyFill="1" applyBorder="1" applyAlignment="1">
      <alignment vertical="center"/>
    </xf>
    <xf numFmtId="0" fontId="0" fillId="2" borderId="46" xfId="0" applyFill="1" applyBorder="1" applyAlignment="1">
      <alignment vertical="center"/>
    </xf>
    <xf numFmtId="0" fontId="0" fillId="2" borderId="83" xfId="0" applyFill="1" applyBorder="1" applyAlignment="1">
      <alignment vertical="center"/>
    </xf>
    <xf numFmtId="0" fontId="0" fillId="0" borderId="0" xfId="0"/>
    <xf numFmtId="0" fontId="0" fillId="2" borderId="85" xfId="0" applyFill="1" applyBorder="1" applyAlignment="1">
      <alignment vertical="center"/>
    </xf>
    <xf numFmtId="0" fontId="4" fillId="21" borderId="34" xfId="0" applyFont="1" applyFill="1" applyBorder="1" applyAlignment="1">
      <alignment horizontal="left" vertical="top" wrapText="1"/>
    </xf>
    <xf numFmtId="0" fontId="4" fillId="21" borderId="23" xfId="0" applyFont="1" applyFill="1" applyBorder="1" applyAlignment="1">
      <alignment horizontal="left" vertical="top" wrapText="1"/>
    </xf>
    <xf numFmtId="0" fontId="9" fillId="3" borderId="16" xfId="0" applyFont="1" applyFill="1" applyBorder="1" applyAlignment="1">
      <alignment horizontal="center"/>
    </xf>
    <xf numFmtId="0" fontId="7" fillId="5" borderId="24" xfId="0" applyFont="1" applyFill="1" applyBorder="1" applyAlignment="1">
      <alignment horizontal="center"/>
    </xf>
    <xf numFmtId="0" fontId="7" fillId="5" borderId="16" xfId="0" applyFont="1" applyFill="1" applyBorder="1" applyAlignment="1">
      <alignment horizontal="center"/>
    </xf>
    <xf numFmtId="0" fontId="2" fillId="13" borderId="24" xfId="0" applyFont="1" applyFill="1" applyBorder="1" applyAlignment="1">
      <alignment horizontal="center"/>
    </xf>
    <xf numFmtId="0" fontId="2" fillId="13" borderId="16" xfId="0" applyFont="1" applyFill="1" applyBorder="1" applyAlignment="1">
      <alignment horizontal="center"/>
    </xf>
    <xf numFmtId="0" fontId="2" fillId="13" borderId="17" xfId="0" applyFont="1" applyFill="1" applyBorder="1" applyAlignment="1">
      <alignment horizontal="center"/>
    </xf>
    <xf numFmtId="0" fontId="7" fillId="14" borderId="45" xfId="0" applyFont="1" applyFill="1" applyBorder="1" applyAlignment="1">
      <alignment horizontal="center"/>
    </xf>
    <xf numFmtId="0" fontId="7" fillId="14" borderId="46" xfId="0" applyFont="1" applyFill="1" applyBorder="1" applyAlignment="1">
      <alignment horizontal="center"/>
    </xf>
    <xf numFmtId="0" fontId="7" fillId="14" borderId="86" xfId="0" applyFont="1" applyFill="1" applyBorder="1" applyAlignment="1">
      <alignment horizontal="center"/>
    </xf>
    <xf numFmtId="0" fontId="0" fillId="0" borderId="204" xfId="0" applyBorder="1" applyAlignment="1">
      <alignment horizontal="right" vertical="center" wrapText="1"/>
    </xf>
    <xf numFmtId="0" fontId="0" fillId="0" borderId="37" xfId="0" applyBorder="1" applyAlignment="1">
      <alignment horizontal="right" vertical="center" wrapText="1"/>
    </xf>
    <xf numFmtId="0" fontId="3" fillId="19" borderId="100" xfId="0" applyFont="1" applyFill="1" applyBorder="1" applyAlignment="1">
      <alignment horizontal="left" vertical="center" indent="4"/>
    </xf>
    <xf numFmtId="0" fontId="3" fillId="19" borderId="6" xfId="0" applyFont="1" applyFill="1" applyBorder="1" applyAlignment="1">
      <alignment horizontal="left" vertical="center" indent="4"/>
    </xf>
    <xf numFmtId="0" fontId="0" fillId="0" borderId="212" xfId="0" applyBorder="1" applyAlignment="1">
      <alignment horizontal="right" vertical="center"/>
    </xf>
    <xf numFmtId="0" fontId="0" fillId="0" borderId="207" xfId="0" applyBorder="1" applyAlignment="1">
      <alignment horizontal="right" vertical="center"/>
    </xf>
    <xf numFmtId="0" fontId="0" fillId="0" borderId="206" xfId="0" applyBorder="1" applyAlignment="1">
      <alignment horizontal="right" vertical="center"/>
    </xf>
    <xf numFmtId="0" fontId="8" fillId="5" borderId="0" xfId="0" applyFont="1" applyFill="1" applyAlignment="1" applyProtection="1">
      <alignment horizontal="left" wrapText="1"/>
      <protection locked="0"/>
    </xf>
    <xf numFmtId="0" fontId="8" fillId="5" borderId="37" xfId="0" applyFont="1" applyFill="1" applyBorder="1" applyAlignment="1" applyProtection="1">
      <alignment horizontal="left" wrapText="1"/>
      <protection locked="0"/>
    </xf>
    <xf numFmtId="0" fontId="3" fillId="8" borderId="0" xfId="0" applyFont="1" applyFill="1" applyAlignment="1" applyProtection="1">
      <alignment horizontal="left" vertical="top" wrapText="1"/>
      <protection locked="0"/>
    </xf>
    <xf numFmtId="0" fontId="0" fillId="0" borderId="209" xfId="0" applyBorder="1" applyAlignment="1">
      <alignment horizontal="right" vertical="center"/>
    </xf>
    <xf numFmtId="0" fontId="0" fillId="0" borderId="210" xfId="0" applyBorder="1" applyAlignment="1">
      <alignment horizontal="right" vertical="center"/>
    </xf>
    <xf numFmtId="0" fontId="0" fillId="0" borderId="91" xfId="0" applyBorder="1" applyAlignment="1">
      <alignment horizontal="right" vertical="center"/>
    </xf>
    <xf numFmtId="0" fontId="0" fillId="0" borderId="209" xfId="0" applyBorder="1" applyAlignment="1">
      <alignment horizontal="right" vertical="center" wrapText="1"/>
    </xf>
    <xf numFmtId="0" fontId="0" fillId="0" borderId="207" xfId="0" applyBorder="1" applyAlignment="1">
      <alignment horizontal="right" vertical="center" wrapText="1"/>
    </xf>
    <xf numFmtId="0" fontId="0" fillId="0" borderId="206" xfId="0" applyBorder="1" applyAlignment="1">
      <alignment horizontal="right" vertical="center" wrapText="1"/>
    </xf>
    <xf numFmtId="0" fontId="12" fillId="28" borderId="0" xfId="0" applyFont="1" applyFill="1" applyAlignment="1">
      <alignment horizontal="right" vertical="top"/>
    </xf>
    <xf numFmtId="0" fontId="8" fillId="3" borderId="0" xfId="0" applyFont="1" applyFill="1" applyAlignment="1">
      <alignment horizontal="left" vertical="top" indent="1"/>
    </xf>
    <xf numFmtId="0" fontId="12" fillId="28" borderId="0" xfId="0" applyFont="1" applyFill="1" applyAlignment="1">
      <alignment horizontal="right" vertical="top" wrapText="1"/>
    </xf>
    <xf numFmtId="0" fontId="4" fillId="8" borderId="0" xfId="0" applyFont="1" applyFill="1" applyAlignment="1" applyProtection="1">
      <alignment horizontal="left" vertical="top" indent="1"/>
      <protection locked="0"/>
    </xf>
    <xf numFmtId="14" fontId="8" fillId="8" borderId="0" xfId="0" quotePrefix="1" applyNumberFormat="1" applyFont="1" applyFill="1" applyAlignment="1" applyProtection="1">
      <alignment horizontal="left" vertical="top" indent="1"/>
      <protection locked="0"/>
    </xf>
    <xf numFmtId="14" fontId="8" fillId="8" borderId="0" xfId="0" applyNumberFormat="1" applyFont="1" applyFill="1" applyAlignment="1" applyProtection="1">
      <alignment horizontal="left" vertical="top" indent="1"/>
      <protection locked="0"/>
    </xf>
    <xf numFmtId="0" fontId="8" fillId="8" borderId="0" xfId="0" applyFont="1" applyFill="1" applyAlignment="1" applyProtection="1">
      <alignment horizontal="left" vertical="top" indent="1"/>
      <protection locked="0"/>
    </xf>
    <xf numFmtId="0" fontId="44" fillId="73" borderId="0" xfId="0" quotePrefix="1" applyFont="1" applyFill="1" applyAlignment="1">
      <alignment horizontal="center" vertical="center"/>
    </xf>
    <xf numFmtId="0" fontId="44" fillId="8" borderId="0" xfId="0" applyFont="1" applyFill="1" applyAlignment="1" applyProtection="1">
      <alignment horizontal="center" vertical="top"/>
      <protection locked="0"/>
    </xf>
    <xf numFmtId="0" fontId="44" fillId="3" borderId="0" xfId="0" applyFont="1" applyFill="1" applyAlignment="1">
      <alignment horizontal="center" vertical="top"/>
    </xf>
    <xf numFmtId="0" fontId="82" fillId="28" borderId="0" xfId="0" applyFont="1" applyFill="1" applyAlignment="1">
      <alignment horizontal="right"/>
    </xf>
    <xf numFmtId="0" fontId="4" fillId="3" borderId="0" xfId="0" quotePrefix="1" applyFont="1" applyFill="1" applyProtection="1">
      <protection locked="0"/>
    </xf>
    <xf numFmtId="175" fontId="4" fillId="3" borderId="0" xfId="0" quotePrefix="1" applyNumberFormat="1" applyFont="1" applyFill="1" applyAlignment="1" applyProtection="1">
      <alignment horizontal="left"/>
      <protection locked="0"/>
    </xf>
    <xf numFmtId="0" fontId="4" fillId="8" borderId="211" xfId="0" applyFont="1" applyFill="1" applyBorder="1" applyAlignment="1" applyProtection="1">
      <alignment horizontal="left"/>
      <protection locked="0"/>
    </xf>
    <xf numFmtId="0" fontId="4" fillId="8" borderId="5" xfId="0" applyFont="1" applyFill="1" applyBorder="1" applyAlignment="1" applyProtection="1">
      <alignment horizontal="left"/>
      <protection locked="0"/>
    </xf>
    <xf numFmtId="0" fontId="4" fillId="8" borderId="30" xfId="0" applyFont="1" applyFill="1" applyBorder="1" applyAlignment="1" applyProtection="1">
      <alignment horizontal="left"/>
      <protection locked="0"/>
    </xf>
    <xf numFmtId="0" fontId="4" fillId="8" borderId="0" xfId="0" applyFont="1" applyFill="1" applyAlignment="1" applyProtection="1">
      <alignment horizontal="left"/>
      <protection locked="0"/>
    </xf>
    <xf numFmtId="49" fontId="37" fillId="10" borderId="0" xfId="47" applyAlignment="1">
      <alignment horizontal="center" vertical="center"/>
    </xf>
    <xf numFmtId="0" fontId="37" fillId="4" borderId="0" xfId="46">
      <alignment vertical="center"/>
    </xf>
    <xf numFmtId="0" fontId="96" fillId="7" borderId="0" xfId="46" applyFont="1" applyFill="1" applyAlignment="1">
      <alignment horizontal="justify" vertical="center" wrapText="1"/>
    </xf>
    <xf numFmtId="49" fontId="95" fillId="10" borderId="0" xfId="47" applyFont="1" applyAlignment="1">
      <alignment horizontal="center" vertical="center"/>
    </xf>
    <xf numFmtId="0" fontId="82" fillId="28" borderId="0" xfId="0" applyFont="1" applyFill="1" applyAlignment="1">
      <alignment horizontal="right" vertical="center"/>
    </xf>
    <xf numFmtId="0" fontId="94" fillId="8" borderId="0" xfId="0" applyFont="1" applyFill="1" applyAlignment="1" applyProtection="1">
      <alignment vertical="center"/>
      <protection locked="0"/>
    </xf>
    <xf numFmtId="0" fontId="13" fillId="28" borderId="0" xfId="0" quotePrefix="1" applyFont="1" applyFill="1" applyAlignment="1">
      <alignment horizontal="right" vertical="center"/>
    </xf>
    <xf numFmtId="0" fontId="13" fillId="28" borderId="0" xfId="0" applyFont="1" applyFill="1" applyAlignment="1">
      <alignment horizontal="right" vertical="center"/>
    </xf>
    <xf numFmtId="166" fontId="94" fillId="3" borderId="0" xfId="0" applyNumberFormat="1" applyFont="1" applyFill="1" applyAlignment="1">
      <alignment horizontal="left" vertical="center" wrapText="1"/>
    </xf>
    <xf numFmtId="0" fontId="0" fillId="0" borderId="0" xfId="0" applyAlignment="1">
      <alignment horizontal="center"/>
    </xf>
    <xf numFmtId="0" fontId="15" fillId="0" borderId="47" xfId="0" applyFont="1" applyBorder="1" applyAlignment="1">
      <alignment horizontal="center" wrapText="1"/>
    </xf>
    <xf numFmtId="0" fontId="3" fillId="2" borderId="199" xfId="0" applyFont="1" applyFill="1" applyBorder="1" applyAlignment="1">
      <alignment horizontal="right" vertical="center" wrapText="1" indent="3"/>
    </xf>
    <xf numFmtId="0" fontId="3" fillId="2" borderId="211" xfId="0" applyFont="1" applyFill="1" applyBorder="1" applyAlignment="1">
      <alignment horizontal="right" vertical="center" wrapText="1" indent="3"/>
    </xf>
    <xf numFmtId="0" fontId="5" fillId="0" borderId="39" xfId="0" applyFont="1" applyBorder="1" applyAlignment="1">
      <alignment horizontal="right" wrapText="1" indent="3"/>
    </xf>
    <xf numFmtId="0" fontId="5" fillId="0" borderId="20" xfId="0" applyFont="1" applyBorder="1" applyAlignment="1">
      <alignment horizontal="right" wrapText="1" indent="3"/>
    </xf>
    <xf numFmtId="0" fontId="7" fillId="8" borderId="23" xfId="0" applyFont="1" applyFill="1" applyBorder="1" applyAlignment="1" applyProtection="1">
      <alignment horizontal="left" vertical="center" wrapText="1"/>
      <protection locked="0"/>
    </xf>
    <xf numFmtId="0" fontId="7" fillId="8" borderId="22" xfId="0" applyFont="1" applyFill="1" applyBorder="1" applyAlignment="1" applyProtection="1">
      <alignment horizontal="left" vertical="center" wrapText="1"/>
      <protection locked="0"/>
    </xf>
    <xf numFmtId="0" fontId="15" fillId="0" borderId="0" xfId="0" applyFont="1" applyAlignment="1">
      <alignment horizontal="center" wrapText="1"/>
    </xf>
    <xf numFmtId="0" fontId="0" fillId="0" borderId="47" xfId="0" applyBorder="1" applyAlignment="1">
      <alignment horizontal="center"/>
    </xf>
    <xf numFmtId="0" fontId="3" fillId="8" borderId="23" xfId="0" applyFont="1" applyFill="1" applyBorder="1" applyAlignment="1" applyProtection="1">
      <alignment horizontal="left" vertical="center" wrapText="1"/>
      <protection locked="0"/>
    </xf>
    <xf numFmtId="0" fontId="3" fillId="2" borderId="199" xfId="0" applyFont="1" applyFill="1" applyBorder="1" applyAlignment="1">
      <alignment horizontal="right" vertical="center" wrapText="1" indent="2"/>
    </xf>
    <xf numFmtId="0" fontId="3" fillId="2" borderId="211" xfId="0" applyFont="1" applyFill="1" applyBorder="1" applyAlignment="1">
      <alignment horizontal="right" vertical="center" wrapText="1" indent="2"/>
    </xf>
    <xf numFmtId="0" fontId="3" fillId="2" borderId="39" xfId="0" applyFont="1" applyFill="1" applyBorder="1" applyAlignment="1">
      <alignment horizontal="right" vertical="center" wrapText="1" indent="2"/>
    </xf>
    <xf numFmtId="0" fontId="3" fillId="2" borderId="20" xfId="0" applyFont="1" applyFill="1" applyBorder="1" applyAlignment="1">
      <alignment horizontal="right" vertical="center" wrapText="1" indent="2"/>
    </xf>
  </cellXfs>
  <cellStyles count="49">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Bad" xfId="11" builtinId="27" hidden="1"/>
    <cellStyle name="Calculation" xfId="15" builtinId="22" hidden="1"/>
    <cellStyle name="Check Cell" xfId="17" builtinId="23" hidden="1"/>
    <cellStyle name="Comma" xfId="4" builtinId="3"/>
    <cellStyle name="dms_H" xfId="46" xr:uid="{00000000-0005-0000-0000-00001C000000}"/>
    <cellStyle name="dms_TopHeader" xfId="47" xr:uid="{00000000-0005-0000-0000-00001D000000}"/>
    <cellStyle name="Explanatory Text" xfId="20" builtinId="53" hidden="1"/>
    <cellStyle name="Good" xfId="10" builtinId="26" hidden="1"/>
    <cellStyle name="Heading 1" xfId="6" builtinId="16" hidden="1"/>
    <cellStyle name="Heading 2" xfId="7" builtinId="17" hidden="1"/>
    <cellStyle name="Heading 3" xfId="8" builtinId="18" hidden="1"/>
    <cellStyle name="Heading 4" xfId="9" builtinId="19" hidden="1"/>
    <cellStyle name="Input" xfId="13" builtinId="20" hidden="1"/>
    <cellStyle name="Linked Cell" xfId="16" builtinId="24" hidden="1"/>
    <cellStyle name="Neutral" xfId="12" builtinId="28" hidden="1"/>
    <cellStyle name="Normal" xfId="0" builtinId="0"/>
    <cellStyle name="Normal 2" xfId="2" xr:uid="{00000000-0005-0000-0000-000028000000}"/>
    <cellStyle name="Note" xfId="19" builtinId="10" hidden="1"/>
    <cellStyle name="Output" xfId="14" builtinId="21" hidden="1"/>
    <cellStyle name="Percent" xfId="1" builtinId="5"/>
    <cellStyle name="TableLvl2" xfId="3" xr:uid="{00000000-0005-0000-0000-00002C000000}"/>
    <cellStyle name="TableLvl3" xfId="48" xr:uid="{00000000-0005-0000-0000-00002D000000}"/>
    <cellStyle name="Title" xfId="5" builtinId="15" hidden="1"/>
    <cellStyle name="Total" xfId="21" builtinId="25" hidden="1"/>
    <cellStyle name="Warning Text" xfId="18" builtinId="11" hidden="1"/>
  </cellStyles>
  <dxfs count="86">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ill>
        <patternFill>
          <bgColor rgb="FFFFFF00"/>
        </patternFill>
      </fill>
    </dxf>
    <dxf>
      <font>
        <b/>
        <i val="0"/>
        <color rgb="FFFF0000"/>
      </font>
    </dxf>
    <dxf>
      <font>
        <b/>
        <i val="0"/>
        <color theme="5"/>
      </font>
    </dxf>
    <dxf>
      <font>
        <b/>
        <i val="0"/>
        <color rgb="FFFF0000"/>
      </font>
    </dxf>
    <dxf>
      <font>
        <b/>
        <i val="0"/>
        <color rgb="FFFF0000"/>
      </font>
      <fill>
        <patternFill patternType="solid">
          <bgColor theme="0" tint="-0.24994659260841701"/>
        </patternFill>
      </fill>
    </dxf>
    <dxf>
      <font>
        <b/>
        <i val="0"/>
        <color rgb="FFFF0000"/>
      </font>
      <border>
        <vertical/>
        <horizontal/>
      </border>
    </dxf>
    <dxf>
      <font>
        <b/>
        <i val="0"/>
        <color rgb="FFFF0000"/>
      </font>
    </dxf>
    <dxf>
      <fill>
        <patternFill>
          <bgColor theme="6" tint="0.59996337778862885"/>
        </patternFill>
      </fill>
    </dxf>
    <dxf>
      <fill>
        <patternFill>
          <bgColor rgb="FFFFFF99"/>
        </patternFill>
      </fill>
    </dxf>
    <dxf>
      <font>
        <b val="0"/>
        <i val="0"/>
        <strike val="0"/>
        <condense val="0"/>
        <extend val="0"/>
        <outline val="0"/>
        <shadow val="0"/>
        <u val="none"/>
        <vertAlign val="baseline"/>
        <sz val="11"/>
        <color theme="8" tint="-0.249977111117893"/>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theme="4"/>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medium">
          <color indexed="64"/>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173" formatCode="0000"/>
      <fill>
        <patternFill patternType="none">
          <fgColor indexed="64"/>
          <bgColor indexed="65"/>
        </patternFill>
      </fill>
      <alignment horizontal="center"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173" formatCode="0000"/>
      <fill>
        <patternFill patternType="none">
          <fgColor indexed="64"/>
          <bgColor indexed="65"/>
        </patternFill>
      </fill>
      <alignment horizontal="center"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center" vertical="top" textRotation="0" wrapText="0" indent="0" justifyLastLine="0" shrinkToFit="0" readingOrder="0"/>
      <border diagonalUp="0" diagonalDown="0">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center"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center"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thin">
          <color theme="0" tint="-0.24994659260841701"/>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left style="medium">
          <color indexed="64"/>
        </left>
        <right/>
        <top style="thin">
          <color theme="0" tint="-0.24994659260841701"/>
        </top>
        <bottom/>
        <vertical/>
        <horizontal/>
      </border>
    </dxf>
    <dxf>
      <font>
        <b val="0"/>
        <i val="0"/>
        <strike val="0"/>
        <condense val="0"/>
        <extend val="0"/>
        <outline val="0"/>
        <shadow val="0"/>
        <u val="none"/>
        <vertAlign val="baseline"/>
        <sz val="10"/>
        <color auto="1"/>
        <name val="Arial"/>
        <scheme val="none"/>
      </font>
      <numFmt numFmtId="166" formatCode="##\ ###\ ###\ ###\ ##0"/>
      <fill>
        <patternFill patternType="none">
          <fgColor indexed="64"/>
          <bgColor indexed="65"/>
        </patternFill>
      </fill>
      <alignment horizontal="right" vertical="top" textRotation="0" wrapText="0" indent="1" justifyLastLine="0" shrinkToFit="0" readingOrder="0"/>
      <border diagonalUp="0" diagonalDown="0">
        <left style="thin">
          <color theme="0" tint="-0.34998626667073579"/>
        </left>
        <right/>
        <top style="thin">
          <color theme="0" tint="-0.34998626667073579"/>
        </top>
        <bottom/>
        <vertical/>
        <horizontal/>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style="medium">
          <color indexed="64"/>
        </left>
        <right/>
        <top style="thin">
          <color theme="0" tint="-0.34998626667073579"/>
        </top>
        <bottom/>
        <vertical/>
        <horizontal/>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right/>
        <top style="thin">
          <color theme="0" tint="-0.34998626667073579"/>
        </top>
        <bottom/>
        <vertical/>
        <horizontal/>
      </border>
    </dxf>
    <dxf>
      <border outline="0">
        <left style="medium">
          <color indexed="64"/>
        </left>
        <right style="medium">
          <color indexed="64"/>
        </right>
        <top style="medium">
          <color indexed="64"/>
        </top>
        <bottom style="medium">
          <color indexed="64"/>
        </bottom>
      </border>
    </dxf>
  </dxfs>
  <tableStyles count="1" defaultTableStyle="TableStyleMedium2" defaultPivotStyle="PivotStyleLight16">
    <tableStyle name="Invisible" pivot="0" table="0" count="0" xr9:uid="{AEE64D0B-2C37-416D-BE3B-789306F0ECE1}"/>
  </tableStyles>
  <colors>
    <mruColors>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customXml" Target="../customXml/item2.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externalLink" Target="externalLinks/externalLink1.xml" Id="rId6" /><Relationship Type="http://schemas.openxmlformats.org/officeDocument/2006/relationships/customXml" Target="../customXml/item1.xml" Id="rId11"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123826</xdr:colOff>
      <xdr:row>0</xdr:row>
      <xdr:rowOff>47064</xdr:rowOff>
    </xdr:from>
    <xdr:to>
      <xdr:col>0</xdr:col>
      <xdr:colOff>1082488</xdr:colOff>
      <xdr:row>3</xdr:row>
      <xdr:rowOff>63873</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123826" y="47064"/>
          <a:ext cx="958662" cy="924485"/>
          <a:chOff x="0" y="1560739"/>
          <a:chExt cx="762000" cy="931132"/>
        </a:xfrm>
      </xdr:grpSpPr>
      <xdr:pic>
        <xdr:nvPicPr>
          <xdr:cNvPr id="3" name="Picture 3" descr="item">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60739"/>
            <a:ext cx="762000" cy="489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AutoShape 4">
            <a:hlinkClick xmlns:r="http://schemas.openxmlformats.org/officeDocument/2006/relationships" r:id="rId2"/>
            <a:extLst>
              <a:ext uri="{FF2B5EF4-FFF2-40B4-BE49-F238E27FC236}">
                <a16:creationId xmlns:a16="http://schemas.microsoft.com/office/drawing/2014/main" id="{00000000-0008-0000-0400-000004000000}"/>
              </a:ext>
            </a:extLst>
          </xdr:cNvPr>
          <xdr:cNvSpPr>
            <a:spLocks noChangeArrowheads="1"/>
          </xdr:cNvSpPr>
        </xdr:nvSpPr>
        <xdr:spPr bwMode="auto">
          <a:xfrm>
            <a:off x="19050" y="2039711"/>
            <a:ext cx="736671" cy="23413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0" i="0" u="none" strike="noStrike" baseline="0">
                <a:solidFill>
                  <a:srgbClr val="000080"/>
                </a:solidFill>
                <a:latin typeface="Arial Black"/>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00000000-0008-0000-0400-000005000000}"/>
              </a:ext>
            </a:extLst>
          </xdr:cNvPr>
          <xdr:cNvSpPr>
            <a:spLocks noChangeArrowheads="1"/>
          </xdr:cNvSpPr>
        </xdr:nvSpPr>
        <xdr:spPr bwMode="auto">
          <a:xfrm>
            <a:off x="19050" y="2261507"/>
            <a:ext cx="736671" cy="23036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650" b="0" i="0" u="none" strike="noStrike" baseline="0">
                <a:solidFill>
                  <a:srgbClr val="000080"/>
                </a:solidFill>
                <a:latin typeface="Arial Black"/>
              </a:rPr>
              <a:t>Instructions</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Will%20Chivell\SA%20AA%2026\Demand\Models%20from%20Core\Final%20SA%20Demand%20Model%2025%2006%2025.xlsx" TargetMode="External"/><Relationship Id="rId1" Type="http://schemas.openxmlformats.org/officeDocument/2006/relationships/externalLinkPath" Target="file:///R:\Will%20Chivell\SA%20AA%2026\Demand\Models%20from%20Core\Final%20SA%20Demand%20Model%2025%2006%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
      <sheetName val="Cover"/>
      <sheetName val="Contents"/>
      <sheetName val="T1 AEMO GSOO Comparison"/>
      <sheetName val="T2 R&amp;C Assumptions"/>
      <sheetName val="T3 Summary Charts"/>
      <sheetName val="T4 Summary Table"/>
      <sheetName val="T5 Res History &amp; Forecast"/>
      <sheetName val="T6 Comm History &amp; Forecast"/>
      <sheetName val="T7 Ind History &amp; Forecast "/>
      <sheetName val="T8 Summary Hist Data"/>
      <sheetName val="RIN"/>
      <sheetName val="T9 Weather Norm'n 2009 to 2024 "/>
      <sheetName val="T10 Ind CONS and forecast"/>
      <sheetName val="T11 AMDQ Hist"/>
      <sheetName val="T 12CMDQ"/>
    </sheetNames>
    <sheetDataSet>
      <sheetData sheetId="0"/>
      <sheetData sheetId="1"/>
      <sheetData sheetId="2"/>
      <sheetData sheetId="3"/>
      <sheetData sheetId="4"/>
      <sheetData sheetId="5"/>
      <sheetData sheetId="6"/>
      <sheetData sheetId="7">
        <row r="57">
          <cell r="U57">
            <v>13.327610787801831</v>
          </cell>
        </row>
        <row r="62">
          <cell r="U62">
            <v>12.88779963180437</v>
          </cell>
        </row>
      </sheetData>
      <sheetData sheetId="8">
        <row r="26">
          <cell r="U26">
            <v>274.30262247613553</v>
          </cell>
        </row>
      </sheetData>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5:AK26" totalsRowShown="0" tableBorderDxfId="85">
  <autoFilter ref="B15:AK26" xr:uid="{00000000-0009-0000-0100-000001000000}">
    <filterColumn colId="3">
      <filters>
        <filter val="Vic"/>
      </filters>
    </filterColumn>
  </autoFilter>
  <sortState xmlns:xlrd2="http://schemas.microsoft.com/office/spreadsheetml/2017/richdata2" ref="B16:AK26">
    <sortCondition ref="B15:B26"/>
  </sortState>
  <tableColumns count="36">
    <tableColumn id="1" xr3:uid="{00000000-0010-0000-0000-000001000000}" name="dms_TradingName_List" dataDxfId="84"/>
    <tableColumn id="2" xr3:uid="{00000000-0010-0000-0000-000002000000}" name="dms_TradingNameFull_List" dataDxfId="83"/>
    <tableColumn id="3" xr3:uid="{00000000-0010-0000-0000-000003000000}" name="dms_ABN_List" dataDxfId="82"/>
    <tableColumn id="4" xr3:uid="{00000000-0010-0000-0000-000004000000}" name="dms_JurisdictionList" dataDxfId="81"/>
    <tableColumn id="5" xr3:uid="{00000000-0010-0000-0000-000005000000}" name="dms_Sector_List" dataDxfId="80"/>
    <tableColumn id="6" xr3:uid="{00000000-0010-0000-0000-000006000000}" name="dms_Segment_List" dataDxfId="79"/>
    <tableColumn id="7" xr3:uid="{00000000-0010-0000-0000-000007000000}" name="dms_FormControl_List" dataDxfId="78"/>
    <tableColumn id="8" xr3:uid="{00000000-0010-0000-0000-000008000000}" name="dms_RPT_List" dataDxfId="77"/>
    <tableColumn id="9" xr3:uid="{00000000-0010-0000-0000-000009000000}" name="dms_RPTMonth_List" dataDxfId="76"/>
    <tableColumn id="10" xr3:uid="{00000000-0010-0000-0000-00000A000000}" name="dms_CRCPlength_List" dataDxfId="75"/>
    <tableColumn id="11" xr3:uid="{00000000-0010-0000-0000-00000B000000}" name="dms_FRCPlength_List" dataDxfId="74"/>
    <tableColumn id="12" xr3:uid="{00000000-0010-0000-0000-00000C000000}" name="dms_PRCPlength_List" dataDxfId="73"/>
    <tableColumn id="13" xr3:uid="{00000000-0010-0000-0000-00000D000000}" name="dms_663_List" dataDxfId="72"/>
    <tableColumn id="14" xr3:uid="{00000000-0010-0000-0000-00000E000000}" name="dms_DeterminationRef_List" dataDxfId="71"/>
    <tableColumn id="15" xr3:uid="{00000000-0010-0000-0000-00000F000000}" name="dms_Addr1_List" dataDxfId="70"/>
    <tableColumn id="16" xr3:uid="{00000000-0010-0000-0000-000010000000}" name="dms_Addr2_List" dataDxfId="69"/>
    <tableColumn id="17" xr3:uid="{00000000-0010-0000-0000-000011000000}" name="dms_Suburb_List" dataDxfId="68"/>
    <tableColumn id="18" xr3:uid="{00000000-0010-0000-0000-000012000000}" name="dms_State_List" dataDxfId="67"/>
    <tableColumn id="19" xr3:uid="{00000000-0010-0000-0000-000013000000}" name="dms_PostCode_List" dataDxfId="66"/>
    <tableColumn id="20" xr3:uid="{00000000-0010-0000-0000-000014000000}" name="dms_PAddr1_List" dataDxfId="65"/>
    <tableColumn id="21" xr3:uid="{00000000-0010-0000-0000-000015000000}" name="dms_PAddr2_List" dataDxfId="64"/>
    <tableColumn id="22" xr3:uid="{00000000-0010-0000-0000-000016000000}" name="dms_PSuburb_List" dataDxfId="63"/>
    <tableColumn id="23" xr3:uid="{00000000-0010-0000-0000-000017000000}" name="dms_PState_List" dataDxfId="62"/>
    <tableColumn id="24" xr3:uid="{00000000-0010-0000-0000-000018000000}" name="dms_PPostCode_List" dataDxfId="61"/>
    <tableColumn id="25" xr3:uid="{00000000-0010-0000-0000-000019000000}" name="dms_CBD_flag" dataDxfId="60"/>
    <tableColumn id="26" xr3:uid="{00000000-0010-0000-0000-00001A000000}" name="dms_Urban_flag" dataDxfId="59"/>
    <tableColumn id="27" xr3:uid="{00000000-0010-0000-0000-00001B000000}" name="dms_ShortRural_flag" dataDxfId="58"/>
    <tableColumn id="28" xr3:uid="{00000000-0010-0000-0000-00001C000000}" name="dms_LongRural_flag" dataDxfId="57"/>
    <tableColumn id="29" xr3:uid="{00000000-0010-0000-0000-00001D000000}" name="dms_FeederType_5_flag" dataDxfId="56"/>
    <tableColumn id="30" xr3:uid="{00000000-0010-0000-0000-00001E000000}" name="dms_FeederName_1" dataDxfId="55"/>
    <tableColumn id="31" xr3:uid="{00000000-0010-0000-0000-00001F000000}" name="dms_FeederName_2" dataDxfId="54"/>
    <tableColumn id="32" xr3:uid="{00000000-0010-0000-0000-000020000000}" name="dms_FeederName_3" dataDxfId="53"/>
    <tableColumn id="33" xr3:uid="{00000000-0010-0000-0000-000021000000}" name="dms_FeederName_4" dataDxfId="52"/>
    <tableColumn id="34" xr3:uid="{00000000-0010-0000-0000-000022000000}" name="dms_FeederName_5" dataDxfId="51"/>
    <tableColumn id="35" xr3:uid="{00000000-0010-0000-0000-000023000000}" name="dms_Public_Lighting_List" dataDxfId="50"/>
    <tableColumn id="36" xr3:uid="{00000000-0010-0000-0000-000024000000}" name="Name" dataDxfId="49">
      <calculatedColumnFormula>B16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7" tint="-0.249977111117893"/>
  </sheetPr>
  <dimension ref="B1:CK237"/>
  <sheetViews>
    <sheetView showGridLines="0" zoomScale="85" zoomScaleNormal="85" workbookViewId="0">
      <selection activeCell="BV46" sqref="BV46:CC46"/>
    </sheetView>
  </sheetViews>
  <sheetFormatPr defaultRowHeight="15" x14ac:dyDescent="0.25"/>
  <cols>
    <col min="2" max="2" width="47.28515625" bestFit="1" customWidth="1"/>
    <col min="3" max="3" width="40.7109375" customWidth="1"/>
    <col min="4" max="4" width="31.42578125" bestFit="1" customWidth="1"/>
    <col min="5" max="5" width="33.140625" bestFit="1" customWidth="1"/>
    <col min="6" max="6" width="43.140625" customWidth="1"/>
    <col min="7" max="7" width="38.7109375" customWidth="1"/>
    <col min="8" max="8" width="24.28515625" customWidth="1"/>
    <col min="9" max="9" width="28.140625" customWidth="1"/>
    <col min="10" max="10" width="29" customWidth="1"/>
    <col min="11" max="11" width="23.7109375" customWidth="1"/>
    <col min="12" max="13" width="28.28515625" customWidth="1"/>
    <col min="14" max="14" width="24.5703125" bestFit="1" customWidth="1"/>
    <col min="15" max="15" width="33" customWidth="1"/>
    <col min="16" max="16" width="47" customWidth="1"/>
    <col min="17" max="17" width="40.140625" customWidth="1"/>
    <col min="18" max="18" width="24.85546875" bestFit="1" customWidth="1"/>
    <col min="19" max="19" width="22.7109375" bestFit="1" customWidth="1"/>
    <col min="20" max="20" width="22" bestFit="1" customWidth="1"/>
    <col min="23" max="23" width="9.140625" customWidth="1"/>
  </cols>
  <sheetData>
    <row r="1" spans="2:28" ht="51" customHeight="1" x14ac:dyDescent="0.25">
      <c r="B1" s="22" t="s">
        <v>0</v>
      </c>
      <c r="C1" s="21"/>
      <c r="D1" s="21"/>
      <c r="E1" s="21"/>
      <c r="F1" s="21"/>
      <c r="G1" s="21"/>
      <c r="H1" s="21"/>
      <c r="I1" s="21"/>
      <c r="J1" s="21"/>
      <c r="K1" s="21"/>
      <c r="L1" s="21"/>
      <c r="M1" s="21"/>
      <c r="N1" s="21"/>
    </row>
    <row r="2" spans="2:28" ht="30" customHeight="1" x14ac:dyDescent="0.25"/>
    <row r="3" spans="2:28" ht="28.5" x14ac:dyDescent="0.45">
      <c r="B3" s="288" t="s">
        <v>1</v>
      </c>
      <c r="C3" s="288"/>
      <c r="D3" s="288"/>
      <c r="E3" s="288"/>
      <c r="F3" s="288"/>
      <c r="G3" s="288"/>
      <c r="H3" s="288"/>
      <c r="I3" s="288"/>
      <c r="J3" s="288"/>
      <c r="K3" s="288"/>
      <c r="L3" s="288"/>
      <c r="M3" s="288"/>
      <c r="N3" s="288"/>
    </row>
    <row r="4" spans="2:28" ht="30" customHeight="1" thickBot="1" x14ac:dyDescent="0.3"/>
    <row r="5" spans="2:28" ht="29.25" customHeight="1" x14ac:dyDescent="0.25">
      <c r="B5" s="1000" t="s">
        <v>2</v>
      </c>
      <c r="C5" s="278" t="s">
        <v>3</v>
      </c>
      <c r="D5" s="278" t="s">
        <v>4</v>
      </c>
      <c r="E5" s="59"/>
      <c r="W5" s="23"/>
      <c r="X5" s="23"/>
      <c r="AA5" s="4"/>
      <c r="AB5" s="4"/>
    </row>
    <row r="6" spans="2:28" ht="15" customHeight="1" x14ac:dyDescent="0.25">
      <c r="B6" s="1000"/>
      <c r="C6" s="287" t="s">
        <v>5</v>
      </c>
      <c r="D6" s="287" t="s">
        <v>5</v>
      </c>
      <c r="E6" s="59"/>
      <c r="W6" s="23"/>
      <c r="X6" s="23"/>
      <c r="AA6" s="4"/>
      <c r="AB6" s="4"/>
    </row>
    <row r="7" spans="2:28" ht="15" customHeight="1" x14ac:dyDescent="0.25">
      <c r="B7" s="1000"/>
      <c r="C7" s="286" t="s">
        <v>6</v>
      </c>
      <c r="D7" s="285" t="s">
        <v>7</v>
      </c>
      <c r="E7" s="26"/>
      <c r="S7" s="23"/>
      <c r="T7" s="23"/>
      <c r="U7" s="23"/>
      <c r="V7" s="23"/>
      <c r="W7" s="23"/>
      <c r="X7" s="23"/>
    </row>
    <row r="8" spans="2:28" ht="15" customHeight="1" x14ac:dyDescent="0.25">
      <c r="B8" s="1000"/>
      <c r="C8" s="284" t="s">
        <v>8</v>
      </c>
      <c r="D8" s="273" t="s">
        <v>9</v>
      </c>
      <c r="E8" s="26"/>
      <c r="S8" s="23"/>
      <c r="T8" s="23"/>
      <c r="U8" s="23"/>
      <c r="V8" s="23"/>
      <c r="W8" s="23"/>
      <c r="X8" s="23"/>
    </row>
    <row r="9" spans="2:28" ht="15" customHeight="1" x14ac:dyDescent="0.25">
      <c r="B9" s="1000"/>
      <c r="C9" s="284" t="s">
        <v>10</v>
      </c>
      <c r="D9" s="283"/>
      <c r="E9" s="26"/>
      <c r="S9" s="23"/>
      <c r="T9" s="23"/>
      <c r="U9" s="23"/>
      <c r="V9" s="23"/>
      <c r="W9" s="23"/>
      <c r="X9" s="23"/>
    </row>
    <row r="10" spans="2:28" ht="15.75" customHeight="1" thickBot="1" x14ac:dyDescent="0.3">
      <c r="B10" s="1000"/>
      <c r="C10" s="282"/>
      <c r="D10" s="281"/>
      <c r="E10" s="26"/>
      <c r="S10" s="23"/>
      <c r="T10" s="23"/>
      <c r="U10" s="23"/>
      <c r="V10" s="23"/>
      <c r="W10" s="23"/>
      <c r="X10" s="23"/>
    </row>
    <row r="11" spans="2:28" ht="15.75" thickBot="1" x14ac:dyDescent="0.3">
      <c r="B11" s="1000"/>
      <c r="C11" s="9"/>
      <c r="D11" s="280"/>
      <c r="E11" s="26"/>
      <c r="S11" s="23"/>
      <c r="T11" s="23"/>
      <c r="U11" s="23"/>
      <c r="V11" s="23"/>
      <c r="W11" s="23"/>
      <c r="X11" s="23"/>
    </row>
    <row r="12" spans="2:28" ht="86.25" thickBot="1" x14ac:dyDescent="0.3">
      <c r="B12" s="1000"/>
      <c r="C12" s="279" t="s">
        <v>11</v>
      </c>
      <c r="D12" s="279" t="s">
        <v>12</v>
      </c>
      <c r="S12" s="23"/>
      <c r="T12" s="23"/>
      <c r="U12" s="23"/>
      <c r="V12" s="23"/>
      <c r="W12" s="23"/>
      <c r="X12" s="23"/>
    </row>
    <row r="13" spans="2:28" ht="24" customHeight="1" thickBot="1" x14ac:dyDescent="0.3">
      <c r="B13" s="1000"/>
      <c r="C13" s="278" t="s">
        <v>13</v>
      </c>
      <c r="D13" s="278" t="s">
        <v>14</v>
      </c>
      <c r="G13" s="26"/>
      <c r="H13" s="19"/>
      <c r="S13" s="23"/>
      <c r="T13" s="23"/>
      <c r="U13" s="23"/>
      <c r="V13" s="23"/>
      <c r="W13" s="23"/>
      <c r="X13" s="23"/>
    </row>
    <row r="14" spans="2:28" x14ac:dyDescent="0.25">
      <c r="B14" s="1000"/>
      <c r="C14" s="277" t="s">
        <v>5</v>
      </c>
      <c r="D14" s="276" t="s">
        <v>15</v>
      </c>
      <c r="G14" s="26"/>
      <c r="S14" s="23"/>
      <c r="T14" s="23"/>
      <c r="U14" s="23"/>
      <c r="V14" s="23"/>
      <c r="W14" s="23"/>
      <c r="X14" s="23"/>
    </row>
    <row r="15" spans="2:28" x14ac:dyDescent="0.25">
      <c r="B15" s="1000"/>
      <c r="C15" s="273" t="s">
        <v>16</v>
      </c>
      <c r="D15" s="275" t="s">
        <v>17</v>
      </c>
      <c r="H15" s="19"/>
      <c r="S15" s="23"/>
      <c r="T15" s="23"/>
      <c r="U15" s="23"/>
      <c r="V15" s="23"/>
      <c r="W15" s="23"/>
      <c r="X15" s="23"/>
    </row>
    <row r="16" spans="2:28" ht="15.75" thickBot="1" x14ac:dyDescent="0.3">
      <c r="B16" s="1000"/>
      <c r="C16" s="273" t="s">
        <v>18</v>
      </c>
      <c r="D16" s="274" t="s">
        <v>19</v>
      </c>
      <c r="H16" s="19"/>
      <c r="S16" s="23"/>
      <c r="T16" s="23"/>
      <c r="U16" s="23"/>
      <c r="V16" s="23"/>
      <c r="W16" s="23"/>
      <c r="X16" s="23"/>
    </row>
    <row r="17" spans="2:89" x14ac:dyDescent="0.25">
      <c r="B17" s="1000"/>
      <c r="C17" s="273" t="s">
        <v>20</v>
      </c>
      <c r="H17" s="19"/>
      <c r="S17" s="23"/>
      <c r="T17" s="23"/>
      <c r="U17" s="23"/>
      <c r="V17" s="23"/>
      <c r="W17" s="23"/>
      <c r="X17" s="23"/>
    </row>
    <row r="18" spans="2:89" x14ac:dyDescent="0.25">
      <c r="B18" s="1000"/>
      <c r="C18" s="273" t="s">
        <v>21</v>
      </c>
      <c r="D18" s="9"/>
      <c r="S18" s="23"/>
      <c r="T18" s="23"/>
      <c r="U18" s="23"/>
      <c r="V18" s="23"/>
      <c r="W18" s="23"/>
      <c r="X18" s="23"/>
    </row>
    <row r="19" spans="2:89" x14ac:dyDescent="0.25">
      <c r="B19" s="1000"/>
      <c r="C19" s="273" t="s">
        <v>22</v>
      </c>
      <c r="D19" s="9"/>
      <c r="S19" s="23"/>
      <c r="T19" s="23"/>
      <c r="U19" s="23"/>
      <c r="V19" s="23"/>
      <c r="W19" s="23"/>
      <c r="X19" s="23"/>
    </row>
    <row r="20" spans="2:89" x14ac:dyDescent="0.25">
      <c r="B20" s="1000"/>
      <c r="C20" s="273" t="s">
        <v>23</v>
      </c>
      <c r="D20" s="9"/>
      <c r="J20" s="9"/>
      <c r="L20" s="24"/>
      <c r="O20" s="23"/>
      <c r="P20" s="23"/>
      <c r="Q20" s="23"/>
      <c r="R20" s="23"/>
      <c r="S20" s="23"/>
      <c r="T20" s="23"/>
      <c r="U20" s="23"/>
      <c r="V20" s="23"/>
      <c r="W20" s="23"/>
      <c r="X20" s="23"/>
    </row>
    <row r="21" spans="2:89" x14ac:dyDescent="0.25">
      <c r="B21" s="1000"/>
      <c r="C21" s="273" t="s">
        <v>24</v>
      </c>
      <c r="D21" s="9"/>
      <c r="J21" s="9"/>
      <c r="L21" s="24"/>
      <c r="O21" s="23"/>
      <c r="P21" s="23"/>
      <c r="Q21" s="23"/>
      <c r="R21" s="23"/>
      <c r="S21" s="23"/>
      <c r="T21" s="23"/>
      <c r="U21" s="23"/>
      <c r="V21" s="23"/>
      <c r="W21" s="23"/>
      <c r="X21" s="23"/>
    </row>
    <row r="22" spans="2:89" x14ac:dyDescent="0.25">
      <c r="B22" s="1000"/>
      <c r="C22" s="273" t="s">
        <v>25</v>
      </c>
      <c r="D22" s="9"/>
      <c r="J22" s="9"/>
      <c r="L22" s="24"/>
      <c r="O22" s="23"/>
      <c r="P22" s="23"/>
      <c r="Q22" s="23"/>
      <c r="R22" s="23"/>
      <c r="S22" s="23"/>
      <c r="T22" s="23"/>
      <c r="U22" s="23"/>
      <c r="V22" s="23"/>
      <c r="W22" s="23"/>
    </row>
    <row r="23" spans="2:89" x14ac:dyDescent="0.25">
      <c r="B23" s="1000"/>
      <c r="C23" s="273" t="s">
        <v>26</v>
      </c>
      <c r="D23" s="9"/>
      <c r="J23" s="9"/>
      <c r="L23" s="24"/>
      <c r="O23" s="23"/>
      <c r="P23" s="23"/>
      <c r="Q23" s="23"/>
      <c r="R23" s="23"/>
      <c r="S23" s="23"/>
      <c r="T23" s="23"/>
      <c r="U23" s="23"/>
      <c r="V23" s="23"/>
      <c r="W23" s="23"/>
    </row>
    <row r="24" spans="2:89" x14ac:dyDescent="0.25">
      <c r="B24" s="1000"/>
      <c r="C24" s="273" t="s">
        <v>27</v>
      </c>
      <c r="D24" s="9"/>
      <c r="J24" s="9"/>
      <c r="L24" s="24"/>
      <c r="O24" s="23"/>
      <c r="P24" s="23"/>
      <c r="Q24" s="23"/>
      <c r="R24" s="23"/>
      <c r="S24" s="23"/>
      <c r="T24" s="23"/>
      <c r="U24" s="23"/>
      <c r="V24" s="23"/>
      <c r="W24" s="23"/>
    </row>
    <row r="25" spans="2:89" x14ac:dyDescent="0.25">
      <c r="B25" s="1000"/>
      <c r="C25" s="273" t="s">
        <v>28</v>
      </c>
      <c r="D25" s="9"/>
      <c r="G25" s="26"/>
      <c r="J25" s="9"/>
      <c r="L25" s="24"/>
      <c r="O25" s="23"/>
      <c r="P25" s="23"/>
      <c r="Q25" s="23"/>
      <c r="R25" s="23"/>
      <c r="S25" s="23"/>
      <c r="T25" s="23"/>
      <c r="U25" s="23"/>
      <c r="V25" s="23"/>
      <c r="W25" s="23"/>
    </row>
    <row r="26" spans="2:89" x14ac:dyDescent="0.25">
      <c r="B26" s="1000"/>
      <c r="C26" s="273" t="s">
        <v>29</v>
      </c>
      <c r="D26" s="9"/>
      <c r="G26" s="26"/>
      <c r="J26" s="9"/>
      <c r="L26" s="24"/>
      <c r="O26" s="23"/>
      <c r="P26" s="23"/>
      <c r="Q26" s="23"/>
      <c r="R26" s="23"/>
      <c r="S26" s="23"/>
      <c r="T26" s="23"/>
      <c r="U26" s="23"/>
      <c r="V26" s="23"/>
      <c r="W26" s="23"/>
    </row>
    <row r="27" spans="2:89" ht="15.75" thickBot="1" x14ac:dyDescent="0.3">
      <c r="B27" s="1000"/>
      <c r="C27" s="272" t="s">
        <v>30</v>
      </c>
      <c r="D27" s="9"/>
      <c r="G27" s="26"/>
      <c r="J27" s="9"/>
      <c r="L27" s="24"/>
      <c r="O27" s="23"/>
      <c r="P27" s="23"/>
      <c r="Q27" s="23"/>
      <c r="R27" s="23"/>
      <c r="S27" s="23"/>
      <c r="T27" s="23"/>
      <c r="U27" s="23"/>
      <c r="V27" s="23"/>
      <c r="W27" s="23"/>
    </row>
    <row r="28" spans="2:89" ht="15" customHeight="1" x14ac:dyDescent="0.45">
      <c r="B28" s="86"/>
      <c r="G28" s="26"/>
      <c r="I28" s="19"/>
      <c r="J28" s="9"/>
      <c r="K28" s="19"/>
      <c r="L28" s="24"/>
      <c r="O28" s="23"/>
      <c r="P28" s="23"/>
      <c r="Q28" s="23"/>
      <c r="R28" s="23"/>
      <c r="S28" s="23"/>
      <c r="T28" s="23"/>
      <c r="U28" s="23"/>
      <c r="V28" s="23"/>
      <c r="W28" s="23"/>
    </row>
    <row r="29" spans="2:89" ht="28.5" x14ac:dyDescent="0.45">
      <c r="B29" s="86"/>
    </row>
    <row r="30" spans="2:89" ht="29.25" thickBot="1" x14ac:dyDescent="0.5">
      <c r="B30" s="86"/>
      <c r="D30" s="9"/>
      <c r="G30" s="26"/>
      <c r="K30" s="271" t="s">
        <v>31</v>
      </c>
      <c r="M30" s="24"/>
      <c r="N30" t="s">
        <v>32</v>
      </c>
      <c r="P30" s="23"/>
      <c r="Q30" s="23"/>
      <c r="R30" s="23"/>
      <c r="S30" s="23"/>
      <c r="T30" s="23"/>
      <c r="U30" s="23"/>
      <c r="V30" s="23"/>
      <c r="W30" s="23"/>
      <c r="X30" s="23"/>
    </row>
    <row r="31" spans="2:89" ht="30.75" customHeight="1" thickBot="1" x14ac:dyDescent="0.3">
      <c r="B31" s="997" t="s">
        <v>33</v>
      </c>
      <c r="C31" s="217" t="s">
        <v>34</v>
      </c>
      <c r="D31" s="218" t="s">
        <v>35</v>
      </c>
      <c r="E31" s="217" t="s">
        <v>36</v>
      </c>
      <c r="F31" s="218" t="s">
        <v>37</v>
      </c>
      <c r="G31" s="217" t="s">
        <v>38</v>
      </c>
      <c r="H31" s="270" t="s">
        <v>39</v>
      </c>
      <c r="I31" s="266" t="s">
        <v>40</v>
      </c>
      <c r="J31" s="269" t="s">
        <v>41</v>
      </c>
      <c r="K31" s="268" t="s">
        <v>42</v>
      </c>
      <c r="L31" s="267"/>
      <c r="N31" s="266" t="s">
        <v>43</v>
      </c>
      <c r="R31" s="23"/>
      <c r="S31" s="23"/>
      <c r="T31" s="23"/>
      <c r="U31" s="23"/>
      <c r="V31" s="23"/>
      <c r="W31" s="23"/>
    </row>
    <row r="32" spans="2:89" ht="15" customHeight="1" x14ac:dyDescent="0.25">
      <c r="B32" s="997"/>
      <c r="C32" s="216" t="s">
        <v>44</v>
      </c>
      <c r="D32" s="215" t="s">
        <v>45</v>
      </c>
      <c r="E32" s="214" t="s">
        <v>46</v>
      </c>
      <c r="F32" s="213" t="s">
        <v>47</v>
      </c>
      <c r="G32" s="265" t="s">
        <v>46</v>
      </c>
      <c r="H32" s="264" t="s">
        <v>48</v>
      </c>
      <c r="I32" s="263" t="s">
        <v>49</v>
      </c>
      <c r="J32" s="262" t="s">
        <v>50</v>
      </c>
      <c r="K32" s="1001" t="s">
        <v>49</v>
      </c>
      <c r="L32" s="261" t="s">
        <v>50</v>
      </c>
      <c r="N32" s="260" t="s">
        <v>51</v>
      </c>
      <c r="R32" s="23"/>
      <c r="S32" s="23"/>
      <c r="T32" s="23"/>
      <c r="U32" s="23"/>
      <c r="V32" s="23"/>
      <c r="W32" s="23"/>
      <c r="AK32" s="1004"/>
      <c r="AL32" s="1004"/>
      <c r="AM32" s="1004"/>
      <c r="AN32" s="1004"/>
      <c r="AO32" s="1004"/>
      <c r="AP32" s="1004"/>
      <c r="AQ32" s="1004"/>
      <c r="AR32" s="1004"/>
      <c r="AS32" s="1004"/>
      <c r="AT32" s="1004"/>
      <c r="AU32" s="1004"/>
      <c r="AV32" s="1004"/>
      <c r="AW32" s="1004"/>
      <c r="AX32" s="1004"/>
      <c r="AY32" s="1004"/>
      <c r="AZ32" s="1004"/>
      <c r="BA32" s="1004"/>
      <c r="BB32" s="1004"/>
      <c r="BC32" s="1004"/>
      <c r="BD32" s="1004"/>
      <c r="BE32" s="1004"/>
      <c r="BF32" s="1004"/>
      <c r="BP32" s="1004"/>
      <c r="BQ32" s="1004"/>
      <c r="BR32" s="1004"/>
      <c r="BS32" s="1004"/>
      <c r="BT32" s="1004"/>
      <c r="BU32" s="1004"/>
      <c r="BV32" s="1004"/>
      <c r="BW32" s="1004"/>
      <c r="BX32" s="1004"/>
      <c r="BY32" s="1004"/>
      <c r="BZ32" s="1004"/>
      <c r="CA32" s="1004"/>
      <c r="CB32" s="1004"/>
      <c r="CC32" s="1004"/>
      <c r="CD32" s="1004"/>
      <c r="CE32" s="1004"/>
      <c r="CF32" s="1004"/>
      <c r="CG32" s="1004"/>
      <c r="CH32" s="1004"/>
      <c r="CI32" s="1004"/>
      <c r="CJ32" s="1004"/>
      <c r="CK32" s="1004"/>
    </row>
    <row r="33" spans="2:89" ht="15" customHeight="1" x14ac:dyDescent="0.25">
      <c r="B33" s="997"/>
      <c r="C33" s="210" t="s">
        <v>52</v>
      </c>
      <c r="D33" s="209" t="s">
        <v>53</v>
      </c>
      <c r="E33" s="206" t="s">
        <v>54</v>
      </c>
      <c r="F33" s="206" t="s">
        <v>55</v>
      </c>
      <c r="G33" s="259" t="s">
        <v>54</v>
      </c>
      <c r="H33" s="250" t="s">
        <v>56</v>
      </c>
      <c r="I33" s="242" t="s">
        <v>57</v>
      </c>
      <c r="J33" s="241" t="s">
        <v>58</v>
      </c>
      <c r="K33" s="1002"/>
      <c r="L33" s="255" t="s">
        <v>58</v>
      </c>
      <c r="N33" s="248" t="s">
        <v>59</v>
      </c>
      <c r="R33" s="23"/>
      <c r="S33" s="23"/>
      <c r="T33" s="23"/>
      <c r="U33" s="23"/>
      <c r="V33" s="23"/>
      <c r="W33" s="23"/>
      <c r="AK33" s="1004"/>
      <c r="AL33" s="1004"/>
      <c r="AM33" s="1004"/>
      <c r="AN33" s="1004"/>
      <c r="AO33" s="1004"/>
      <c r="AP33" s="1004"/>
      <c r="AQ33" s="1004"/>
      <c r="AR33" s="1004"/>
      <c r="AS33" s="1004"/>
      <c r="AT33" s="1004"/>
      <c r="AU33" s="1004"/>
      <c r="AV33" s="1004"/>
      <c r="AW33" s="1004"/>
      <c r="AX33" s="1004"/>
      <c r="AY33" s="1004"/>
      <c r="AZ33" s="1004"/>
      <c r="BA33" s="1004"/>
      <c r="BB33" s="1004"/>
      <c r="BC33" s="1004"/>
      <c r="BD33" s="1004"/>
      <c r="BE33" s="1004"/>
      <c r="BF33" s="1004"/>
      <c r="BP33" s="1004"/>
      <c r="BQ33" s="1004"/>
      <c r="BR33" s="1004"/>
      <c r="BS33" s="1004"/>
      <c r="BT33" s="1004"/>
      <c r="BU33" s="1004"/>
      <c r="BV33" s="1004"/>
      <c r="BW33" s="1004"/>
      <c r="BX33" s="1004"/>
      <c r="BY33" s="1004"/>
      <c r="BZ33" s="1004"/>
      <c r="CA33" s="1004"/>
      <c r="CB33" s="1004"/>
      <c r="CC33" s="1004"/>
      <c r="CD33" s="1004"/>
      <c r="CE33" s="1004"/>
      <c r="CF33" s="1004"/>
      <c r="CG33" s="1004"/>
      <c r="CH33" s="1004"/>
      <c r="CI33" s="1004"/>
      <c r="CJ33" s="1004"/>
      <c r="CK33" s="1004"/>
    </row>
    <row r="34" spans="2:89" ht="15.75" customHeight="1" x14ac:dyDescent="0.25">
      <c r="B34" s="997"/>
      <c r="C34" s="210" t="s">
        <v>60</v>
      </c>
      <c r="D34" s="209" t="s">
        <v>61</v>
      </c>
      <c r="E34" s="208" t="s">
        <v>62</v>
      </c>
      <c r="F34" s="206" t="s">
        <v>63</v>
      </c>
      <c r="G34" s="254" t="s">
        <v>62</v>
      </c>
      <c r="H34" s="250" t="s">
        <v>64</v>
      </c>
      <c r="I34" s="242" t="s">
        <v>65</v>
      </c>
      <c r="J34" s="258" t="s">
        <v>65</v>
      </c>
      <c r="K34" s="1003"/>
      <c r="L34" s="252" t="s">
        <v>65</v>
      </c>
      <c r="N34" s="248" t="s">
        <v>66</v>
      </c>
      <c r="R34" s="23"/>
      <c r="S34" s="23"/>
      <c r="T34" s="23"/>
      <c r="U34" s="23"/>
      <c r="V34" s="23"/>
      <c r="W34" s="23"/>
      <c r="AK34" s="1004"/>
      <c r="AL34" s="1004"/>
      <c r="AM34" s="1004"/>
      <c r="AN34" s="1004"/>
      <c r="AO34" s="1004"/>
      <c r="AP34" s="1004"/>
      <c r="AQ34" s="1004"/>
      <c r="AR34" s="1004"/>
      <c r="AS34" s="1004"/>
      <c r="AT34" s="1004"/>
      <c r="AU34" s="1004"/>
      <c r="AV34" s="1004"/>
      <c r="AW34" s="1004"/>
      <c r="AX34" s="1004"/>
      <c r="AY34" s="1004"/>
      <c r="AZ34" s="1004"/>
      <c r="BA34" s="1004"/>
      <c r="BB34" s="1004"/>
      <c r="BC34" s="1004"/>
      <c r="BD34" s="1004"/>
      <c r="BE34" s="1004"/>
      <c r="BF34" s="1004"/>
      <c r="BP34" s="1004"/>
      <c r="BQ34" s="1004"/>
      <c r="BR34" s="1004"/>
      <c r="BS34" s="1004"/>
      <c r="BT34" s="1004"/>
      <c r="BU34" s="1004"/>
      <c r="BV34" s="1004"/>
      <c r="BW34" s="1004"/>
      <c r="BX34" s="1004"/>
      <c r="BY34" s="1004"/>
      <c r="BZ34" s="1004"/>
      <c r="CA34" s="1004"/>
      <c r="CB34" s="1004"/>
      <c r="CC34" s="1004"/>
      <c r="CD34" s="1004"/>
      <c r="CE34" s="1004"/>
      <c r="CF34" s="1004"/>
      <c r="CG34" s="1004"/>
      <c r="CH34" s="1004"/>
      <c r="CI34" s="1004"/>
      <c r="CJ34" s="1004"/>
      <c r="CK34" s="1004"/>
    </row>
    <row r="35" spans="2:89" ht="15.75" customHeight="1" x14ac:dyDescent="0.25">
      <c r="B35" s="997"/>
      <c r="C35" s="210" t="s">
        <v>65</v>
      </c>
      <c r="D35" s="209" t="s">
        <v>65</v>
      </c>
      <c r="E35" s="208" t="s">
        <v>67</v>
      </c>
      <c r="F35" s="206" t="s">
        <v>68</v>
      </c>
      <c r="G35" s="254" t="s">
        <v>67</v>
      </c>
      <c r="H35" s="250" t="s">
        <v>69</v>
      </c>
      <c r="I35" s="242" t="s">
        <v>70</v>
      </c>
      <c r="J35" s="257" t="s">
        <v>71</v>
      </c>
      <c r="K35" s="1005" t="s">
        <v>57</v>
      </c>
      <c r="L35" s="256" t="s">
        <v>71</v>
      </c>
      <c r="N35" s="248" t="s">
        <v>72</v>
      </c>
      <c r="R35" s="23"/>
      <c r="S35" s="23"/>
      <c r="T35" s="23"/>
      <c r="U35" s="23"/>
      <c r="V35" s="23"/>
      <c r="W35" s="23"/>
    </row>
    <row r="36" spans="2:89" ht="15" customHeight="1" x14ac:dyDescent="0.25">
      <c r="B36" s="997"/>
      <c r="C36" s="146"/>
      <c r="D36" s="111"/>
      <c r="E36" s="208" t="s">
        <v>73</v>
      </c>
      <c r="F36" s="206" t="s">
        <v>74</v>
      </c>
      <c r="G36" s="254" t="s">
        <v>75</v>
      </c>
      <c r="H36" s="250" t="s">
        <v>76</v>
      </c>
      <c r="I36" s="242" t="s">
        <v>77</v>
      </c>
      <c r="J36" s="235" t="s">
        <v>78</v>
      </c>
      <c r="K36" s="1002"/>
      <c r="L36" s="255" t="s">
        <v>78</v>
      </c>
      <c r="N36" s="248" t="s">
        <v>79</v>
      </c>
      <c r="R36" s="23"/>
      <c r="S36" s="23"/>
      <c r="T36" s="23"/>
      <c r="U36" s="23"/>
      <c r="V36" s="23"/>
      <c r="W36" s="23"/>
    </row>
    <row r="37" spans="2:89" ht="15" customHeight="1" x14ac:dyDescent="0.25">
      <c r="B37" s="997"/>
      <c r="C37" s="146"/>
      <c r="D37" s="111"/>
      <c r="E37" s="208" t="s">
        <v>80</v>
      </c>
      <c r="F37" s="206" t="s">
        <v>81</v>
      </c>
      <c r="G37" s="254" t="s">
        <v>73</v>
      </c>
      <c r="H37" s="250" t="s">
        <v>82</v>
      </c>
      <c r="I37" s="242" t="s">
        <v>83</v>
      </c>
      <c r="J37" s="235" t="s">
        <v>84</v>
      </c>
      <c r="K37" s="1002"/>
      <c r="L37" s="255" t="s">
        <v>84</v>
      </c>
      <c r="N37" s="248" t="s">
        <v>85</v>
      </c>
      <c r="U37" s="23"/>
      <c r="V37" s="23"/>
      <c r="W37" s="23"/>
    </row>
    <row r="38" spans="2:89" ht="15" customHeight="1" x14ac:dyDescent="0.25">
      <c r="B38" s="997"/>
      <c r="C38" s="146"/>
      <c r="D38" s="111"/>
      <c r="E38" s="208" t="s">
        <v>86</v>
      </c>
      <c r="F38" s="206" t="s">
        <v>87</v>
      </c>
      <c r="G38" s="254" t="s">
        <v>80</v>
      </c>
      <c r="H38" s="250" t="s">
        <v>88</v>
      </c>
      <c r="I38" s="242" t="s">
        <v>89</v>
      </c>
      <c r="J38" s="235" t="s">
        <v>52</v>
      </c>
      <c r="K38" s="1002"/>
      <c r="L38" s="255" t="s">
        <v>52</v>
      </c>
      <c r="N38" s="248" t="s">
        <v>90</v>
      </c>
      <c r="R38" s="23"/>
      <c r="S38" s="23"/>
      <c r="T38" s="23"/>
      <c r="U38" s="23"/>
      <c r="V38" s="23"/>
      <c r="W38" s="23"/>
    </row>
    <row r="39" spans="2:89" ht="15.75" customHeight="1" x14ac:dyDescent="0.25">
      <c r="B39" s="997"/>
      <c r="C39" s="146"/>
      <c r="D39" s="111"/>
      <c r="E39" s="244"/>
      <c r="F39" s="206" t="s">
        <v>91</v>
      </c>
      <c r="G39" s="254" t="s">
        <v>86</v>
      </c>
      <c r="H39" s="250" t="s">
        <v>92</v>
      </c>
      <c r="I39" s="242" t="s">
        <v>93</v>
      </c>
      <c r="J39" s="253" t="s">
        <v>94</v>
      </c>
      <c r="K39" s="1003"/>
      <c r="L39" s="252" t="s">
        <v>94</v>
      </c>
      <c r="N39" s="248" t="s">
        <v>95</v>
      </c>
      <c r="R39" s="23"/>
      <c r="S39" s="23"/>
      <c r="T39" s="23"/>
      <c r="U39" s="23"/>
      <c r="V39" s="23"/>
      <c r="W39" s="23"/>
    </row>
    <row r="40" spans="2:89" ht="15" customHeight="1" x14ac:dyDescent="0.25">
      <c r="B40" s="997"/>
      <c r="C40" s="146"/>
      <c r="D40" s="111"/>
      <c r="E40" s="244"/>
      <c r="F40" s="206" t="s">
        <v>96</v>
      </c>
      <c r="G40" s="234"/>
      <c r="H40" s="250" t="s">
        <v>97</v>
      </c>
      <c r="I40" s="242" t="s">
        <v>69</v>
      </c>
      <c r="J40" s="240" t="s">
        <v>98</v>
      </c>
      <c r="K40" s="224" t="s">
        <v>65</v>
      </c>
      <c r="L40" s="251" t="s">
        <v>98</v>
      </c>
      <c r="N40" s="248" t="s">
        <v>99</v>
      </c>
      <c r="R40" s="23"/>
      <c r="S40" s="23"/>
      <c r="T40" s="23"/>
      <c r="U40" s="23"/>
      <c r="V40" s="23"/>
      <c r="W40" s="23"/>
    </row>
    <row r="41" spans="2:89" ht="15.75" customHeight="1" x14ac:dyDescent="0.25">
      <c r="B41" s="997"/>
      <c r="C41" s="146"/>
      <c r="D41" s="245"/>
      <c r="E41" s="244"/>
      <c r="F41" s="206" t="s">
        <v>100</v>
      </c>
      <c r="G41" s="234"/>
      <c r="H41" s="250" t="s">
        <v>65</v>
      </c>
      <c r="I41" s="242" t="s">
        <v>48</v>
      </c>
      <c r="J41" s="238" t="s">
        <v>101</v>
      </c>
      <c r="K41" s="249" t="s">
        <v>70</v>
      </c>
      <c r="L41" s="221"/>
      <c r="N41" s="248" t="s">
        <v>102</v>
      </c>
      <c r="R41" s="23"/>
      <c r="S41" s="23"/>
      <c r="T41" s="23"/>
      <c r="U41" s="23"/>
      <c r="V41" s="23"/>
      <c r="W41" s="23"/>
    </row>
    <row r="42" spans="2:89" ht="15.75" customHeight="1" thickBot="1" x14ac:dyDescent="0.3">
      <c r="B42" s="997"/>
      <c r="C42" s="146"/>
      <c r="D42" s="245"/>
      <c r="E42" s="244"/>
      <c r="F42" s="206" t="s">
        <v>103</v>
      </c>
      <c r="G42" s="234"/>
      <c r="H42" s="146"/>
      <c r="I42" s="242" t="s">
        <v>104</v>
      </c>
      <c r="J42" s="241" t="s">
        <v>105</v>
      </c>
      <c r="K42" s="249" t="s">
        <v>77</v>
      </c>
      <c r="L42" s="221"/>
      <c r="N42" s="248" t="s">
        <v>65</v>
      </c>
      <c r="R42" s="23"/>
      <c r="S42" s="23"/>
      <c r="T42" s="23"/>
      <c r="U42" s="23"/>
      <c r="V42" s="23"/>
      <c r="W42" s="23"/>
    </row>
    <row r="43" spans="2:89" ht="15" customHeight="1" x14ac:dyDescent="0.25">
      <c r="B43" s="997"/>
      <c r="C43" s="146"/>
      <c r="D43" s="245"/>
      <c r="E43" s="244"/>
      <c r="F43" s="206" t="s">
        <v>106</v>
      </c>
      <c r="G43" s="234"/>
      <c r="H43" s="146"/>
      <c r="I43" s="242" t="s">
        <v>107</v>
      </c>
      <c r="J43" s="247" t="s">
        <v>108</v>
      </c>
      <c r="K43" s="1005" t="s">
        <v>83</v>
      </c>
      <c r="L43" s="246" t="s">
        <v>101</v>
      </c>
      <c r="N43" s="111"/>
      <c r="R43" s="23"/>
      <c r="S43" s="23"/>
      <c r="T43" s="23"/>
      <c r="U43" s="23"/>
      <c r="V43" s="23"/>
      <c r="W43" s="23"/>
    </row>
    <row r="44" spans="2:89" ht="15.75" customHeight="1" x14ac:dyDescent="0.25">
      <c r="B44" s="997"/>
      <c r="C44" s="146"/>
      <c r="D44" s="245"/>
      <c r="E44" s="244"/>
      <c r="F44" s="206" t="s">
        <v>65</v>
      </c>
      <c r="G44" s="234"/>
      <c r="H44" s="146"/>
      <c r="I44" s="242" t="s">
        <v>109</v>
      </c>
      <c r="J44" s="235" t="s">
        <v>65</v>
      </c>
      <c r="K44" s="1003"/>
      <c r="L44" s="226" t="s">
        <v>105</v>
      </c>
      <c r="N44" s="111"/>
      <c r="R44" s="23"/>
      <c r="S44" s="23"/>
      <c r="T44" s="23"/>
      <c r="U44" s="23"/>
      <c r="V44" s="23"/>
      <c r="W44" s="23"/>
    </row>
    <row r="45" spans="2:89" x14ac:dyDescent="0.25">
      <c r="B45" s="997"/>
      <c r="C45" s="146"/>
      <c r="D45" s="111"/>
      <c r="E45" s="111"/>
      <c r="F45" s="111"/>
      <c r="G45" s="234"/>
      <c r="H45" s="146"/>
      <c r="I45" s="242" t="s">
        <v>110</v>
      </c>
      <c r="J45" s="235" t="s">
        <v>111</v>
      </c>
      <c r="K45" s="239" t="s">
        <v>89</v>
      </c>
      <c r="L45" s="243" t="s">
        <v>108</v>
      </c>
      <c r="N45" s="111"/>
    </row>
    <row r="46" spans="2:89" x14ac:dyDescent="0.25">
      <c r="B46" s="997"/>
      <c r="C46" s="146"/>
      <c r="D46" s="111"/>
      <c r="E46" s="111"/>
      <c r="F46" s="111"/>
      <c r="G46" s="234"/>
      <c r="H46" s="146"/>
      <c r="I46" s="242" t="s">
        <v>112</v>
      </c>
      <c r="J46" s="235" t="s">
        <v>113</v>
      </c>
      <c r="K46" s="239"/>
      <c r="L46" s="231" t="s">
        <v>65</v>
      </c>
      <c r="N46" s="111"/>
    </row>
    <row r="47" spans="2:89" x14ac:dyDescent="0.25">
      <c r="B47" s="997"/>
      <c r="C47" s="146"/>
      <c r="D47" s="111"/>
      <c r="E47" s="111"/>
      <c r="F47" s="111"/>
      <c r="G47" s="234"/>
      <c r="H47" s="146"/>
      <c r="I47" s="242" t="s">
        <v>114</v>
      </c>
      <c r="J47" s="241" t="s">
        <v>115</v>
      </c>
      <c r="K47" s="239"/>
      <c r="L47" s="231" t="s">
        <v>111</v>
      </c>
      <c r="N47" s="111"/>
    </row>
    <row r="48" spans="2:89" x14ac:dyDescent="0.25">
      <c r="B48" s="997"/>
      <c r="C48" s="146"/>
      <c r="D48" s="111"/>
      <c r="E48" s="111"/>
      <c r="F48" s="111"/>
      <c r="G48" s="234"/>
      <c r="H48" s="146"/>
      <c r="I48" s="111"/>
      <c r="J48" s="240" t="s">
        <v>93</v>
      </c>
      <c r="K48" s="239"/>
      <c r="L48" s="231" t="s">
        <v>113</v>
      </c>
      <c r="N48" s="111"/>
    </row>
    <row r="49" spans="2:23" x14ac:dyDescent="0.25">
      <c r="B49" s="997"/>
      <c r="C49" s="146"/>
      <c r="D49" s="111"/>
      <c r="E49" s="111"/>
      <c r="F49" s="111"/>
      <c r="G49" s="234"/>
      <c r="H49" s="146"/>
      <c r="I49" s="111"/>
      <c r="J49" s="238" t="s">
        <v>116</v>
      </c>
      <c r="K49" s="224"/>
      <c r="L49" s="226" t="s">
        <v>115</v>
      </c>
      <c r="N49" s="111"/>
    </row>
    <row r="50" spans="2:23" x14ac:dyDescent="0.25">
      <c r="B50" s="997"/>
      <c r="C50" s="146"/>
      <c r="D50" s="111"/>
      <c r="E50" s="111"/>
      <c r="F50" s="111"/>
      <c r="G50" s="234"/>
      <c r="H50" s="146"/>
      <c r="I50" s="111"/>
      <c r="J50" s="235" t="s">
        <v>117</v>
      </c>
      <c r="K50" s="224" t="s">
        <v>93</v>
      </c>
      <c r="L50" s="237" t="s">
        <v>93</v>
      </c>
      <c r="N50" s="111"/>
    </row>
    <row r="51" spans="2:23" x14ac:dyDescent="0.25">
      <c r="B51" s="997"/>
      <c r="C51" s="146"/>
      <c r="D51" s="111"/>
      <c r="E51" s="111"/>
      <c r="F51" s="111"/>
      <c r="G51" s="234"/>
      <c r="H51" s="146"/>
      <c r="I51" s="230"/>
      <c r="J51" s="235" t="s">
        <v>118</v>
      </c>
      <c r="K51" s="232" t="s">
        <v>69</v>
      </c>
      <c r="L51" s="236" t="s">
        <v>116</v>
      </c>
      <c r="N51" s="230"/>
      <c r="Q51" s="23"/>
      <c r="R51" s="23"/>
      <c r="S51" s="23"/>
      <c r="T51" s="23"/>
      <c r="U51" s="23"/>
      <c r="V51" s="23"/>
    </row>
    <row r="52" spans="2:23" x14ac:dyDescent="0.25">
      <c r="B52" s="997"/>
      <c r="C52" s="146"/>
      <c r="D52" s="111"/>
      <c r="E52" s="111"/>
      <c r="F52" s="111"/>
      <c r="G52" s="234"/>
      <c r="H52" s="146"/>
      <c r="I52" s="230"/>
      <c r="J52" s="235" t="s">
        <v>119</v>
      </c>
      <c r="K52" s="232"/>
      <c r="L52" s="231" t="s">
        <v>117</v>
      </c>
      <c r="N52" s="230"/>
      <c r="Q52" s="23"/>
      <c r="R52" s="23"/>
      <c r="S52" s="23"/>
      <c r="T52" s="23"/>
      <c r="U52" s="23"/>
      <c r="V52" s="23"/>
    </row>
    <row r="53" spans="2:23" x14ac:dyDescent="0.25">
      <c r="B53" s="997"/>
      <c r="C53" s="146"/>
      <c r="D53" s="111"/>
      <c r="E53" s="111"/>
      <c r="F53" s="111"/>
      <c r="G53" s="234"/>
      <c r="H53" s="146"/>
      <c r="I53" s="230"/>
      <c r="J53" s="233"/>
      <c r="K53" s="232"/>
      <c r="L53" s="231" t="s">
        <v>118</v>
      </c>
      <c r="N53" s="230"/>
      <c r="Q53" s="23"/>
      <c r="R53" s="23"/>
      <c r="S53" s="23"/>
      <c r="T53" s="23"/>
      <c r="U53" s="23"/>
      <c r="V53" s="23"/>
    </row>
    <row r="54" spans="2:23" ht="15.75" thickBot="1" x14ac:dyDescent="0.3">
      <c r="B54" s="997"/>
      <c r="C54" s="144"/>
      <c r="D54" s="108"/>
      <c r="E54" s="108"/>
      <c r="F54" s="108"/>
      <c r="G54" s="229"/>
      <c r="H54" s="144"/>
      <c r="I54" s="225"/>
      <c r="J54" s="228"/>
      <c r="K54" s="227"/>
      <c r="L54" s="226" t="s">
        <v>119</v>
      </c>
      <c r="N54" s="225"/>
      <c r="Q54" s="23"/>
      <c r="R54" s="23"/>
      <c r="S54" s="23"/>
      <c r="T54" s="23"/>
      <c r="U54" s="23"/>
      <c r="V54" s="23"/>
    </row>
    <row r="55" spans="2:23" x14ac:dyDescent="0.25">
      <c r="I55" s="23"/>
      <c r="K55" s="224" t="s">
        <v>48</v>
      </c>
      <c r="L55" s="221"/>
      <c r="Q55" s="23"/>
      <c r="R55" s="23"/>
      <c r="S55" s="23"/>
      <c r="T55" s="23"/>
      <c r="U55" s="23"/>
      <c r="V55" s="23"/>
    </row>
    <row r="56" spans="2:23" x14ac:dyDescent="0.25">
      <c r="I56" s="23"/>
      <c r="K56" s="223" t="s">
        <v>104</v>
      </c>
      <c r="L56" s="221"/>
      <c r="Q56" s="23"/>
      <c r="R56" s="23"/>
      <c r="S56" s="23"/>
      <c r="T56" s="23"/>
      <c r="U56" s="23"/>
      <c r="V56" s="23"/>
    </row>
    <row r="57" spans="2:23" ht="15.75" customHeight="1" x14ac:dyDescent="0.25">
      <c r="I57" s="23"/>
      <c r="K57" s="222" t="s">
        <v>107</v>
      </c>
      <c r="L57" s="221"/>
      <c r="Q57" s="23"/>
      <c r="R57" s="23"/>
      <c r="S57" s="23"/>
      <c r="T57" s="23"/>
      <c r="U57" s="23"/>
      <c r="V57" s="23"/>
    </row>
    <row r="58" spans="2:23" x14ac:dyDescent="0.25">
      <c r="I58" s="23"/>
      <c r="K58" s="222" t="s">
        <v>109</v>
      </c>
      <c r="L58" s="221"/>
      <c r="Q58" s="23"/>
      <c r="R58" s="23"/>
      <c r="S58" s="23"/>
      <c r="T58" s="23"/>
      <c r="U58" s="23"/>
      <c r="V58" s="23"/>
    </row>
    <row r="59" spans="2:23" x14ac:dyDescent="0.25">
      <c r="I59" s="23"/>
      <c r="K59" s="222" t="s">
        <v>110</v>
      </c>
      <c r="L59" s="221"/>
      <c r="Q59" s="23"/>
      <c r="R59" s="23"/>
      <c r="S59" s="23"/>
      <c r="T59" s="23"/>
      <c r="U59" s="23"/>
      <c r="V59" s="23"/>
    </row>
    <row r="60" spans="2:23" x14ac:dyDescent="0.25">
      <c r="I60" s="23"/>
      <c r="K60" s="222" t="s">
        <v>112</v>
      </c>
      <c r="L60" s="221"/>
      <c r="Q60" s="23"/>
      <c r="R60" s="23"/>
      <c r="S60" s="23"/>
      <c r="T60" s="23"/>
      <c r="U60" s="23"/>
      <c r="V60" s="23"/>
    </row>
    <row r="61" spans="2:23" ht="15.75" thickBot="1" x14ac:dyDescent="0.3">
      <c r="I61" s="23"/>
      <c r="K61" s="220" t="s">
        <v>114</v>
      </c>
      <c r="L61" s="219"/>
      <c r="Q61" s="23"/>
      <c r="R61" s="23"/>
      <c r="S61" s="23"/>
      <c r="T61" s="23"/>
      <c r="U61" s="23"/>
      <c r="V61" s="23"/>
    </row>
    <row r="62" spans="2:23" x14ac:dyDescent="0.25">
      <c r="I62" s="23"/>
      <c r="J62" s="23"/>
      <c r="K62" s="23"/>
      <c r="R62" s="23"/>
      <c r="S62" s="23"/>
      <c r="T62" s="23"/>
      <c r="U62" s="23"/>
      <c r="V62" s="23"/>
      <c r="W62" s="23"/>
    </row>
    <row r="63" spans="2:23" ht="29.25" thickBot="1" x14ac:dyDescent="0.5">
      <c r="B63" s="86"/>
      <c r="K63" s="9"/>
      <c r="L63" s="24"/>
      <c r="O63" s="23"/>
      <c r="P63" s="23"/>
      <c r="Q63" s="23"/>
      <c r="R63" s="23"/>
      <c r="S63" s="23"/>
      <c r="T63" s="23"/>
      <c r="U63" s="23"/>
      <c r="V63" s="23"/>
      <c r="W63" s="23"/>
    </row>
    <row r="64" spans="2:23" ht="30.75" thickBot="1" x14ac:dyDescent="0.3">
      <c r="B64" s="996" t="s">
        <v>120</v>
      </c>
      <c r="C64" s="217" t="s">
        <v>121</v>
      </c>
      <c r="D64" s="218" t="s">
        <v>122</v>
      </c>
      <c r="E64" s="217" t="s">
        <v>123</v>
      </c>
      <c r="F64" s="218" t="s">
        <v>124</v>
      </c>
      <c r="G64" s="217" t="s">
        <v>125</v>
      </c>
      <c r="J64" s="9"/>
      <c r="K64" s="9"/>
      <c r="L64" s="24"/>
      <c r="O64" s="23"/>
      <c r="P64" s="23"/>
      <c r="Q64" s="23"/>
      <c r="R64" s="23"/>
      <c r="S64" s="23"/>
      <c r="T64" s="23"/>
      <c r="U64" s="23"/>
      <c r="V64" s="23"/>
      <c r="W64" s="23"/>
    </row>
    <row r="65" spans="2:7" x14ac:dyDescent="0.25">
      <c r="B65" s="997"/>
      <c r="C65" s="216" t="s">
        <v>126</v>
      </c>
      <c r="D65" s="215" t="s">
        <v>45</v>
      </c>
      <c r="E65" s="214" t="s">
        <v>46</v>
      </c>
      <c r="F65" s="213" t="s">
        <v>47</v>
      </c>
      <c r="G65" s="212" t="s">
        <v>46</v>
      </c>
    </row>
    <row r="66" spans="2:7" x14ac:dyDescent="0.25">
      <c r="B66" s="997"/>
      <c r="C66" s="210" t="s">
        <v>60</v>
      </c>
      <c r="D66" s="209" t="s">
        <v>127</v>
      </c>
      <c r="E66" s="206" t="s">
        <v>54</v>
      </c>
      <c r="F66" s="206" t="s">
        <v>55</v>
      </c>
      <c r="G66" s="211" t="s">
        <v>54</v>
      </c>
    </row>
    <row r="67" spans="2:7" x14ac:dyDescent="0.25">
      <c r="B67" s="997"/>
      <c r="C67" s="210" t="s">
        <v>128</v>
      </c>
      <c r="D67" s="209" t="s">
        <v>129</v>
      </c>
      <c r="E67" s="208" t="s">
        <v>62</v>
      </c>
      <c r="F67" s="206" t="s">
        <v>63</v>
      </c>
      <c r="G67" s="207" t="s">
        <v>62</v>
      </c>
    </row>
    <row r="68" spans="2:7" x14ac:dyDescent="0.25">
      <c r="B68" s="997"/>
      <c r="C68" s="210" t="s">
        <v>65</v>
      </c>
      <c r="D68" s="209" t="s">
        <v>65</v>
      </c>
      <c r="E68" s="208" t="s">
        <v>67</v>
      </c>
      <c r="F68" s="206" t="s">
        <v>68</v>
      </c>
      <c r="G68" s="207" t="s">
        <v>67</v>
      </c>
    </row>
    <row r="69" spans="2:7" x14ac:dyDescent="0.25">
      <c r="B69" s="997"/>
      <c r="C69" s="146"/>
      <c r="D69" s="111"/>
      <c r="E69" s="208" t="s">
        <v>130</v>
      </c>
      <c r="F69" s="206" t="s">
        <v>74</v>
      </c>
      <c r="G69" s="207" t="s">
        <v>75</v>
      </c>
    </row>
    <row r="70" spans="2:7" x14ac:dyDescent="0.25">
      <c r="B70" s="997"/>
      <c r="C70" s="146"/>
      <c r="D70" s="111"/>
      <c r="E70" s="208" t="s">
        <v>73</v>
      </c>
      <c r="F70" s="206" t="s">
        <v>81</v>
      </c>
      <c r="G70" s="207" t="s">
        <v>73</v>
      </c>
    </row>
    <row r="71" spans="2:7" x14ac:dyDescent="0.25">
      <c r="B71" s="997"/>
      <c r="C71" s="146"/>
      <c r="D71" s="111"/>
      <c r="E71" s="208" t="s">
        <v>80</v>
      </c>
      <c r="F71" s="206" t="s">
        <v>87</v>
      </c>
      <c r="G71" s="207" t="s">
        <v>80</v>
      </c>
    </row>
    <row r="72" spans="2:7" x14ac:dyDescent="0.25">
      <c r="B72" s="997"/>
      <c r="C72" s="146"/>
      <c r="D72" s="111"/>
      <c r="E72" s="208" t="s">
        <v>86</v>
      </c>
      <c r="F72" s="206" t="s">
        <v>91</v>
      </c>
      <c r="G72" s="207" t="s">
        <v>86</v>
      </c>
    </row>
    <row r="73" spans="2:7" x14ac:dyDescent="0.25">
      <c r="B73" s="997"/>
      <c r="C73" s="146"/>
      <c r="D73" s="111"/>
      <c r="E73" s="111"/>
      <c r="F73" s="206" t="s">
        <v>96</v>
      </c>
      <c r="G73" s="205"/>
    </row>
    <row r="74" spans="2:7" x14ac:dyDescent="0.25">
      <c r="B74" s="997"/>
      <c r="C74" s="146"/>
      <c r="D74" s="111"/>
      <c r="E74" s="111"/>
      <c r="F74" s="206" t="s">
        <v>100</v>
      </c>
      <c r="G74" s="205"/>
    </row>
    <row r="75" spans="2:7" x14ac:dyDescent="0.25">
      <c r="B75" s="997"/>
      <c r="C75" s="146"/>
      <c r="D75" s="111"/>
      <c r="E75" s="111"/>
      <c r="F75" s="206" t="s">
        <v>103</v>
      </c>
      <c r="G75" s="205"/>
    </row>
    <row r="76" spans="2:7" x14ac:dyDescent="0.25">
      <c r="B76" s="997"/>
      <c r="C76" s="146"/>
      <c r="D76" s="111"/>
      <c r="E76" s="111"/>
      <c r="F76" s="206" t="s">
        <v>106</v>
      </c>
      <c r="G76" s="205"/>
    </row>
    <row r="77" spans="2:7" ht="15.75" thickBot="1" x14ac:dyDescent="0.3">
      <c r="B77" s="997"/>
      <c r="C77" s="144"/>
      <c r="D77" s="108"/>
      <c r="E77" s="108"/>
      <c r="F77" s="204" t="s">
        <v>65</v>
      </c>
      <c r="G77" s="203"/>
    </row>
    <row r="80" spans="2:7" ht="28.5" x14ac:dyDescent="0.45">
      <c r="B80" s="86"/>
    </row>
    <row r="81" spans="2:22" ht="31.5" x14ac:dyDescent="0.5">
      <c r="B81" s="85" t="s">
        <v>131</v>
      </c>
      <c r="C81" s="84"/>
      <c r="D81" s="84"/>
      <c r="E81" s="84"/>
      <c r="F81" s="84"/>
      <c r="G81" s="84"/>
      <c r="H81" s="84"/>
      <c r="I81" s="84"/>
      <c r="J81" s="84"/>
      <c r="K81" s="84"/>
      <c r="L81" s="84"/>
      <c r="M81" s="84"/>
      <c r="N81" s="84"/>
      <c r="O81" s="84"/>
    </row>
    <row r="82" spans="2:22" ht="30.75" customHeight="1" thickBot="1" x14ac:dyDescent="0.5">
      <c r="B82" s="86"/>
      <c r="C82" s="23"/>
      <c r="D82" s="202"/>
      <c r="E82" s="202"/>
      <c r="F82" s="202"/>
      <c r="G82" s="202"/>
      <c r="H82" s="23"/>
      <c r="I82" s="23"/>
      <c r="J82" s="23"/>
      <c r="K82" s="23"/>
      <c r="L82" s="23"/>
      <c r="M82" s="201" t="s">
        <v>132</v>
      </c>
      <c r="N82" s="201"/>
      <c r="O82" s="201"/>
      <c r="V82" s="23"/>
    </row>
    <row r="83" spans="2:22" s="194" customFormat="1" ht="42" customHeight="1" thickBot="1" x14ac:dyDescent="0.3">
      <c r="B83" s="996" t="s">
        <v>133</v>
      </c>
      <c r="C83" s="200" t="s">
        <v>134</v>
      </c>
      <c r="D83" s="196" t="s">
        <v>135</v>
      </c>
      <c r="E83" s="199" t="s">
        <v>136</v>
      </c>
      <c r="F83" s="196" t="s">
        <v>137</v>
      </c>
      <c r="G83" s="196" t="s">
        <v>138</v>
      </c>
      <c r="H83" s="196" t="s">
        <v>139</v>
      </c>
      <c r="I83" s="196" t="s">
        <v>140</v>
      </c>
      <c r="J83" s="196" t="s">
        <v>141</v>
      </c>
      <c r="K83" s="198" t="s">
        <v>142</v>
      </c>
      <c r="L83" s="197" t="s">
        <v>143</v>
      </c>
      <c r="M83" s="196" t="s">
        <v>144</v>
      </c>
      <c r="N83" s="196"/>
      <c r="O83" s="196"/>
      <c r="V83" s="195"/>
    </row>
    <row r="84" spans="2:22" ht="15" customHeight="1" x14ac:dyDescent="0.25">
      <c r="B84" s="997"/>
      <c r="C84" s="193" t="s">
        <v>145</v>
      </c>
      <c r="D84" s="192" t="s">
        <v>146</v>
      </c>
      <c r="E84" s="192" t="s">
        <v>146</v>
      </c>
      <c r="F84" s="192" t="s">
        <v>146</v>
      </c>
      <c r="G84" s="192" t="s">
        <v>146</v>
      </c>
      <c r="H84" s="188" t="s">
        <v>147</v>
      </c>
      <c r="I84" s="188" t="s">
        <v>147</v>
      </c>
      <c r="J84" s="188" t="s">
        <v>148</v>
      </c>
      <c r="K84" s="191" t="s">
        <v>146</v>
      </c>
      <c r="L84" s="190" t="s">
        <v>149</v>
      </c>
      <c r="M84" s="189" t="s">
        <v>150</v>
      </c>
      <c r="N84" s="188"/>
      <c r="O84" s="187"/>
      <c r="V84" s="23"/>
    </row>
    <row r="85" spans="2:22" ht="15" customHeight="1" x14ac:dyDescent="0.25">
      <c r="B85" s="997"/>
      <c r="C85" s="181" t="s">
        <v>145</v>
      </c>
      <c r="D85" s="179" t="s">
        <v>146</v>
      </c>
      <c r="E85" s="179" t="s">
        <v>146</v>
      </c>
      <c r="F85" s="179" t="s">
        <v>146</v>
      </c>
      <c r="G85" s="179" t="s">
        <v>146</v>
      </c>
      <c r="H85" s="182" t="s">
        <v>146</v>
      </c>
      <c r="I85" s="182" t="s">
        <v>146</v>
      </c>
      <c r="J85" s="182" t="s">
        <v>151</v>
      </c>
      <c r="K85" s="186" t="s">
        <v>146</v>
      </c>
      <c r="L85" s="185" t="s">
        <v>146</v>
      </c>
      <c r="M85" s="184" t="s">
        <v>150</v>
      </c>
      <c r="N85" s="182"/>
      <c r="O85" s="183"/>
      <c r="V85" s="23"/>
    </row>
    <row r="86" spans="2:22" ht="15" customHeight="1" x14ac:dyDescent="0.25">
      <c r="B86" s="997"/>
      <c r="C86" s="181" t="s">
        <v>145</v>
      </c>
      <c r="D86" s="179" t="s">
        <v>152</v>
      </c>
      <c r="E86" s="179" t="s">
        <v>152</v>
      </c>
      <c r="F86" s="179" t="s">
        <v>152</v>
      </c>
      <c r="G86" s="179" t="s">
        <v>152</v>
      </c>
      <c r="H86" s="182" t="s">
        <v>147</v>
      </c>
      <c r="I86" s="182" t="s">
        <v>147</v>
      </c>
      <c r="J86" s="182" t="s">
        <v>153</v>
      </c>
      <c r="K86" s="186" t="s">
        <v>146</v>
      </c>
      <c r="L86" s="185" t="s">
        <v>154</v>
      </c>
      <c r="M86" s="184" t="s">
        <v>150</v>
      </c>
      <c r="N86" s="182"/>
      <c r="O86" s="183"/>
      <c r="V86" s="23"/>
    </row>
    <row r="87" spans="2:22" ht="15" customHeight="1" x14ac:dyDescent="0.25">
      <c r="B87" s="997"/>
      <c r="C87" s="181" t="s">
        <v>145</v>
      </c>
      <c r="D87" s="179" t="s">
        <v>146</v>
      </c>
      <c r="E87" s="179" t="s">
        <v>146</v>
      </c>
      <c r="F87" s="179" t="s">
        <v>146</v>
      </c>
      <c r="G87" s="179" t="s">
        <v>146</v>
      </c>
      <c r="H87" s="182" t="s">
        <v>147</v>
      </c>
      <c r="I87" s="182" t="s">
        <v>147</v>
      </c>
      <c r="J87" s="182" t="s">
        <v>155</v>
      </c>
      <c r="K87" s="186" t="s">
        <v>154</v>
      </c>
      <c r="L87" s="185" t="s">
        <v>146</v>
      </c>
      <c r="M87" s="184" t="s">
        <v>147</v>
      </c>
      <c r="N87" s="182"/>
      <c r="O87" s="183"/>
      <c r="V87" s="23"/>
    </row>
    <row r="88" spans="2:22" ht="15" customHeight="1" x14ac:dyDescent="0.25">
      <c r="B88" s="997"/>
      <c r="C88" s="181" t="s">
        <v>156</v>
      </c>
      <c r="D88" s="179" t="s">
        <v>157</v>
      </c>
      <c r="E88" s="179" t="s">
        <v>157</v>
      </c>
      <c r="F88" s="179" t="s">
        <v>157</v>
      </c>
      <c r="G88" s="179" t="s">
        <v>157</v>
      </c>
      <c r="H88" s="182" t="s">
        <v>146</v>
      </c>
      <c r="I88" s="182" t="s">
        <v>146</v>
      </c>
      <c r="J88" s="182" t="s">
        <v>158</v>
      </c>
      <c r="K88" s="177"/>
      <c r="L88" s="176"/>
      <c r="M88" s="175"/>
      <c r="N88" s="174"/>
      <c r="O88" s="173"/>
      <c r="V88" s="23"/>
    </row>
    <row r="89" spans="2:22" ht="15" customHeight="1" x14ac:dyDescent="0.25">
      <c r="B89" s="997"/>
      <c r="C89" s="181" t="s">
        <v>156</v>
      </c>
      <c r="D89" s="179" t="s">
        <v>159</v>
      </c>
      <c r="E89" s="179" t="s">
        <v>159</v>
      </c>
      <c r="F89" s="179" t="s">
        <v>159</v>
      </c>
      <c r="G89" s="179" t="s">
        <v>159</v>
      </c>
      <c r="H89" s="182" t="s">
        <v>160</v>
      </c>
      <c r="I89" s="182" t="s">
        <v>160</v>
      </c>
      <c r="J89" s="182" t="s">
        <v>161</v>
      </c>
      <c r="K89" s="177"/>
      <c r="L89" s="176"/>
      <c r="M89" s="175"/>
      <c r="N89" s="174"/>
      <c r="O89" s="173"/>
      <c r="V89" s="23"/>
    </row>
    <row r="90" spans="2:22" ht="15" customHeight="1" x14ac:dyDescent="0.25">
      <c r="B90" s="997"/>
      <c r="C90" s="181" t="s">
        <v>156</v>
      </c>
      <c r="D90" s="179" t="s">
        <v>157</v>
      </c>
      <c r="E90" s="179" t="s">
        <v>157</v>
      </c>
      <c r="F90" s="179" t="s">
        <v>157</v>
      </c>
      <c r="G90" s="179" t="s">
        <v>157</v>
      </c>
      <c r="H90" s="178"/>
      <c r="I90" s="178"/>
      <c r="J90" s="178"/>
      <c r="K90" s="177"/>
      <c r="L90" s="176"/>
      <c r="M90" s="175"/>
      <c r="N90" s="174"/>
      <c r="O90" s="173"/>
      <c r="V90" s="23"/>
    </row>
    <row r="91" spans="2:22" ht="15.75" customHeight="1" x14ac:dyDescent="0.25">
      <c r="B91" s="997"/>
      <c r="C91" s="180"/>
      <c r="D91" s="179" t="s">
        <v>159</v>
      </c>
      <c r="E91" s="179" t="s">
        <v>159</v>
      </c>
      <c r="F91" s="179" t="s">
        <v>159</v>
      </c>
      <c r="G91" s="179" t="s">
        <v>159</v>
      </c>
      <c r="H91" s="178"/>
      <c r="I91" s="178"/>
      <c r="J91" s="178"/>
      <c r="K91" s="177"/>
      <c r="L91" s="176"/>
      <c r="M91" s="175"/>
      <c r="N91" s="174"/>
      <c r="O91" s="173"/>
      <c r="V91" s="23"/>
    </row>
    <row r="92" spans="2:22" ht="15" customHeight="1" x14ac:dyDescent="0.25">
      <c r="B92" s="997"/>
      <c r="C92" s="180"/>
      <c r="D92" s="179" t="s">
        <v>157</v>
      </c>
      <c r="E92" s="179" t="s">
        <v>157</v>
      </c>
      <c r="F92" s="179" t="s">
        <v>157</v>
      </c>
      <c r="G92" s="179" t="s">
        <v>157</v>
      </c>
      <c r="H92" s="178"/>
      <c r="I92" s="178"/>
      <c r="J92" s="178"/>
      <c r="K92" s="177"/>
      <c r="L92" s="176"/>
      <c r="M92" s="175"/>
      <c r="N92" s="174"/>
      <c r="O92" s="173"/>
      <c r="V92" s="23"/>
    </row>
    <row r="93" spans="2:22" ht="15" customHeight="1" x14ac:dyDescent="0.25">
      <c r="B93" s="997"/>
      <c r="C93" s="180"/>
      <c r="D93" s="179" t="s">
        <v>146</v>
      </c>
      <c r="E93" s="178"/>
      <c r="F93" s="179" t="s">
        <v>154</v>
      </c>
      <c r="G93" s="178"/>
      <c r="H93" s="178"/>
      <c r="I93" s="178"/>
      <c r="J93" s="178"/>
      <c r="K93" s="177"/>
      <c r="L93" s="176"/>
      <c r="M93" s="175"/>
      <c r="N93" s="174"/>
      <c r="O93" s="173"/>
      <c r="V93" s="23"/>
    </row>
    <row r="94" spans="2:22" ht="15" customHeight="1" x14ac:dyDescent="0.25">
      <c r="B94" s="997"/>
      <c r="C94" s="180"/>
      <c r="D94" s="179" t="s">
        <v>146</v>
      </c>
      <c r="E94" s="178"/>
      <c r="F94" s="178"/>
      <c r="G94" s="178"/>
      <c r="H94" s="178"/>
      <c r="I94" s="178"/>
      <c r="J94" s="178"/>
      <c r="K94" s="177"/>
      <c r="L94" s="176"/>
      <c r="M94" s="175"/>
      <c r="N94" s="174"/>
      <c r="O94" s="173"/>
      <c r="V94" s="23"/>
    </row>
    <row r="95" spans="2:22" ht="15" customHeight="1" x14ac:dyDescent="0.25">
      <c r="B95" s="997"/>
      <c r="C95" s="180"/>
      <c r="D95" s="179" t="s">
        <v>146</v>
      </c>
      <c r="E95" s="178"/>
      <c r="F95" s="178"/>
      <c r="G95" s="178"/>
      <c r="H95" s="178"/>
      <c r="I95" s="178"/>
      <c r="J95" s="178"/>
      <c r="K95" s="177"/>
      <c r="L95" s="176"/>
      <c r="M95" s="175"/>
      <c r="N95" s="174"/>
      <c r="O95" s="173"/>
      <c r="V95" s="23"/>
    </row>
    <row r="96" spans="2:22" ht="15.75" thickBot="1" x14ac:dyDescent="0.3">
      <c r="B96" s="997"/>
      <c r="C96" s="172"/>
      <c r="D96" s="171" t="s">
        <v>154</v>
      </c>
      <c r="E96" s="170"/>
      <c r="F96" s="170"/>
      <c r="G96" s="170"/>
      <c r="H96" s="170"/>
      <c r="I96" s="170"/>
      <c r="J96" s="170"/>
      <c r="K96" s="169"/>
      <c r="L96" s="168"/>
      <c r="M96" s="167"/>
      <c r="N96" s="166"/>
      <c r="O96" s="165"/>
      <c r="V96" s="23"/>
    </row>
    <row r="97" spans="2:23" ht="28.5" x14ac:dyDescent="0.45">
      <c r="B97" s="86"/>
      <c r="E97" s="59"/>
      <c r="F97" s="23"/>
      <c r="G97" s="23"/>
      <c r="H97" s="164"/>
      <c r="I97" s="23"/>
      <c r="J97" s="23"/>
      <c r="K97" s="23"/>
      <c r="L97" s="23"/>
      <c r="M97" s="23"/>
      <c r="W97" s="23"/>
    </row>
    <row r="98" spans="2:23" ht="29.25" thickBot="1" x14ac:dyDescent="0.5">
      <c r="B98" s="155"/>
    </row>
    <row r="99" spans="2:23" ht="25.5" customHeight="1" thickBot="1" x14ac:dyDescent="0.3">
      <c r="B99" s="997" t="s">
        <v>162</v>
      </c>
      <c r="C99" s="163" t="s">
        <v>139</v>
      </c>
    </row>
    <row r="100" spans="2:23" ht="15" customHeight="1" x14ac:dyDescent="0.25">
      <c r="B100" s="997"/>
      <c r="C100" s="162" t="s">
        <v>147</v>
      </c>
    </row>
    <row r="101" spans="2:23" ht="15" customHeight="1" x14ac:dyDescent="0.25">
      <c r="B101" s="997"/>
      <c r="C101" s="161" t="s">
        <v>146</v>
      </c>
    </row>
    <row r="102" spans="2:23" ht="15" customHeight="1" x14ac:dyDescent="0.25">
      <c r="B102" s="997"/>
      <c r="C102" s="161" t="s">
        <v>147</v>
      </c>
    </row>
    <row r="103" spans="2:23" ht="15" customHeight="1" x14ac:dyDescent="0.25">
      <c r="B103" s="997"/>
      <c r="C103" s="161" t="s">
        <v>146</v>
      </c>
    </row>
    <row r="104" spans="2:23" ht="15" customHeight="1" x14ac:dyDescent="0.25">
      <c r="B104" s="997"/>
      <c r="C104" s="161" t="s">
        <v>147</v>
      </c>
    </row>
    <row r="105" spans="2:23" ht="15" customHeight="1" x14ac:dyDescent="0.25">
      <c r="B105" s="997"/>
      <c r="C105" s="161" t="s">
        <v>163</v>
      </c>
    </row>
    <row r="106" spans="2:23" ht="15.75" customHeight="1" thickBot="1" x14ac:dyDescent="0.3">
      <c r="B106" s="997"/>
      <c r="C106" s="160" t="s">
        <v>160</v>
      </c>
    </row>
    <row r="107" spans="2:23" ht="15" customHeight="1" x14ac:dyDescent="0.25"/>
    <row r="108" spans="2:23" ht="15" customHeight="1" thickBot="1" x14ac:dyDescent="0.3"/>
    <row r="109" spans="2:23" ht="15" customHeight="1" thickBot="1" x14ac:dyDescent="0.3">
      <c r="B109" s="997" t="s">
        <v>164</v>
      </c>
      <c r="C109" s="159" t="s">
        <v>165</v>
      </c>
    </row>
    <row r="110" spans="2:23" ht="15" customHeight="1" x14ac:dyDescent="0.25">
      <c r="B110" s="997"/>
      <c r="C110" s="158" t="s">
        <v>146</v>
      </c>
    </row>
    <row r="111" spans="2:23" ht="15" customHeight="1" x14ac:dyDescent="0.25">
      <c r="B111" s="997"/>
      <c r="C111" s="157" t="s">
        <v>146</v>
      </c>
    </row>
    <row r="112" spans="2:23" ht="15" customHeight="1" x14ac:dyDescent="0.25">
      <c r="B112" s="997"/>
      <c r="C112" s="157" t="s">
        <v>146</v>
      </c>
    </row>
    <row r="113" spans="2:7" ht="15" customHeight="1" x14ac:dyDescent="0.25">
      <c r="B113" s="997"/>
      <c r="C113" s="157" t="s">
        <v>146</v>
      </c>
    </row>
    <row r="114" spans="2:7" ht="15" customHeight="1" thickBot="1" x14ac:dyDescent="0.3">
      <c r="B114" s="997"/>
      <c r="C114" s="156" t="s">
        <v>166</v>
      </c>
    </row>
    <row r="115" spans="2:7" ht="15" customHeight="1" x14ac:dyDescent="0.25"/>
    <row r="116" spans="2:7" ht="28.5" x14ac:dyDescent="0.45">
      <c r="B116" s="155"/>
    </row>
    <row r="117" spans="2:7" ht="15.75" customHeight="1" thickBot="1" x14ac:dyDescent="0.3">
      <c r="B117" s="998" t="s">
        <v>167</v>
      </c>
      <c r="C117" s="154" t="s">
        <v>168</v>
      </c>
      <c r="D117" s="153" t="s">
        <v>169</v>
      </c>
      <c r="E117" s="153" t="s">
        <v>170</v>
      </c>
      <c r="F117" s="153" t="s">
        <v>171</v>
      </c>
      <c r="G117" s="152" t="s">
        <v>172</v>
      </c>
    </row>
    <row r="118" spans="2:7" ht="26.25" customHeight="1" x14ac:dyDescent="0.25">
      <c r="B118" s="999"/>
      <c r="C118" s="151" t="s">
        <v>173</v>
      </c>
      <c r="D118" s="150" t="s">
        <v>173</v>
      </c>
      <c r="E118" s="134" t="s">
        <v>174</v>
      </c>
      <c r="F118" s="134" t="s">
        <v>175</v>
      </c>
      <c r="G118" s="149" t="s">
        <v>147</v>
      </c>
    </row>
    <row r="119" spans="2:7" ht="15.75" customHeight="1" x14ac:dyDescent="0.25">
      <c r="B119" s="999"/>
      <c r="C119" s="148" t="s">
        <v>173</v>
      </c>
      <c r="D119" s="131" t="s">
        <v>173</v>
      </c>
      <c r="E119" s="131" t="s">
        <v>176</v>
      </c>
      <c r="F119" s="131" t="s">
        <v>177</v>
      </c>
      <c r="G119" s="145"/>
    </row>
    <row r="120" spans="2:7" ht="15" customHeight="1" x14ac:dyDescent="0.25">
      <c r="B120" s="999"/>
      <c r="C120" s="148" t="s">
        <v>178</v>
      </c>
      <c r="D120" s="131" t="s">
        <v>178</v>
      </c>
      <c r="E120" s="131" t="s">
        <v>179</v>
      </c>
      <c r="F120" s="131" t="s">
        <v>177</v>
      </c>
      <c r="G120" s="145"/>
    </row>
    <row r="121" spans="2:7" ht="15" customHeight="1" x14ac:dyDescent="0.25">
      <c r="B121" s="999"/>
      <c r="C121" s="148" t="s">
        <v>178</v>
      </c>
      <c r="D121" s="131" t="s">
        <v>178</v>
      </c>
      <c r="E121" s="111"/>
      <c r="F121" s="131" t="s">
        <v>177</v>
      </c>
      <c r="G121" s="145"/>
    </row>
    <row r="122" spans="2:7" ht="15" customHeight="1" x14ac:dyDescent="0.25">
      <c r="B122" s="999"/>
      <c r="C122" s="147"/>
      <c r="D122" s="111"/>
      <c r="E122" s="111"/>
      <c r="F122" s="131" t="s">
        <v>177</v>
      </c>
      <c r="G122" s="145"/>
    </row>
    <row r="123" spans="2:7" ht="15" customHeight="1" x14ac:dyDescent="0.25">
      <c r="B123" s="999"/>
      <c r="C123" s="147"/>
      <c r="D123" s="111"/>
      <c r="E123" s="111"/>
      <c r="F123" s="131" t="s">
        <v>180</v>
      </c>
      <c r="G123" s="145"/>
    </row>
    <row r="124" spans="2:7" ht="15" customHeight="1" x14ac:dyDescent="0.25">
      <c r="B124" s="999"/>
      <c r="C124" s="147"/>
      <c r="D124" s="111"/>
      <c r="E124" s="111"/>
      <c r="F124" s="131" t="s">
        <v>180</v>
      </c>
      <c r="G124" s="145"/>
    </row>
    <row r="125" spans="2:7" ht="15" customHeight="1" x14ac:dyDescent="0.25">
      <c r="B125" s="999"/>
      <c r="C125" s="146"/>
      <c r="D125" s="111"/>
      <c r="E125" s="111"/>
      <c r="F125" s="131" t="s">
        <v>181</v>
      </c>
      <c r="G125" s="145"/>
    </row>
    <row r="126" spans="2:7" ht="15" customHeight="1" x14ac:dyDescent="0.25">
      <c r="B126" s="999"/>
      <c r="C126" s="146"/>
      <c r="D126" s="111"/>
      <c r="E126" s="111"/>
      <c r="F126" s="131" t="s">
        <v>181</v>
      </c>
      <c r="G126" s="145"/>
    </row>
    <row r="127" spans="2:7" ht="15.75" customHeight="1" x14ac:dyDescent="0.25">
      <c r="B127" s="999"/>
      <c r="C127" s="146"/>
      <c r="D127" s="111"/>
      <c r="E127" s="111"/>
      <c r="F127" s="131" t="s">
        <v>182</v>
      </c>
      <c r="G127" s="145"/>
    </row>
    <row r="128" spans="2:7" ht="15" customHeight="1" x14ac:dyDescent="0.25">
      <c r="B128" s="999"/>
      <c r="C128" s="146"/>
      <c r="D128" s="111"/>
      <c r="E128" s="111"/>
      <c r="F128" s="131" t="s">
        <v>182</v>
      </c>
      <c r="G128" s="145"/>
    </row>
    <row r="129" spans="2:7" ht="15" customHeight="1" x14ac:dyDescent="0.25">
      <c r="B129" s="999"/>
      <c r="C129" s="146"/>
      <c r="D129" s="111"/>
      <c r="E129" s="111"/>
      <c r="F129" s="131" t="s">
        <v>183</v>
      </c>
      <c r="G129" s="145"/>
    </row>
    <row r="130" spans="2:7" ht="15" customHeight="1" x14ac:dyDescent="0.25">
      <c r="B130" s="999"/>
      <c r="C130" s="146"/>
      <c r="D130" s="111"/>
      <c r="E130" s="111"/>
      <c r="F130" s="131" t="s">
        <v>147</v>
      </c>
      <c r="G130" s="145"/>
    </row>
    <row r="131" spans="2:7" ht="15.75" customHeight="1" thickBot="1" x14ac:dyDescent="0.3">
      <c r="B131" s="999"/>
      <c r="C131" s="144"/>
      <c r="D131" s="108"/>
      <c r="E131" s="108"/>
      <c r="F131" s="143" t="s">
        <v>183</v>
      </c>
      <c r="G131" s="142"/>
    </row>
    <row r="132" spans="2:7" ht="28.5" x14ac:dyDescent="0.45">
      <c r="B132" s="141"/>
      <c r="G132" s="128"/>
    </row>
    <row r="133" spans="2:7" ht="29.25" thickBot="1" x14ac:dyDescent="0.5">
      <c r="B133" s="141"/>
      <c r="C133" s="140" t="s">
        <v>184</v>
      </c>
      <c r="D133" s="140"/>
      <c r="E133" s="140"/>
      <c r="F133" s="140"/>
      <c r="G133" s="128"/>
    </row>
    <row r="134" spans="2:7" ht="15.75" customHeight="1" thickBot="1" x14ac:dyDescent="0.3">
      <c r="B134" s="988" t="s">
        <v>185</v>
      </c>
      <c r="C134" s="139" t="s">
        <v>168</v>
      </c>
      <c r="D134" s="138"/>
      <c r="E134" s="138" t="s">
        <v>170</v>
      </c>
      <c r="F134" s="137" t="s">
        <v>171</v>
      </c>
      <c r="G134" s="128"/>
    </row>
    <row r="135" spans="2:7" ht="15" customHeight="1" x14ac:dyDescent="0.25">
      <c r="B135" s="989"/>
      <c r="C135" s="136" t="s">
        <v>175</v>
      </c>
      <c r="D135" s="135"/>
      <c r="E135" s="134" t="s">
        <v>177</v>
      </c>
      <c r="F135" s="133" t="s">
        <v>147</v>
      </c>
      <c r="G135" s="128"/>
    </row>
    <row r="136" spans="2:7" ht="15" customHeight="1" x14ac:dyDescent="0.25">
      <c r="B136" s="989"/>
      <c r="C136" s="130" t="s">
        <v>150</v>
      </c>
      <c r="D136" s="111"/>
      <c r="E136" s="131" t="s">
        <v>180</v>
      </c>
      <c r="F136" s="132" t="s">
        <v>175</v>
      </c>
      <c r="G136" s="128"/>
    </row>
    <row r="137" spans="2:7" ht="15" customHeight="1" x14ac:dyDescent="0.25">
      <c r="B137" s="989"/>
      <c r="C137" s="130" t="s">
        <v>150</v>
      </c>
      <c r="D137" s="111"/>
      <c r="E137" s="131" t="s">
        <v>181</v>
      </c>
      <c r="F137" s="132" t="s">
        <v>147</v>
      </c>
      <c r="G137" s="128"/>
    </row>
    <row r="138" spans="2:7" ht="15" customHeight="1" x14ac:dyDescent="0.25">
      <c r="B138" s="989"/>
      <c r="C138" s="130" t="s">
        <v>175</v>
      </c>
      <c r="D138" s="111"/>
      <c r="E138" s="131" t="s">
        <v>182</v>
      </c>
      <c r="F138" s="132" t="s">
        <v>150</v>
      </c>
      <c r="G138" s="128"/>
    </row>
    <row r="139" spans="2:7" ht="15" customHeight="1" x14ac:dyDescent="0.25">
      <c r="B139" s="989"/>
      <c r="C139" s="130" t="s">
        <v>150</v>
      </c>
      <c r="D139" s="111"/>
      <c r="E139" s="131" t="s">
        <v>177</v>
      </c>
      <c r="F139" s="129"/>
      <c r="G139" s="128"/>
    </row>
    <row r="140" spans="2:7" ht="15.75" customHeight="1" x14ac:dyDescent="0.25">
      <c r="B140" s="989"/>
      <c r="C140" s="130" t="s">
        <v>150</v>
      </c>
      <c r="D140" s="111"/>
      <c r="E140" s="131" t="s">
        <v>147</v>
      </c>
      <c r="F140" s="129"/>
      <c r="G140" s="128"/>
    </row>
    <row r="141" spans="2:7" ht="15" customHeight="1" x14ac:dyDescent="0.25">
      <c r="B141" s="989"/>
      <c r="C141" s="130" t="s">
        <v>175</v>
      </c>
      <c r="D141" s="111"/>
      <c r="E141" s="131" t="s">
        <v>147</v>
      </c>
      <c r="F141" s="129"/>
      <c r="G141" s="128"/>
    </row>
    <row r="142" spans="2:7" ht="15" customHeight="1" x14ac:dyDescent="0.25">
      <c r="B142" s="989"/>
      <c r="C142" s="130" t="s">
        <v>150</v>
      </c>
      <c r="D142" s="111"/>
      <c r="E142" s="131" t="s">
        <v>177</v>
      </c>
      <c r="F142" s="129"/>
      <c r="G142" s="128"/>
    </row>
    <row r="143" spans="2:7" ht="15" customHeight="1" x14ac:dyDescent="0.25">
      <c r="B143" s="989"/>
      <c r="C143" s="130" t="s">
        <v>150</v>
      </c>
      <c r="D143" s="111"/>
      <c r="E143" s="111"/>
      <c r="F143" s="129"/>
      <c r="G143" s="128"/>
    </row>
    <row r="144" spans="2:7" ht="15" customHeight="1" x14ac:dyDescent="0.25">
      <c r="B144" s="989"/>
      <c r="C144" s="130" t="s">
        <v>175</v>
      </c>
      <c r="D144" s="111"/>
      <c r="E144" s="111"/>
      <c r="F144" s="129"/>
      <c r="G144" s="128"/>
    </row>
    <row r="145" spans="2:7" ht="15" customHeight="1" x14ac:dyDescent="0.25">
      <c r="B145" s="989"/>
      <c r="C145" s="130" t="s">
        <v>150</v>
      </c>
      <c r="D145" s="111"/>
      <c r="E145" s="111"/>
      <c r="F145" s="129"/>
      <c r="G145" s="128"/>
    </row>
    <row r="146" spans="2:7" ht="15" customHeight="1" x14ac:dyDescent="0.25">
      <c r="B146" s="989"/>
      <c r="C146" s="130" t="s">
        <v>175</v>
      </c>
      <c r="D146" s="111"/>
      <c r="E146" s="111"/>
      <c r="F146" s="129"/>
      <c r="G146" s="128"/>
    </row>
    <row r="147" spans="2:7" ht="15" customHeight="1" x14ac:dyDescent="0.25">
      <c r="B147" s="989"/>
      <c r="C147" s="130" t="s">
        <v>150</v>
      </c>
      <c r="D147" s="111"/>
      <c r="E147" s="111"/>
      <c r="F147" s="129"/>
      <c r="G147" s="128"/>
    </row>
    <row r="148" spans="2:7" ht="15" customHeight="1" x14ac:dyDescent="0.25">
      <c r="B148" s="989"/>
      <c r="C148" s="130" t="s">
        <v>175</v>
      </c>
      <c r="D148" s="111"/>
      <c r="E148" s="111"/>
      <c r="F148" s="129"/>
      <c r="G148" s="128"/>
    </row>
    <row r="149" spans="2:7" ht="27" customHeight="1" x14ac:dyDescent="0.25">
      <c r="B149" s="990"/>
      <c r="C149" s="127" t="s">
        <v>150</v>
      </c>
      <c r="D149" s="126"/>
      <c r="E149" s="126"/>
      <c r="F149" s="125"/>
      <c r="G149" s="124"/>
    </row>
    <row r="150" spans="2:7" ht="29.25" thickBot="1" x14ac:dyDescent="0.5">
      <c r="B150" s="86"/>
    </row>
    <row r="151" spans="2:7" ht="15.75" customHeight="1" thickBot="1" x14ac:dyDescent="0.3">
      <c r="B151" s="991" t="s">
        <v>186</v>
      </c>
      <c r="C151" s="123" t="s">
        <v>187</v>
      </c>
    </row>
    <row r="152" spans="2:7" ht="15" customHeight="1" x14ac:dyDescent="0.25">
      <c r="B152" s="991"/>
      <c r="C152" s="122" t="s">
        <v>188</v>
      </c>
    </row>
    <row r="153" spans="2:7" ht="15" customHeight="1" x14ac:dyDescent="0.25">
      <c r="B153" s="991"/>
      <c r="C153" s="122" t="s">
        <v>189</v>
      </c>
    </row>
    <row r="154" spans="2:7" ht="15" customHeight="1" x14ac:dyDescent="0.25">
      <c r="B154" s="991"/>
      <c r="C154" s="122" t="s">
        <v>189</v>
      </c>
    </row>
    <row r="155" spans="2:7" ht="15" customHeight="1" x14ac:dyDescent="0.25">
      <c r="B155" s="991"/>
      <c r="C155" s="122" t="s">
        <v>189</v>
      </c>
    </row>
    <row r="156" spans="2:7" ht="15" customHeight="1" x14ac:dyDescent="0.25">
      <c r="B156" s="991"/>
      <c r="C156" s="122" t="s">
        <v>189</v>
      </c>
    </row>
    <row r="157" spans="2:7" ht="15.75" customHeight="1" thickBot="1" x14ac:dyDescent="0.3">
      <c r="B157" s="991"/>
      <c r="C157" s="121" t="s">
        <v>189</v>
      </c>
    </row>
    <row r="158" spans="2:7" ht="29.25" thickBot="1" x14ac:dyDescent="0.5">
      <c r="B158" s="86"/>
    </row>
    <row r="159" spans="2:7" ht="15.75" thickBot="1" x14ac:dyDescent="0.3">
      <c r="B159" s="992" t="s">
        <v>190</v>
      </c>
      <c r="C159" s="120" t="s">
        <v>191</v>
      </c>
      <c r="D159" s="119" t="s">
        <v>192</v>
      </c>
      <c r="E159" s="119" t="s">
        <v>193</v>
      </c>
      <c r="F159" s="118" t="s">
        <v>194</v>
      </c>
    </row>
    <row r="160" spans="2:7" x14ac:dyDescent="0.25">
      <c r="B160" s="993"/>
      <c r="C160" s="117" t="s">
        <v>150</v>
      </c>
      <c r="D160" s="116" t="s">
        <v>150</v>
      </c>
      <c r="E160" s="115" t="s">
        <v>195</v>
      </c>
      <c r="F160" s="114"/>
    </row>
    <row r="161" spans="2:6" ht="15" customHeight="1" x14ac:dyDescent="0.25">
      <c r="B161" s="993"/>
      <c r="C161" s="112" t="s">
        <v>150</v>
      </c>
      <c r="D161" s="113" t="s">
        <v>150</v>
      </c>
      <c r="E161" s="111" t="s">
        <v>196</v>
      </c>
      <c r="F161" s="110"/>
    </row>
    <row r="162" spans="2:6" ht="15" customHeight="1" x14ac:dyDescent="0.25">
      <c r="B162" s="993"/>
      <c r="C162" s="112" t="s">
        <v>150</v>
      </c>
      <c r="D162" s="113" t="s">
        <v>150</v>
      </c>
      <c r="E162" s="111"/>
      <c r="F162" s="110"/>
    </row>
    <row r="163" spans="2:6" ht="15" customHeight="1" x14ac:dyDescent="0.25">
      <c r="B163" s="993"/>
      <c r="C163" s="112" t="s">
        <v>150</v>
      </c>
      <c r="D163" s="113" t="s">
        <v>150</v>
      </c>
      <c r="E163" s="111"/>
      <c r="F163" s="110"/>
    </row>
    <row r="164" spans="2:6" ht="15" customHeight="1" x14ac:dyDescent="0.25">
      <c r="B164" s="993"/>
      <c r="C164" s="112" t="s">
        <v>150</v>
      </c>
      <c r="D164" s="113" t="s">
        <v>166</v>
      </c>
      <c r="E164" s="111"/>
      <c r="F164" s="110"/>
    </row>
    <row r="165" spans="2:6" ht="15" customHeight="1" x14ac:dyDescent="0.25">
      <c r="B165" s="993"/>
      <c r="C165" s="112" t="s">
        <v>150</v>
      </c>
      <c r="D165" s="111"/>
      <c r="E165" s="111"/>
      <c r="F165" s="110"/>
    </row>
    <row r="166" spans="2:6" ht="15" customHeight="1" x14ac:dyDescent="0.25">
      <c r="B166" s="993"/>
      <c r="C166" s="112" t="s">
        <v>150</v>
      </c>
      <c r="D166" s="111"/>
      <c r="E166" s="111"/>
      <c r="F166" s="110"/>
    </row>
    <row r="167" spans="2:6" ht="15" customHeight="1" x14ac:dyDescent="0.25">
      <c r="B167" s="993"/>
      <c r="C167" s="112" t="s">
        <v>150</v>
      </c>
      <c r="D167" s="111"/>
      <c r="E167" s="111"/>
      <c r="F167" s="110"/>
    </row>
    <row r="168" spans="2:6" ht="15" customHeight="1" x14ac:dyDescent="0.25">
      <c r="B168" s="993"/>
      <c r="C168" s="112" t="s">
        <v>150</v>
      </c>
      <c r="D168" s="111"/>
      <c r="E168" s="111"/>
      <c r="F168" s="110"/>
    </row>
    <row r="169" spans="2:6" ht="15" customHeight="1" x14ac:dyDescent="0.25">
      <c r="B169" s="993"/>
      <c r="C169" s="112" t="s">
        <v>150</v>
      </c>
      <c r="D169" s="111"/>
      <c r="E169" s="111"/>
      <c r="F169" s="110"/>
    </row>
    <row r="170" spans="2:6" ht="15" customHeight="1" x14ac:dyDescent="0.25">
      <c r="B170" s="993"/>
      <c r="C170" s="112" t="s">
        <v>150</v>
      </c>
      <c r="D170" s="111"/>
      <c r="E170" s="111"/>
      <c r="F170" s="110"/>
    </row>
    <row r="171" spans="2:6" ht="15" customHeight="1" x14ac:dyDescent="0.25">
      <c r="B171" s="993"/>
      <c r="C171" s="112" t="s">
        <v>150</v>
      </c>
      <c r="D171" s="111"/>
      <c r="E171" s="111"/>
      <c r="F171" s="110"/>
    </row>
    <row r="172" spans="2:6" ht="15" customHeight="1" x14ac:dyDescent="0.25">
      <c r="B172" s="993"/>
      <c r="C172" s="112" t="s">
        <v>166</v>
      </c>
      <c r="D172" s="111"/>
      <c r="E172" s="111"/>
      <c r="F172" s="110"/>
    </row>
    <row r="173" spans="2:6" ht="15.75" customHeight="1" thickBot="1" x14ac:dyDescent="0.3">
      <c r="B173" s="993"/>
      <c r="C173" s="109" t="s">
        <v>166</v>
      </c>
      <c r="D173" s="108" t="s">
        <v>197</v>
      </c>
      <c r="E173" s="108"/>
      <c r="F173" s="107"/>
    </row>
    <row r="174" spans="2:6" ht="29.25" thickBot="1" x14ac:dyDescent="0.5">
      <c r="B174" s="86"/>
    </row>
    <row r="175" spans="2:6" ht="15.75" customHeight="1" thickBot="1" x14ac:dyDescent="0.3">
      <c r="B175" s="994" t="s">
        <v>198</v>
      </c>
      <c r="C175" s="106" t="s">
        <v>199</v>
      </c>
      <c r="D175" s="105" t="s">
        <v>200</v>
      </c>
      <c r="E175" s="104" t="s">
        <v>201</v>
      </c>
    </row>
    <row r="176" spans="2:6" ht="15.75" customHeight="1" thickBot="1" x14ac:dyDescent="0.3">
      <c r="B176" s="995"/>
      <c r="C176" s="103" t="s">
        <v>188</v>
      </c>
      <c r="D176" s="102" t="s">
        <v>202</v>
      </c>
      <c r="E176" s="101" t="s">
        <v>203</v>
      </c>
    </row>
    <row r="177" spans="2:23" ht="29.25" thickBot="1" x14ac:dyDescent="0.5">
      <c r="B177" s="86"/>
      <c r="C177" s="100"/>
      <c r="D177" s="23"/>
      <c r="E177" s="99"/>
    </row>
    <row r="178" spans="2:23" ht="15.75" customHeight="1" thickBot="1" x14ac:dyDescent="0.3">
      <c r="B178" s="994" t="s">
        <v>204</v>
      </c>
      <c r="C178" s="98" t="s">
        <v>205</v>
      </c>
      <c r="D178" s="97" t="s">
        <v>206</v>
      </c>
      <c r="E178" s="96" t="s">
        <v>207</v>
      </c>
    </row>
    <row r="179" spans="2:23" ht="15" customHeight="1" x14ac:dyDescent="0.25">
      <c r="B179" s="994"/>
      <c r="C179" s="95" t="s">
        <v>188</v>
      </c>
      <c r="D179" s="94" t="s">
        <v>188</v>
      </c>
      <c r="E179" s="93" t="s">
        <v>208</v>
      </c>
    </row>
    <row r="180" spans="2:23" ht="26.25" customHeight="1" x14ac:dyDescent="0.25">
      <c r="B180" s="994"/>
      <c r="C180" s="92" t="s">
        <v>189</v>
      </c>
      <c r="D180" s="91" t="s">
        <v>189</v>
      </c>
      <c r="E180" s="90"/>
    </row>
    <row r="181" spans="2:23" ht="26.25" customHeight="1" x14ac:dyDescent="0.25">
      <c r="B181" s="994"/>
      <c r="C181" s="92" t="s">
        <v>189</v>
      </c>
      <c r="D181" s="91" t="s">
        <v>189</v>
      </c>
      <c r="E181" s="90"/>
    </row>
    <row r="182" spans="2:23" ht="26.25" customHeight="1" x14ac:dyDescent="0.25">
      <c r="B182" s="994"/>
      <c r="C182" s="92" t="s">
        <v>189</v>
      </c>
      <c r="D182" s="91" t="s">
        <v>189</v>
      </c>
      <c r="E182" s="90"/>
    </row>
    <row r="183" spans="2:23" ht="27" customHeight="1" thickBot="1" x14ac:dyDescent="0.3">
      <c r="B183" s="994"/>
      <c r="C183" s="89" t="s">
        <v>189</v>
      </c>
      <c r="D183" s="88"/>
      <c r="E183" s="87"/>
    </row>
    <row r="184" spans="2:23" ht="28.5" x14ac:dyDescent="0.45">
      <c r="B184" s="86"/>
    </row>
    <row r="185" spans="2:23" ht="28.5" x14ac:dyDescent="0.45">
      <c r="B185" s="86"/>
    </row>
    <row r="186" spans="2:23" ht="31.5" x14ac:dyDescent="0.5">
      <c r="B186" s="85" t="s">
        <v>209</v>
      </c>
      <c r="C186" s="84"/>
      <c r="D186" s="84"/>
      <c r="E186" s="84"/>
      <c r="F186" s="84"/>
      <c r="G186" s="84"/>
      <c r="H186" s="84"/>
      <c r="I186" s="84"/>
      <c r="J186" s="84"/>
      <c r="K186" s="84"/>
      <c r="L186" s="84"/>
      <c r="M186" s="84"/>
      <c r="N186" s="84"/>
      <c r="O186" s="84"/>
    </row>
    <row r="187" spans="2:23" ht="15.75" thickBot="1" x14ac:dyDescent="0.3"/>
    <row r="188" spans="2:23" ht="15.75" thickBot="1" x14ac:dyDescent="0.3">
      <c r="B188" s="83" t="s">
        <v>210</v>
      </c>
      <c r="C188" s="82"/>
      <c r="D188" s="82"/>
      <c r="E188" s="82"/>
      <c r="F188" s="81"/>
      <c r="R188" s="23"/>
      <c r="S188" s="23"/>
      <c r="T188" s="23"/>
      <c r="U188" s="23"/>
      <c r="V188" s="23"/>
      <c r="W188" s="23"/>
    </row>
    <row r="189" spans="2:23" ht="15.75" thickBot="1" x14ac:dyDescent="0.3">
      <c r="D189" s="80"/>
      <c r="E189" s="79"/>
      <c r="F189" s="23"/>
      <c r="Q189" s="23"/>
      <c r="R189" s="23"/>
      <c r="S189" s="23"/>
      <c r="T189" s="23"/>
      <c r="U189" s="23"/>
      <c r="V189" s="23"/>
      <c r="W189" s="23"/>
    </row>
    <row r="190" spans="2:23" ht="30.75" customHeight="1" thickBot="1" x14ac:dyDescent="0.3">
      <c r="B190" s="987" t="s">
        <v>211</v>
      </c>
      <c r="C190" s="78" t="s">
        <v>212</v>
      </c>
      <c r="D190" s="77" t="s">
        <v>213</v>
      </c>
      <c r="E190" s="77" t="s">
        <v>214</v>
      </c>
      <c r="F190" s="76" t="s">
        <v>215</v>
      </c>
      <c r="G190" s="75"/>
      <c r="Q190" s="23"/>
      <c r="R190" s="23"/>
      <c r="S190" s="23"/>
      <c r="T190" s="23"/>
      <c r="U190" s="23"/>
      <c r="V190" s="23"/>
      <c r="W190" s="23"/>
    </row>
    <row r="191" spans="2:23" ht="45.75" customHeight="1" thickBot="1" x14ac:dyDescent="0.3">
      <c r="B191" s="987"/>
      <c r="C191" s="74" t="s">
        <v>216</v>
      </c>
      <c r="D191" s="73" t="s">
        <v>217</v>
      </c>
      <c r="E191" s="72" t="s">
        <v>218</v>
      </c>
      <c r="F191" s="71" t="s">
        <v>219</v>
      </c>
      <c r="G191" s="23"/>
      <c r="Q191" s="23"/>
      <c r="R191" s="23"/>
      <c r="S191" s="23"/>
      <c r="T191" s="23"/>
      <c r="U191" s="23"/>
      <c r="V191" s="23"/>
      <c r="W191" s="23"/>
    </row>
    <row r="192" spans="2:23" x14ac:dyDescent="0.25">
      <c r="C192" s="23"/>
      <c r="D192" s="23"/>
      <c r="E192" s="59"/>
      <c r="F192" s="23"/>
      <c r="G192" s="23"/>
      <c r="Q192" s="23"/>
      <c r="R192" s="23"/>
      <c r="S192" s="23"/>
      <c r="T192" s="23"/>
      <c r="U192" s="23"/>
      <c r="V192" s="23"/>
      <c r="W192" s="23"/>
    </row>
    <row r="193" spans="2:23" ht="15.75" thickBot="1" x14ac:dyDescent="0.3">
      <c r="G193" s="23"/>
      <c r="Q193" s="23"/>
      <c r="R193" s="23"/>
      <c r="S193" s="23"/>
      <c r="T193" s="23"/>
      <c r="U193" s="23"/>
      <c r="V193" s="23"/>
      <c r="W193" s="23"/>
    </row>
    <row r="194" spans="2:23" ht="30" customHeight="1" thickBot="1" x14ac:dyDescent="0.3">
      <c r="B194" s="987" t="s">
        <v>220</v>
      </c>
      <c r="C194" s="70" t="s">
        <v>221</v>
      </c>
      <c r="D194" s="69" t="s">
        <v>222</v>
      </c>
      <c r="E194" s="68" t="s">
        <v>223</v>
      </c>
      <c r="G194" s="23"/>
      <c r="Q194" s="23"/>
      <c r="R194" s="23"/>
      <c r="S194" s="23"/>
      <c r="T194" s="23"/>
      <c r="U194" s="23"/>
      <c r="V194" s="23"/>
      <c r="W194" s="23"/>
    </row>
    <row r="195" spans="2:23" ht="51.75" thickBot="1" x14ac:dyDescent="0.3">
      <c r="B195" s="987"/>
      <c r="C195" s="63" t="s">
        <v>224</v>
      </c>
      <c r="D195" s="62" t="s">
        <v>225</v>
      </c>
      <c r="E195" s="67" t="str">
        <f ca="1">dms_060701_StartDateTxt</f>
        <v>1-Jul-2019</v>
      </c>
      <c r="Q195" s="23"/>
      <c r="R195" s="23"/>
      <c r="S195" s="23"/>
      <c r="T195" s="23"/>
      <c r="U195" s="23"/>
      <c r="V195" s="23"/>
      <c r="W195" s="23"/>
    </row>
    <row r="196" spans="2:23" x14ac:dyDescent="0.25">
      <c r="C196" s="23"/>
      <c r="D196" s="23"/>
      <c r="E196" s="59"/>
      <c r="G196" s="23"/>
      <c r="Q196" s="23"/>
      <c r="R196" s="23"/>
      <c r="S196" s="23"/>
      <c r="T196" s="23"/>
      <c r="U196" s="23"/>
      <c r="V196" s="23"/>
      <c r="W196" s="23"/>
    </row>
    <row r="197" spans="2:23" ht="15.75" thickBot="1" x14ac:dyDescent="0.3">
      <c r="C197" s="23"/>
      <c r="P197" s="23"/>
      <c r="Q197" s="23"/>
      <c r="R197" s="23"/>
      <c r="S197" s="23"/>
      <c r="T197" s="23"/>
      <c r="U197" s="23"/>
      <c r="V197" s="23"/>
      <c r="W197" s="23"/>
    </row>
    <row r="198" spans="2:23" ht="22.5" customHeight="1" thickBot="1" x14ac:dyDescent="0.3">
      <c r="B198" s="987" t="s">
        <v>226</v>
      </c>
      <c r="C198" s="66" t="s">
        <v>227</v>
      </c>
      <c r="D198" s="65" t="s">
        <v>228</v>
      </c>
      <c r="E198" s="65" t="s">
        <v>229</v>
      </c>
      <c r="F198" s="64" t="s">
        <v>230</v>
      </c>
      <c r="Q198" s="23"/>
      <c r="R198" s="23"/>
      <c r="S198" s="23"/>
      <c r="T198" s="23"/>
      <c r="U198" s="23"/>
      <c r="V198" s="23"/>
      <c r="W198" s="23"/>
    </row>
    <row r="199" spans="2:23" ht="22.5" customHeight="1" thickBot="1" x14ac:dyDescent="0.3">
      <c r="B199" s="987"/>
      <c r="C199" s="63" t="s">
        <v>231</v>
      </c>
      <c r="D199" s="62" t="s">
        <v>232</v>
      </c>
      <c r="E199" s="61" t="s">
        <v>233</v>
      </c>
      <c r="F199" s="60" t="s">
        <v>234</v>
      </c>
      <c r="Q199" s="23"/>
      <c r="R199" s="23"/>
      <c r="S199" s="23"/>
      <c r="T199" s="23"/>
      <c r="U199" s="23"/>
      <c r="V199" s="23"/>
      <c r="W199" s="23"/>
    </row>
    <row r="200" spans="2:23" x14ac:dyDescent="0.25">
      <c r="B200" s="23"/>
      <c r="C200" s="23"/>
      <c r="D200" s="23"/>
      <c r="E200" s="59"/>
      <c r="F200" s="23"/>
      <c r="Q200" s="23"/>
      <c r="R200" s="23"/>
      <c r="S200" s="23"/>
      <c r="T200" s="23"/>
      <c r="U200" s="23"/>
      <c r="V200" s="23"/>
      <c r="W200" s="23"/>
    </row>
    <row r="201" spans="2:23" ht="15.75" thickBot="1" x14ac:dyDescent="0.3">
      <c r="C201" s="23"/>
      <c r="Q201" s="23"/>
      <c r="R201" s="23"/>
      <c r="S201" s="23"/>
      <c r="T201" s="23"/>
      <c r="U201" s="23"/>
      <c r="V201" s="23"/>
      <c r="W201" s="23"/>
    </row>
    <row r="202" spans="2:23" ht="36" customHeight="1" thickBot="1" x14ac:dyDescent="0.3">
      <c r="B202" s="58" t="s">
        <v>235</v>
      </c>
      <c r="C202" s="57" t="s">
        <v>236</v>
      </c>
      <c r="D202" s="56" t="s">
        <v>237</v>
      </c>
      <c r="E202" s="55" t="s">
        <v>238</v>
      </c>
      <c r="Q202" s="23"/>
      <c r="R202" s="23"/>
      <c r="S202" s="23"/>
      <c r="T202" s="23"/>
      <c r="U202" s="23"/>
      <c r="V202" s="23"/>
      <c r="W202" s="23"/>
    </row>
    <row r="204" spans="2:23" x14ac:dyDescent="0.25">
      <c r="C204" s="23"/>
      <c r="P204" s="23"/>
      <c r="Q204" s="23"/>
      <c r="R204" s="23"/>
      <c r="S204" s="23"/>
      <c r="T204" s="23"/>
      <c r="U204" s="23"/>
      <c r="V204" s="23"/>
      <c r="W204" s="23"/>
    </row>
    <row r="205" spans="2:23" s="23" customFormat="1" ht="21.75" customHeight="1" x14ac:dyDescent="0.25">
      <c r="B205" s="34" t="s">
        <v>239</v>
      </c>
      <c r="C205" s="54"/>
      <c r="D205" s="54"/>
      <c r="E205" s="54"/>
      <c r="F205" s="54"/>
      <c r="G205" s="54"/>
      <c r="H205" s="54"/>
      <c r="I205" s="54"/>
      <c r="J205" s="54"/>
      <c r="K205" s="54"/>
      <c r="L205" s="54"/>
      <c r="M205" s="54"/>
      <c r="N205" s="54"/>
      <c r="O205" s="54"/>
    </row>
    <row r="206" spans="2:23" ht="15.75" thickBot="1" x14ac:dyDescent="0.3">
      <c r="B206" s="53"/>
      <c r="C206" s="23"/>
      <c r="F206" s="26"/>
      <c r="K206" s="19"/>
      <c r="P206" s="23"/>
      <c r="Q206" s="23"/>
      <c r="R206" s="23"/>
      <c r="S206" s="23"/>
      <c r="T206" s="23"/>
      <c r="U206" s="23"/>
      <c r="V206" s="23"/>
      <c r="W206" s="23"/>
    </row>
    <row r="207" spans="2:23" ht="15" customHeight="1" thickBot="1" x14ac:dyDescent="0.3">
      <c r="B207" s="987" t="s">
        <v>240</v>
      </c>
      <c r="C207" s="40" t="s">
        <v>241</v>
      </c>
      <c r="D207" s="52" t="str">
        <f>INDEX(dms_FeederName_1,MATCH(dms_TradingName,dms_TradingName_List))</f>
        <v>CBD</v>
      </c>
      <c r="E207" s="49" t="str">
        <f>INDEX(dms_FeederName_1,MATCH(dms_TradingName,dms_TradingName_List))</f>
        <v>CBD</v>
      </c>
      <c r="F207" s="51" t="str">
        <f>INDEX(dms_FeederName_2,MATCH(dms_TradingName,dms_TradingName_List))</f>
        <v>Urban</v>
      </c>
      <c r="G207" s="50" t="str">
        <f>INDEX(dms_FeederName_2,MATCH(dms_TradingName,dms_TradingName_List))</f>
        <v>Urban</v>
      </c>
      <c r="H207" s="49" t="str">
        <f>INDEX(dms_FeederName_3,MATCH(dms_TradingName,dms_TradingName_List))</f>
        <v>Short rural</v>
      </c>
      <c r="I207" s="49" t="str">
        <f>INDEX(dms_FeederName_3,MATCH(dms_TradingName,dms_TradingName_List))</f>
        <v>Short rural</v>
      </c>
      <c r="J207" s="50" t="str">
        <f>INDEX(dms_FeederName_4,MATCH(dms_TradingName,dms_TradingName_List))</f>
        <v>Long rural</v>
      </c>
      <c r="K207" s="50" t="str">
        <f>INDEX(dms_FeederName_4,MATCH(dms_TradingName,dms_TradingName_List))</f>
        <v>Long rural</v>
      </c>
      <c r="L207" s="49" t="str">
        <f>IF((INDEX(dms_FeederName_5,MATCH(dms_TradingName,dms_TradingName_List))=0),"Network",(INDEX(dms_FeederName_5,MATCH(dms_TradingName,dms_TradingName_List))))</f>
        <v>Network</v>
      </c>
      <c r="M207" s="49" t="str">
        <f>IF((INDEX(dms_FeederName_5,MATCH(dms_TradingName,dms_TradingName_List))=0),"Network",(INDEX(dms_FeederName_5,MATCH(dms_TradingName,dms_TradingName_List))))</f>
        <v>Network</v>
      </c>
      <c r="N207" s="49" t="s">
        <v>242</v>
      </c>
      <c r="O207" s="49" t="s">
        <v>242</v>
      </c>
      <c r="P207" s="23"/>
      <c r="Q207" s="23"/>
      <c r="R207" s="23"/>
      <c r="S207" s="23"/>
      <c r="T207" s="23"/>
      <c r="U207" s="23"/>
      <c r="V207" s="23"/>
      <c r="W207" s="23"/>
    </row>
    <row r="208" spans="2:23" ht="15.75" thickBot="1" x14ac:dyDescent="0.3">
      <c r="B208" s="987"/>
      <c r="C208" s="48"/>
      <c r="D208" s="47"/>
      <c r="F208" s="26"/>
      <c r="N208" s="46"/>
      <c r="P208" s="23"/>
      <c r="Q208" s="23"/>
      <c r="R208" s="23"/>
      <c r="S208" s="23"/>
      <c r="T208" s="23"/>
      <c r="U208" s="23"/>
      <c r="V208" s="23"/>
      <c r="W208" s="23"/>
    </row>
    <row r="209" spans="2:23" ht="26.25" thickBot="1" x14ac:dyDescent="0.3">
      <c r="B209" s="987"/>
      <c r="C209" s="40" t="s">
        <v>243</v>
      </c>
      <c r="D209" s="45" t="s">
        <v>244</v>
      </c>
      <c r="E209" s="43" t="s">
        <v>245</v>
      </c>
      <c r="F209" s="44" t="s">
        <v>244</v>
      </c>
      <c r="G209" s="43" t="s">
        <v>245</v>
      </c>
      <c r="H209" s="43" t="s">
        <v>244</v>
      </c>
      <c r="I209" s="43" t="s">
        <v>245</v>
      </c>
      <c r="J209" s="43" t="s">
        <v>244</v>
      </c>
      <c r="K209" s="43" t="s">
        <v>245</v>
      </c>
      <c r="L209" s="43" t="s">
        <v>244</v>
      </c>
      <c r="M209" s="42" t="s">
        <v>245</v>
      </c>
      <c r="N209" s="43" t="s">
        <v>244</v>
      </c>
      <c r="O209" s="42" t="s">
        <v>245</v>
      </c>
      <c r="P209" s="23"/>
      <c r="Q209" s="23"/>
      <c r="R209" s="23"/>
      <c r="S209" s="23"/>
      <c r="T209" s="23"/>
      <c r="U209" s="23"/>
      <c r="V209" s="23"/>
      <c r="W209" s="23"/>
    </row>
    <row r="210" spans="2:23" x14ac:dyDescent="0.25">
      <c r="B210" s="987"/>
      <c r="C210" s="23"/>
      <c r="D210" s="41" t="s">
        <v>246</v>
      </c>
      <c r="F210" s="26"/>
      <c r="P210" s="23"/>
      <c r="Q210" s="23"/>
      <c r="R210" s="23"/>
      <c r="S210" s="23"/>
      <c r="T210" s="23"/>
      <c r="U210" s="23"/>
      <c r="V210" s="23"/>
      <c r="W210" s="23"/>
    </row>
    <row r="211" spans="2:23" ht="15.75" thickBot="1" x14ac:dyDescent="0.3">
      <c r="B211" s="987"/>
      <c r="C211" s="23"/>
      <c r="F211" s="26"/>
      <c r="P211" s="23"/>
      <c r="Q211" s="23"/>
      <c r="R211" s="23"/>
      <c r="S211" s="23"/>
      <c r="T211" s="23"/>
      <c r="U211" s="23"/>
      <c r="V211" s="23"/>
      <c r="W211" s="23"/>
    </row>
    <row r="212" spans="2:23" ht="15.75" thickBot="1" x14ac:dyDescent="0.3">
      <c r="B212" s="987"/>
      <c r="C212" s="40" t="s">
        <v>247</v>
      </c>
      <c r="D212" s="39" t="str">
        <f>INDEX(dms_FeederName_1,MATCH(dms_TradingName,dms_TradingName_List))</f>
        <v>CBD</v>
      </c>
      <c r="E212" s="38" t="str">
        <f>INDEX(dms_FeederName_2,MATCH(dms_TradingName,dms_TradingName_List))</f>
        <v>Urban</v>
      </c>
      <c r="F212" s="38" t="str">
        <f>INDEX(dms_FeederName_3,MATCH(dms_TradingName,dms_TradingName_List))</f>
        <v>Short rural</v>
      </c>
      <c r="G212" s="38" t="str">
        <f>INDEX(dms_FeederName_4,MATCH(dms_TradingName,dms_TradingName_List))</f>
        <v>Long rural</v>
      </c>
      <c r="H212" s="37"/>
      <c r="Q212" s="23"/>
      <c r="R212" s="23"/>
      <c r="S212" s="23"/>
      <c r="T212" s="23"/>
      <c r="U212" s="23"/>
      <c r="V212" s="23"/>
      <c r="W212" s="23"/>
    </row>
    <row r="213" spans="2:23" x14ac:dyDescent="0.25">
      <c r="B213" s="23"/>
      <c r="C213" s="36"/>
      <c r="D213" s="20"/>
      <c r="E213" s="26"/>
      <c r="I213" s="35"/>
      <c r="J213" s="20"/>
      <c r="Q213" s="23"/>
      <c r="R213" s="23"/>
      <c r="S213" s="23"/>
      <c r="T213" s="23"/>
      <c r="U213" s="23"/>
      <c r="V213" s="23"/>
      <c r="W213" s="23"/>
    </row>
    <row r="214" spans="2:23" x14ac:dyDescent="0.25">
      <c r="E214" s="26"/>
      <c r="Q214" s="23"/>
      <c r="R214" s="23"/>
      <c r="S214" s="23"/>
      <c r="T214" s="23"/>
      <c r="U214" s="23"/>
      <c r="V214" s="23"/>
      <c r="W214" s="23"/>
    </row>
    <row r="215" spans="2:23" ht="29.25" customHeight="1" x14ac:dyDescent="0.25">
      <c r="B215" s="34" t="s">
        <v>248</v>
      </c>
      <c r="C215" s="34" t="s">
        <v>248</v>
      </c>
      <c r="D215" s="34"/>
      <c r="E215" s="34"/>
      <c r="F215" s="34"/>
      <c r="G215" s="34"/>
      <c r="H215" s="34"/>
      <c r="I215" s="34"/>
      <c r="J215" s="34"/>
      <c r="K215" s="34"/>
      <c r="L215" s="34"/>
      <c r="M215" s="34"/>
      <c r="Q215" s="23"/>
      <c r="R215" s="23"/>
      <c r="S215" s="23"/>
      <c r="T215" s="23"/>
      <c r="U215" s="23"/>
      <c r="V215" s="23"/>
      <c r="W215" s="23"/>
    </row>
    <row r="216" spans="2:23" ht="15.75" customHeight="1" x14ac:dyDescent="0.25">
      <c r="B216" s="30"/>
      <c r="E216" s="26"/>
      <c r="Q216" s="23"/>
      <c r="R216" s="23"/>
      <c r="S216" s="23"/>
      <c r="T216" s="23"/>
      <c r="U216" s="23"/>
      <c r="V216" s="23"/>
      <c r="W216" s="23"/>
    </row>
    <row r="217" spans="2:23" x14ac:dyDescent="0.25">
      <c r="B217" s="30"/>
      <c r="E217" s="26"/>
      <c r="Q217" s="23"/>
      <c r="R217" s="23"/>
      <c r="S217" s="23"/>
      <c r="T217" s="23"/>
      <c r="U217" s="23"/>
      <c r="V217" s="23"/>
      <c r="W217" s="23"/>
    </row>
    <row r="218" spans="2:23" x14ac:dyDescent="0.25">
      <c r="B218" s="33" t="s">
        <v>249</v>
      </c>
      <c r="C218" t="s">
        <v>250</v>
      </c>
      <c r="D218" t="s">
        <v>251</v>
      </c>
      <c r="E218" s="26" t="s">
        <v>252</v>
      </c>
      <c r="Q218" s="23"/>
      <c r="R218" s="23"/>
      <c r="S218" s="23"/>
      <c r="T218" s="23"/>
      <c r="U218" s="23"/>
      <c r="V218" s="23"/>
      <c r="W218" s="23"/>
    </row>
    <row r="219" spans="2:23" x14ac:dyDescent="0.25">
      <c r="B219" s="31"/>
      <c r="C219" t="s">
        <v>253</v>
      </c>
      <c r="E219" s="26"/>
      <c r="Q219" s="23"/>
      <c r="R219" s="23"/>
      <c r="S219" s="23"/>
      <c r="T219" s="23"/>
      <c r="U219" s="23"/>
      <c r="V219" s="23"/>
      <c r="W219" s="23"/>
    </row>
    <row r="220" spans="2:23" x14ac:dyDescent="0.25">
      <c r="B220" s="30"/>
      <c r="E220" s="26"/>
      <c r="Q220" s="23"/>
      <c r="R220" s="23"/>
      <c r="S220" s="23"/>
      <c r="T220" s="23"/>
      <c r="U220" s="23"/>
      <c r="V220" s="23"/>
      <c r="W220" s="23"/>
    </row>
    <row r="221" spans="2:23" x14ac:dyDescent="0.25">
      <c r="B221" s="30"/>
      <c r="D221" s="4"/>
      <c r="E221" s="32"/>
      <c r="F221" s="4"/>
      <c r="G221" s="4"/>
      <c r="H221" s="4"/>
      <c r="I221" s="4"/>
      <c r="J221" s="4"/>
      <c r="K221" s="4"/>
      <c r="L221" s="4"/>
      <c r="M221" s="5"/>
      <c r="Q221" s="23"/>
      <c r="R221" s="23"/>
      <c r="S221" s="23"/>
      <c r="T221" s="23"/>
      <c r="U221" s="23"/>
      <c r="V221" s="23"/>
      <c r="W221" s="23"/>
    </row>
    <row r="222" spans="2:23" x14ac:dyDescent="0.25">
      <c r="B222" s="28" t="s">
        <v>254</v>
      </c>
      <c r="C222" s="4" t="s">
        <v>255</v>
      </c>
      <c r="D222" s="4" t="s">
        <v>256</v>
      </c>
      <c r="E222" s="32" t="s">
        <v>257</v>
      </c>
      <c r="F222" s="4" t="s">
        <v>258</v>
      </c>
      <c r="G222" s="4" t="s">
        <v>259</v>
      </c>
      <c r="H222" s="4" t="s">
        <v>260</v>
      </c>
      <c r="I222" s="4" t="s">
        <v>261</v>
      </c>
      <c r="J222" s="4" t="s">
        <v>262</v>
      </c>
      <c r="K222" s="4" t="s">
        <v>263</v>
      </c>
      <c r="L222" s="4" t="s">
        <v>264</v>
      </c>
      <c r="M222" s="5"/>
      <c r="Q222" s="23"/>
      <c r="R222" s="23"/>
      <c r="S222" s="23"/>
      <c r="T222" s="23"/>
      <c r="U222" s="23"/>
      <c r="V222" s="23"/>
      <c r="W222" s="23"/>
    </row>
    <row r="223" spans="2:23" x14ac:dyDescent="0.25">
      <c r="B223" s="31"/>
      <c r="C223" t="s">
        <v>265</v>
      </c>
      <c r="E223" s="26"/>
      <c r="Q223" s="23"/>
      <c r="R223" s="23"/>
      <c r="S223" s="23"/>
      <c r="T223" s="23"/>
      <c r="U223" s="23"/>
      <c r="V223" s="23"/>
      <c r="W223" s="23"/>
    </row>
    <row r="224" spans="2:23" x14ac:dyDescent="0.25">
      <c r="B224" s="30"/>
      <c r="C224" s="9"/>
      <c r="E224" s="26"/>
      <c r="H224" s="9"/>
      <c r="I224" s="25"/>
      <c r="J224" s="9"/>
      <c r="K224" s="9"/>
      <c r="L224" s="24"/>
      <c r="Q224" s="23"/>
      <c r="R224" s="23"/>
      <c r="S224" s="23"/>
      <c r="T224" s="23"/>
      <c r="U224" s="23"/>
      <c r="V224" s="23"/>
      <c r="W224" s="23"/>
    </row>
    <row r="225" spans="2:23" x14ac:dyDescent="0.25">
      <c r="B225" s="29"/>
      <c r="E225" s="26"/>
      <c r="Q225" s="23"/>
      <c r="R225" s="23"/>
      <c r="S225" s="23"/>
      <c r="T225" s="23"/>
      <c r="U225" s="23"/>
      <c r="V225" s="23"/>
      <c r="W225" s="23"/>
    </row>
    <row r="226" spans="2:23" x14ac:dyDescent="0.25">
      <c r="B226" s="28" t="s">
        <v>266</v>
      </c>
      <c r="C226" t="s">
        <v>267</v>
      </c>
      <c r="D226" t="s">
        <v>268</v>
      </c>
      <c r="E226" s="26" t="s">
        <v>269</v>
      </c>
      <c r="F226" t="s">
        <v>270</v>
      </c>
      <c r="G226" t="s">
        <v>271</v>
      </c>
      <c r="H226" t="s">
        <v>272</v>
      </c>
      <c r="I226" t="s">
        <v>273</v>
      </c>
      <c r="J226" t="s">
        <v>274</v>
      </c>
      <c r="K226" t="s">
        <v>275</v>
      </c>
      <c r="L226" t="s">
        <v>276</v>
      </c>
      <c r="M226" t="s">
        <v>277</v>
      </c>
      <c r="Q226" s="23"/>
      <c r="R226" s="23"/>
      <c r="S226" s="23"/>
      <c r="T226" s="23"/>
      <c r="U226" s="23"/>
      <c r="V226" s="23"/>
      <c r="W226" s="23"/>
    </row>
    <row r="227" spans="2:23" x14ac:dyDescent="0.25">
      <c r="B227" s="23"/>
      <c r="E227" s="26"/>
      <c r="Q227" s="23"/>
      <c r="R227" s="23"/>
      <c r="S227" s="23"/>
      <c r="T227" s="23"/>
      <c r="U227" s="23"/>
      <c r="V227" s="23"/>
      <c r="W227" s="23"/>
    </row>
    <row r="228" spans="2:23" x14ac:dyDescent="0.25">
      <c r="Q228" s="23"/>
      <c r="R228" s="23"/>
      <c r="S228" s="23"/>
      <c r="T228" s="23"/>
      <c r="U228" s="23"/>
      <c r="V228" s="23"/>
      <c r="W228" s="23"/>
    </row>
    <row r="229" spans="2:23" x14ac:dyDescent="0.25">
      <c r="Q229" s="23"/>
      <c r="R229" s="23"/>
      <c r="S229" s="23"/>
      <c r="T229" s="23"/>
      <c r="U229" s="23"/>
      <c r="V229" s="23"/>
      <c r="W229" s="23"/>
    </row>
    <row r="230" spans="2:23" x14ac:dyDescent="0.25">
      <c r="E230" s="27"/>
      <c r="F230" s="25"/>
      <c r="G230" s="9"/>
      <c r="H230" s="9"/>
      <c r="I230" s="24"/>
      <c r="L230" s="23"/>
      <c r="M230" s="23"/>
      <c r="N230" s="23"/>
      <c r="Q230" s="23"/>
      <c r="R230" s="23"/>
      <c r="S230" s="23"/>
      <c r="T230" s="23"/>
      <c r="U230" s="23"/>
      <c r="V230" s="23"/>
      <c r="W230" s="23"/>
    </row>
    <row r="231" spans="2:23" x14ac:dyDescent="0.25">
      <c r="B231" s="9"/>
      <c r="C231" s="9"/>
      <c r="E231" s="26"/>
      <c r="H231" s="9"/>
      <c r="I231" s="25"/>
      <c r="J231" s="9"/>
      <c r="K231" s="9"/>
      <c r="L231" s="24"/>
      <c r="Q231" s="23"/>
      <c r="R231" s="23"/>
      <c r="S231" s="23"/>
      <c r="T231" s="23"/>
      <c r="U231" s="23"/>
      <c r="V231" s="23"/>
      <c r="W231" s="23"/>
    </row>
    <row r="232" spans="2:23" x14ac:dyDescent="0.25">
      <c r="B232" s="9"/>
      <c r="C232" s="9"/>
      <c r="E232" s="26"/>
      <c r="H232" s="9"/>
      <c r="I232" s="25"/>
      <c r="J232" s="9"/>
      <c r="K232" s="9"/>
      <c r="L232" s="24"/>
      <c r="O232" s="23"/>
      <c r="P232" s="23"/>
      <c r="Q232" s="23"/>
      <c r="R232" s="23"/>
      <c r="S232" s="23"/>
      <c r="T232" s="23"/>
      <c r="U232" s="23"/>
      <c r="V232" s="23"/>
      <c r="W232" s="23"/>
    </row>
    <row r="233" spans="2:23" x14ac:dyDescent="0.25">
      <c r="B233" s="9"/>
      <c r="C233" s="9"/>
      <c r="E233" s="26"/>
      <c r="H233" s="9"/>
      <c r="I233" s="25"/>
      <c r="J233" s="9"/>
      <c r="K233" s="9"/>
      <c r="L233" s="24"/>
      <c r="O233" s="23"/>
      <c r="P233" s="23"/>
      <c r="Q233" s="23"/>
      <c r="R233" s="23"/>
      <c r="S233" s="23"/>
      <c r="T233" s="23"/>
      <c r="U233" s="23"/>
      <c r="V233" s="23"/>
      <c r="W233" s="23"/>
    </row>
    <row r="234" spans="2:23" x14ac:dyDescent="0.25">
      <c r="B234" s="9"/>
      <c r="C234" s="9"/>
      <c r="E234" s="26"/>
      <c r="H234" s="9"/>
      <c r="I234" s="25"/>
      <c r="J234" s="9"/>
      <c r="K234" s="9"/>
      <c r="L234" s="24"/>
      <c r="O234" s="23"/>
      <c r="P234" s="23"/>
      <c r="Q234" s="23"/>
      <c r="R234" s="23"/>
      <c r="S234" s="23"/>
      <c r="T234" s="23"/>
      <c r="U234" s="23"/>
      <c r="V234" s="23"/>
      <c r="W234" s="23"/>
    </row>
    <row r="235" spans="2:23" x14ac:dyDescent="0.25">
      <c r="B235" s="9"/>
      <c r="C235" s="9"/>
      <c r="E235" s="26"/>
      <c r="H235" s="9"/>
      <c r="I235" s="25"/>
      <c r="J235" s="9"/>
      <c r="K235" s="9"/>
      <c r="L235" s="24"/>
      <c r="O235" s="23"/>
      <c r="P235" s="23"/>
      <c r="Q235" s="23"/>
      <c r="R235" s="23"/>
      <c r="S235" s="23"/>
      <c r="T235" s="23"/>
      <c r="U235" s="23"/>
      <c r="V235" s="23"/>
      <c r="W235" s="23"/>
    </row>
    <row r="236" spans="2:23" x14ac:dyDescent="0.25">
      <c r="B236" s="9"/>
      <c r="C236" s="9"/>
      <c r="E236" s="26"/>
      <c r="H236" s="9"/>
      <c r="I236" s="25"/>
      <c r="J236" s="9"/>
      <c r="K236" s="9"/>
      <c r="L236" s="24"/>
      <c r="O236" s="23"/>
      <c r="P236" s="23"/>
      <c r="Q236" s="23"/>
      <c r="R236" s="23"/>
      <c r="S236" s="23"/>
      <c r="T236" s="23"/>
      <c r="U236" s="23"/>
      <c r="V236" s="23"/>
      <c r="W236" s="23"/>
    </row>
    <row r="237" spans="2:23" x14ac:dyDescent="0.25">
      <c r="B237" s="9"/>
      <c r="C237" s="9"/>
      <c r="E237" s="26"/>
      <c r="H237" s="9"/>
      <c r="I237" s="25"/>
      <c r="J237" s="9"/>
      <c r="K237" s="9"/>
      <c r="L237" s="24"/>
      <c r="O237" s="23"/>
      <c r="P237" s="23"/>
      <c r="Q237" s="23"/>
      <c r="R237" s="23"/>
      <c r="S237" s="23"/>
      <c r="T237" s="23"/>
      <c r="U237" s="23"/>
      <c r="V237" s="23"/>
      <c r="W237" s="23"/>
    </row>
  </sheetData>
  <mergeCells count="25">
    <mergeCell ref="B5:B27"/>
    <mergeCell ref="B31:B54"/>
    <mergeCell ref="K32:K34"/>
    <mergeCell ref="AK32:BF32"/>
    <mergeCell ref="BP32:CK32"/>
    <mergeCell ref="AK33:BF33"/>
    <mergeCell ref="BP33:CK33"/>
    <mergeCell ref="AK34:BF34"/>
    <mergeCell ref="BP34:CK34"/>
    <mergeCell ref="K35:K39"/>
    <mergeCell ref="K43:K44"/>
    <mergeCell ref="B64:B77"/>
    <mergeCell ref="B83:B96"/>
    <mergeCell ref="B99:B106"/>
    <mergeCell ref="B109:B114"/>
    <mergeCell ref="B117:B131"/>
    <mergeCell ref="B194:B195"/>
    <mergeCell ref="B198:B199"/>
    <mergeCell ref="B207:B212"/>
    <mergeCell ref="B134:B149"/>
    <mergeCell ref="B151:B157"/>
    <mergeCell ref="B159:B173"/>
    <mergeCell ref="B175:B176"/>
    <mergeCell ref="B178:B183"/>
    <mergeCell ref="B190:B19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tint="-0.249977111117893"/>
  </sheetPr>
  <dimension ref="A1:AK104"/>
  <sheetViews>
    <sheetView showGridLines="0" topLeftCell="A13" zoomScaleNormal="100" workbookViewId="0">
      <pane xSplit="2" topLeftCell="C1" activePane="topRight" state="frozen"/>
      <selection activeCell="BV46" sqref="BV46:CC46"/>
      <selection pane="topRight" activeCell="BV46" sqref="BV46:CC46"/>
    </sheetView>
  </sheetViews>
  <sheetFormatPr defaultColWidth="9.140625" defaultRowHeight="15" x14ac:dyDescent="0.25"/>
  <cols>
    <col min="1" max="1" width="16.7109375" customWidth="1"/>
    <col min="2" max="2" width="33.85546875" style="9" customWidth="1"/>
    <col min="3" max="3" width="60.5703125" style="9" customWidth="1"/>
    <col min="4" max="4" width="38.85546875" customWidth="1"/>
    <col min="5" max="5" width="26.42578125" style="26" customWidth="1"/>
    <col min="6" max="6" width="22.140625" customWidth="1"/>
    <col min="7" max="7" width="27.28515625" customWidth="1"/>
    <col min="8" max="8" width="28.28515625" style="9" customWidth="1"/>
    <col min="9" max="9" width="19" style="25" customWidth="1"/>
    <col min="10" max="10" width="25.7109375" style="9" customWidth="1"/>
    <col min="11" max="11" width="27.85546875" style="9" customWidth="1"/>
    <col min="12" max="12" width="27.5703125" style="24" customWidth="1"/>
    <col min="13" max="13" width="27.85546875" customWidth="1"/>
    <col min="14" max="14" width="21" customWidth="1"/>
    <col min="15" max="15" width="34.28515625" style="23" customWidth="1"/>
    <col min="16" max="16" width="21" style="23" customWidth="1"/>
    <col min="17" max="18" width="22.28515625" style="23" customWidth="1"/>
    <col min="19" max="20" width="25" style="23" customWidth="1"/>
    <col min="21" max="21" width="22.5703125" style="23" customWidth="1"/>
    <col min="22" max="23" width="23.85546875" style="23" customWidth="1"/>
    <col min="24" max="24" width="26.42578125" customWidth="1"/>
    <col min="25" max="25" width="37.85546875" customWidth="1"/>
    <col min="26" max="26" width="21.28515625" customWidth="1"/>
    <col min="27" max="28" width="27" customWidth="1"/>
    <col min="29" max="30" width="30.140625" customWidth="1"/>
    <col min="31" max="31" width="25.140625" customWidth="1"/>
    <col min="32" max="32" width="28.85546875" customWidth="1"/>
    <col min="33" max="33" width="28.5703125" customWidth="1"/>
    <col min="34" max="34" width="25.140625" customWidth="1"/>
    <col min="35" max="35" width="30" customWidth="1"/>
    <col min="36" max="36" width="32" customWidth="1"/>
    <col min="37" max="37" width="28.5703125" customWidth="1"/>
  </cols>
  <sheetData>
    <row r="1" spans="1:37" ht="51" customHeight="1" x14ac:dyDescent="0.25">
      <c r="B1" s="22" t="s">
        <v>278</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row>
    <row r="2" spans="1:37" ht="24.75" customHeight="1" thickBot="1" x14ac:dyDescent="0.3">
      <c r="B2"/>
      <c r="C2"/>
      <c r="E2"/>
      <c r="H2"/>
      <c r="I2"/>
      <c r="J2"/>
      <c r="K2"/>
      <c r="L2"/>
      <c r="O2"/>
      <c r="P2"/>
      <c r="Q2"/>
      <c r="R2"/>
      <c r="S2"/>
      <c r="T2"/>
      <c r="U2"/>
      <c r="V2"/>
      <c r="W2"/>
    </row>
    <row r="3" spans="1:37" ht="15" customHeight="1" x14ac:dyDescent="0.25">
      <c r="B3" s="404" t="s">
        <v>279</v>
      </c>
      <c r="C3" s="403"/>
      <c r="D3" s="403"/>
      <c r="E3" s="403"/>
      <c r="F3" s="403"/>
      <c r="G3" s="402"/>
      <c r="H3"/>
      <c r="I3"/>
      <c r="J3"/>
      <c r="K3"/>
      <c r="L3"/>
    </row>
    <row r="4" spans="1:37" x14ac:dyDescent="0.25">
      <c r="B4" s="401" t="s">
        <v>280</v>
      </c>
      <c r="C4" s="399">
        <v>42751</v>
      </c>
      <c r="D4" s="397" t="s">
        <v>281</v>
      </c>
      <c r="E4" s="398"/>
      <c r="F4" s="397"/>
      <c r="G4" s="396"/>
      <c r="H4"/>
      <c r="I4"/>
      <c r="J4"/>
      <c r="K4"/>
      <c r="L4"/>
    </row>
    <row r="5" spans="1:37" x14ac:dyDescent="0.25">
      <c r="B5" s="401"/>
      <c r="C5" s="399">
        <v>42660</v>
      </c>
      <c r="D5" s="397" t="s">
        <v>282</v>
      </c>
      <c r="E5" s="398"/>
      <c r="F5" s="397"/>
      <c r="G5" s="396"/>
      <c r="H5"/>
      <c r="I5"/>
      <c r="J5"/>
      <c r="K5"/>
      <c r="L5"/>
    </row>
    <row r="6" spans="1:37" x14ac:dyDescent="0.25">
      <c r="B6" s="401"/>
      <c r="C6" s="399">
        <v>42767</v>
      </c>
      <c r="D6" s="397" t="s">
        <v>283</v>
      </c>
      <c r="E6" s="398"/>
      <c r="F6" s="397"/>
      <c r="G6" s="396"/>
      <c r="H6"/>
      <c r="I6"/>
      <c r="J6"/>
      <c r="K6"/>
      <c r="L6"/>
    </row>
    <row r="7" spans="1:37" x14ac:dyDescent="0.25">
      <c r="B7" s="400"/>
      <c r="C7" s="399">
        <v>42797</v>
      </c>
      <c r="D7" s="397" t="s">
        <v>284</v>
      </c>
      <c r="E7" s="398"/>
      <c r="F7" s="397"/>
      <c r="G7" s="396"/>
      <c r="H7"/>
      <c r="I7"/>
      <c r="J7"/>
      <c r="K7"/>
      <c r="L7"/>
    </row>
    <row r="8" spans="1:37" x14ac:dyDescent="0.25">
      <c r="B8" s="400"/>
      <c r="C8" s="399">
        <v>43187</v>
      </c>
      <c r="D8" s="397" t="s">
        <v>285</v>
      </c>
      <c r="E8" s="398"/>
      <c r="F8" s="397"/>
      <c r="G8" s="396"/>
      <c r="H8"/>
      <c r="I8"/>
      <c r="J8"/>
      <c r="K8"/>
      <c r="L8"/>
    </row>
    <row r="9" spans="1:37" ht="15.75" thickBot="1" x14ac:dyDescent="0.3">
      <c r="B9" s="395"/>
      <c r="C9" s="393" t="s">
        <v>286</v>
      </c>
      <c r="D9" s="394">
        <v>5</v>
      </c>
      <c r="E9" s="394"/>
      <c r="F9" s="393"/>
      <c r="G9" s="392"/>
      <c r="H9"/>
      <c r="I9"/>
      <c r="J9"/>
      <c r="K9"/>
      <c r="L9"/>
    </row>
    <row r="10" spans="1:37" ht="15.75" thickBot="1" x14ac:dyDescent="0.3">
      <c r="B10"/>
      <c r="C10"/>
      <c r="E10"/>
      <c r="H10"/>
      <c r="I10"/>
      <c r="J10"/>
      <c r="K10"/>
      <c r="L10"/>
      <c r="O10"/>
      <c r="P10"/>
      <c r="Q10"/>
      <c r="R10"/>
      <c r="S10"/>
      <c r="T10"/>
      <c r="U10"/>
      <c r="V10"/>
      <c r="W10"/>
    </row>
    <row r="11" spans="1:37" ht="16.5" thickBot="1" x14ac:dyDescent="0.3">
      <c r="B11" s="391"/>
      <c r="C11" s="389"/>
      <c r="D11" s="389"/>
      <c r="E11" s="389"/>
      <c r="F11" s="389"/>
      <c r="G11" s="389"/>
      <c r="H11" s="389"/>
      <c r="I11" s="389"/>
      <c r="J11" s="389"/>
      <c r="K11" s="389"/>
      <c r="L11" s="389"/>
      <c r="M11" s="389"/>
      <c r="N11" s="389"/>
      <c r="O11" s="390"/>
      <c r="P11" s="390"/>
      <c r="Q11" s="390"/>
      <c r="R11" s="390"/>
      <c r="S11" s="390"/>
      <c r="T11" s="390"/>
      <c r="U11" s="390"/>
      <c r="V11" s="390"/>
      <c r="W11" s="390"/>
      <c r="X11" s="389"/>
      <c r="Y11" s="389"/>
      <c r="Z11" s="1008" t="s">
        <v>287</v>
      </c>
      <c r="AA11" s="1008"/>
      <c r="AB11" s="1008"/>
      <c r="AC11" s="1008"/>
      <c r="AD11" s="1008"/>
      <c r="AE11" s="1008"/>
      <c r="AF11" s="1008"/>
      <c r="AG11" s="1008"/>
      <c r="AH11" s="1008"/>
      <c r="AI11" s="1008"/>
      <c r="AJ11" s="1008"/>
      <c r="AK11" s="388"/>
    </row>
    <row r="12" spans="1:37" x14ac:dyDescent="0.25">
      <c r="B12" s="386"/>
      <c r="C12" s="384"/>
      <c r="D12" s="384"/>
      <c r="E12" s="384"/>
      <c r="F12" s="384"/>
      <c r="G12" s="384"/>
      <c r="H12" s="384"/>
      <c r="I12" s="384"/>
      <c r="J12" s="384"/>
      <c r="K12" s="384"/>
      <c r="L12" s="384"/>
      <c r="M12" s="384"/>
      <c r="N12" s="385"/>
      <c r="O12" s="385"/>
      <c r="P12" s="385"/>
      <c r="Q12" s="385"/>
      <c r="R12" s="385"/>
      <c r="S12" s="385"/>
      <c r="T12" s="385"/>
      <c r="U12" s="385"/>
      <c r="V12" s="385"/>
      <c r="W12" s="384"/>
      <c r="X12" s="384"/>
      <c r="Y12" s="384"/>
      <c r="Z12" s="1009" t="s">
        <v>288</v>
      </c>
      <c r="AA12" s="1010"/>
      <c r="AB12" s="1010"/>
      <c r="AC12" s="1010"/>
      <c r="AD12" s="387" t="s">
        <v>289</v>
      </c>
      <c r="AE12" s="1011" t="s">
        <v>290</v>
      </c>
      <c r="AF12" s="1012"/>
      <c r="AG12" s="1012"/>
      <c r="AH12" s="1012"/>
      <c r="AI12" s="1013"/>
      <c r="AJ12" s="1014"/>
      <c r="AK12" s="99"/>
    </row>
    <row r="13" spans="1:37" x14ac:dyDescent="0.25">
      <c r="B13" s="386"/>
      <c r="C13" s="384"/>
      <c r="D13" s="384"/>
      <c r="E13" s="384"/>
      <c r="F13" s="384"/>
      <c r="G13" s="384"/>
      <c r="H13" s="384"/>
      <c r="I13" s="384"/>
      <c r="J13" s="384"/>
      <c r="K13" s="384"/>
      <c r="L13" s="384"/>
      <c r="M13" s="384"/>
      <c r="N13" s="385"/>
      <c r="O13" s="385"/>
      <c r="P13" s="385"/>
      <c r="Q13" s="385"/>
      <c r="R13" s="385"/>
      <c r="S13" s="385"/>
      <c r="T13" s="385"/>
      <c r="U13" s="385"/>
      <c r="V13" s="385"/>
      <c r="W13" s="384"/>
      <c r="X13" s="384"/>
      <c r="Y13" s="384"/>
      <c r="Z13" s="383"/>
      <c r="AA13" s="382"/>
      <c r="AB13" s="382"/>
      <c r="AC13" s="382"/>
      <c r="AD13" s="381"/>
      <c r="AE13" s="380"/>
      <c r="AF13" s="379"/>
      <c r="AG13" s="379"/>
      <c r="AH13" s="379"/>
      <c r="AI13" s="378"/>
      <c r="AJ13" s="1015"/>
      <c r="AK13" s="99"/>
    </row>
    <row r="14" spans="1:37" ht="15.75" thickBot="1" x14ac:dyDescent="0.3">
      <c r="B14" s="377"/>
      <c r="C14" s="376"/>
      <c r="D14" s="370"/>
      <c r="E14" s="375"/>
      <c r="F14" s="370"/>
      <c r="G14" s="370"/>
      <c r="H14" s="373"/>
      <c r="I14" s="374"/>
      <c r="J14" s="373"/>
      <c r="K14" s="373"/>
      <c r="L14" s="372"/>
      <c r="M14" s="370"/>
      <c r="N14" s="371"/>
      <c r="O14" s="371"/>
      <c r="P14" s="371"/>
      <c r="Q14" s="371"/>
      <c r="R14" s="371"/>
      <c r="S14" s="371"/>
      <c r="T14" s="371"/>
      <c r="U14" s="371"/>
      <c r="V14" s="371"/>
      <c r="W14" s="370"/>
      <c r="X14" s="370"/>
      <c r="Y14" s="370"/>
      <c r="Z14" s="369" t="s">
        <v>291</v>
      </c>
      <c r="AA14" s="368" t="s">
        <v>292</v>
      </c>
      <c r="AB14" s="368" t="s">
        <v>293</v>
      </c>
      <c r="AC14" s="368" t="s">
        <v>294</v>
      </c>
      <c r="AD14" s="367" t="s">
        <v>295</v>
      </c>
      <c r="AE14" s="366"/>
      <c r="AF14" s="365"/>
      <c r="AG14" s="365"/>
      <c r="AH14" s="365"/>
      <c r="AI14" s="364"/>
      <c r="AJ14" s="1016"/>
      <c r="AK14" s="363"/>
    </row>
    <row r="15" spans="1:37" s="195" customFormat="1" ht="40.5" customHeight="1" x14ac:dyDescent="0.25">
      <c r="A15" s="362"/>
      <c r="B15" s="839" t="s">
        <v>296</v>
      </c>
      <c r="C15" s="840" t="s">
        <v>297</v>
      </c>
      <c r="D15" s="841" t="s">
        <v>298</v>
      </c>
      <c r="E15" s="842" t="s">
        <v>299</v>
      </c>
      <c r="F15" s="843" t="s">
        <v>300</v>
      </c>
      <c r="G15" s="843" t="s">
        <v>301</v>
      </c>
      <c r="H15" s="843" t="s">
        <v>302</v>
      </c>
      <c r="I15" s="843" t="s">
        <v>303</v>
      </c>
      <c r="J15" s="843" t="s">
        <v>304</v>
      </c>
      <c r="K15" s="844" t="s">
        <v>305</v>
      </c>
      <c r="L15" s="845" t="s">
        <v>306</v>
      </c>
      <c r="M15" s="845" t="s">
        <v>307</v>
      </c>
      <c r="N15" s="846" t="s">
        <v>308</v>
      </c>
      <c r="O15" s="847" t="s">
        <v>309</v>
      </c>
      <c r="P15" s="848" t="s">
        <v>310</v>
      </c>
      <c r="Q15" s="849" t="s">
        <v>311</v>
      </c>
      <c r="R15" s="849" t="s">
        <v>312</v>
      </c>
      <c r="S15" s="849" t="s">
        <v>313</v>
      </c>
      <c r="T15" s="849" t="s">
        <v>314</v>
      </c>
      <c r="U15" s="850" t="s">
        <v>315</v>
      </c>
      <c r="V15" s="850" t="s">
        <v>316</v>
      </c>
      <c r="W15" s="850" t="s">
        <v>317</v>
      </c>
      <c r="X15" s="850" t="s">
        <v>318</v>
      </c>
      <c r="Y15" s="850" t="s">
        <v>319</v>
      </c>
      <c r="Z15" s="851" t="s">
        <v>320</v>
      </c>
      <c r="AA15" s="851" t="s">
        <v>321</v>
      </c>
      <c r="AB15" s="851" t="s">
        <v>322</v>
      </c>
      <c r="AC15" s="851" t="s">
        <v>323</v>
      </c>
      <c r="AD15" s="851" t="s">
        <v>324</v>
      </c>
      <c r="AE15" s="852" t="s">
        <v>325</v>
      </c>
      <c r="AF15" s="851" t="s">
        <v>326</v>
      </c>
      <c r="AG15" s="851" t="s">
        <v>327</v>
      </c>
      <c r="AH15" s="851" t="s">
        <v>328</v>
      </c>
      <c r="AI15" s="853" t="s">
        <v>329</v>
      </c>
      <c r="AJ15" s="854" t="s">
        <v>330</v>
      </c>
      <c r="AK15" s="855" t="s">
        <v>331</v>
      </c>
    </row>
    <row r="16" spans="1:37" hidden="1" x14ac:dyDescent="0.25">
      <c r="B16" s="836" t="s">
        <v>332</v>
      </c>
      <c r="C16" s="347" t="s">
        <v>333</v>
      </c>
      <c r="D16" s="346">
        <v>76670568688</v>
      </c>
      <c r="E16" s="345" t="s">
        <v>334</v>
      </c>
      <c r="F16" s="340" t="s">
        <v>335</v>
      </c>
      <c r="G16" s="340" t="s">
        <v>336</v>
      </c>
      <c r="H16" s="343" t="s">
        <v>19</v>
      </c>
      <c r="I16" s="356" t="s">
        <v>337</v>
      </c>
      <c r="J16" s="340" t="s">
        <v>338</v>
      </c>
      <c r="K16" s="342">
        <v>5</v>
      </c>
      <c r="L16" s="349">
        <v>5</v>
      </c>
      <c r="M16" s="348">
        <v>5</v>
      </c>
      <c r="N16" s="341" t="s">
        <v>339</v>
      </c>
      <c r="O16" s="350"/>
      <c r="P16" s="339" t="s">
        <v>340</v>
      </c>
      <c r="Q16" s="338"/>
      <c r="R16" s="338" t="s">
        <v>341</v>
      </c>
      <c r="S16" s="338" t="s">
        <v>334</v>
      </c>
      <c r="T16" s="337">
        <v>2600</v>
      </c>
      <c r="U16" s="339" t="s">
        <v>342</v>
      </c>
      <c r="V16" s="338"/>
      <c r="W16" s="338" t="s">
        <v>341</v>
      </c>
      <c r="X16" s="338" t="s">
        <v>334</v>
      </c>
      <c r="Y16" s="352">
        <v>2601</v>
      </c>
      <c r="Z16" s="336" t="s">
        <v>343</v>
      </c>
      <c r="AA16" s="335" t="s">
        <v>343</v>
      </c>
      <c r="AB16" s="335" t="s">
        <v>343</v>
      </c>
      <c r="AC16" s="335" t="s">
        <v>343</v>
      </c>
      <c r="AD16" s="335" t="s">
        <v>343</v>
      </c>
      <c r="AE16" s="336" t="s">
        <v>291</v>
      </c>
      <c r="AF16" s="335" t="s">
        <v>292</v>
      </c>
      <c r="AG16" s="335" t="s">
        <v>293</v>
      </c>
      <c r="AH16" s="334" t="s">
        <v>344</v>
      </c>
      <c r="AI16" s="333"/>
      <c r="AJ16" s="332" t="s">
        <v>343</v>
      </c>
      <c r="AK16" s="838" t="str">
        <f t="shared" ref="AK16:AK26" si="0">B16</f>
        <v>ActewAGL Gas</v>
      </c>
    </row>
    <row r="17" spans="2:37" x14ac:dyDescent="0.25">
      <c r="B17" s="836" t="s">
        <v>345</v>
      </c>
      <c r="C17" s="347" t="s">
        <v>346</v>
      </c>
      <c r="D17" s="346">
        <v>19078551685</v>
      </c>
      <c r="E17" s="345" t="s">
        <v>347</v>
      </c>
      <c r="F17" s="340" t="s">
        <v>335</v>
      </c>
      <c r="G17" s="340" t="s">
        <v>336</v>
      </c>
      <c r="H17" s="343" t="s">
        <v>19</v>
      </c>
      <c r="I17" s="356" t="s">
        <v>337</v>
      </c>
      <c r="J17" s="340" t="s">
        <v>338</v>
      </c>
      <c r="K17" s="342">
        <v>5</v>
      </c>
      <c r="L17" s="349">
        <v>5</v>
      </c>
      <c r="M17" s="348">
        <v>5</v>
      </c>
      <c r="N17" s="341" t="s">
        <v>339</v>
      </c>
      <c r="O17" s="350"/>
      <c r="P17" s="339" t="s">
        <v>348</v>
      </c>
      <c r="Q17" s="338" t="s">
        <v>349</v>
      </c>
      <c r="R17" s="338" t="s">
        <v>350</v>
      </c>
      <c r="S17" s="338" t="s">
        <v>351</v>
      </c>
      <c r="T17" s="337">
        <v>5000</v>
      </c>
      <c r="U17" s="339" t="s">
        <v>352</v>
      </c>
      <c r="V17" s="338" t="s">
        <v>353</v>
      </c>
      <c r="W17" s="338" t="s">
        <v>350</v>
      </c>
      <c r="X17" s="338" t="s">
        <v>351</v>
      </c>
      <c r="Y17" s="352">
        <v>5000</v>
      </c>
      <c r="Z17" s="336" t="s">
        <v>343</v>
      </c>
      <c r="AA17" s="335" t="s">
        <v>343</v>
      </c>
      <c r="AB17" s="335" t="s">
        <v>343</v>
      </c>
      <c r="AC17" s="335" t="s">
        <v>343</v>
      </c>
      <c r="AD17" s="335" t="s">
        <v>343</v>
      </c>
      <c r="AE17" s="336" t="s">
        <v>291</v>
      </c>
      <c r="AF17" s="335" t="s">
        <v>292</v>
      </c>
      <c r="AG17" s="335" t="s">
        <v>293</v>
      </c>
      <c r="AH17" s="334" t="s">
        <v>344</v>
      </c>
      <c r="AI17" s="333"/>
      <c r="AJ17" s="332" t="s">
        <v>343</v>
      </c>
      <c r="AK17" s="838" t="str">
        <f t="shared" si="0"/>
        <v>AGN (Albury and Victoria)</v>
      </c>
    </row>
    <row r="18" spans="2:37" x14ac:dyDescent="0.25">
      <c r="B18" s="836" t="s">
        <v>354</v>
      </c>
      <c r="C18" s="347" t="s">
        <v>355</v>
      </c>
      <c r="D18" s="346">
        <v>19078551685</v>
      </c>
      <c r="E18" s="345" t="s">
        <v>347</v>
      </c>
      <c r="F18" s="340" t="s">
        <v>335</v>
      </c>
      <c r="G18" s="340" t="s">
        <v>336</v>
      </c>
      <c r="H18" s="343" t="s">
        <v>19</v>
      </c>
      <c r="I18" s="356" t="s">
        <v>337</v>
      </c>
      <c r="J18" s="340" t="s">
        <v>338</v>
      </c>
      <c r="K18" s="342">
        <v>5</v>
      </c>
      <c r="L18" s="349">
        <v>5</v>
      </c>
      <c r="M18" s="348">
        <v>5</v>
      </c>
      <c r="N18" s="341" t="s">
        <v>339</v>
      </c>
      <c r="O18" s="350"/>
      <c r="P18" s="339" t="s">
        <v>348</v>
      </c>
      <c r="Q18" s="338" t="s">
        <v>349</v>
      </c>
      <c r="R18" s="338" t="s">
        <v>350</v>
      </c>
      <c r="S18" s="338" t="s">
        <v>351</v>
      </c>
      <c r="T18" s="337">
        <v>5000</v>
      </c>
      <c r="U18" s="339" t="s">
        <v>352</v>
      </c>
      <c r="V18" s="338" t="s">
        <v>353</v>
      </c>
      <c r="W18" s="338" t="s">
        <v>350</v>
      </c>
      <c r="X18" s="338" t="s">
        <v>351</v>
      </c>
      <c r="Y18" s="337">
        <v>5000</v>
      </c>
      <c r="Z18" s="336" t="s">
        <v>343</v>
      </c>
      <c r="AA18" s="335" t="s">
        <v>343</v>
      </c>
      <c r="AB18" s="335" t="s">
        <v>343</v>
      </c>
      <c r="AC18" s="335" t="s">
        <v>343</v>
      </c>
      <c r="AD18" s="335" t="s">
        <v>343</v>
      </c>
      <c r="AE18" s="336" t="s">
        <v>291</v>
      </c>
      <c r="AF18" s="335" t="s">
        <v>292</v>
      </c>
      <c r="AG18" s="335" t="s">
        <v>293</v>
      </c>
      <c r="AH18" s="334" t="s">
        <v>344</v>
      </c>
      <c r="AI18" s="333"/>
      <c r="AJ18" s="332" t="s">
        <v>343</v>
      </c>
      <c r="AK18" s="838" t="str">
        <f t="shared" si="0"/>
        <v>AGN (Albury)</v>
      </c>
    </row>
    <row r="19" spans="2:37" hidden="1" x14ac:dyDescent="0.25">
      <c r="B19" s="836" t="s">
        <v>356</v>
      </c>
      <c r="C19" s="347" t="s">
        <v>357</v>
      </c>
      <c r="D19" s="346">
        <v>19078551685</v>
      </c>
      <c r="E19" s="345" t="s">
        <v>351</v>
      </c>
      <c r="F19" s="340" t="s">
        <v>335</v>
      </c>
      <c r="G19" s="340" t="s">
        <v>336</v>
      </c>
      <c r="H19" s="343" t="s">
        <v>19</v>
      </c>
      <c r="I19" s="356" t="s">
        <v>337</v>
      </c>
      <c r="J19" s="340" t="s">
        <v>338</v>
      </c>
      <c r="K19" s="342">
        <v>5</v>
      </c>
      <c r="L19" s="349">
        <v>5</v>
      </c>
      <c r="M19" s="348">
        <v>5</v>
      </c>
      <c r="N19" s="341">
        <v>5</v>
      </c>
      <c r="O19" s="340" t="s">
        <v>358</v>
      </c>
      <c r="P19" s="339" t="s">
        <v>348</v>
      </c>
      <c r="Q19" s="338" t="s">
        <v>349</v>
      </c>
      <c r="R19" s="338" t="s">
        <v>350</v>
      </c>
      <c r="S19" s="338" t="s">
        <v>351</v>
      </c>
      <c r="T19" s="337">
        <v>5000</v>
      </c>
      <c r="U19" s="339" t="s">
        <v>352</v>
      </c>
      <c r="V19" s="338" t="s">
        <v>353</v>
      </c>
      <c r="W19" s="338" t="s">
        <v>350</v>
      </c>
      <c r="X19" s="338" t="s">
        <v>351</v>
      </c>
      <c r="Y19" s="337">
        <v>5000</v>
      </c>
      <c r="Z19" s="336" t="s">
        <v>343</v>
      </c>
      <c r="AA19" s="335" t="s">
        <v>343</v>
      </c>
      <c r="AB19" s="335" t="s">
        <v>343</v>
      </c>
      <c r="AC19" s="335" t="s">
        <v>343</v>
      </c>
      <c r="AD19" s="335" t="s">
        <v>343</v>
      </c>
      <c r="AE19" s="336" t="s">
        <v>291</v>
      </c>
      <c r="AF19" s="335" t="s">
        <v>292</v>
      </c>
      <c r="AG19" s="335" t="s">
        <v>293</v>
      </c>
      <c r="AH19" s="334" t="s">
        <v>344</v>
      </c>
      <c r="AI19" s="333"/>
      <c r="AJ19" s="332" t="s">
        <v>343</v>
      </c>
      <c r="AK19" s="838" t="str">
        <f t="shared" si="0"/>
        <v>AGN (SA)</v>
      </c>
    </row>
    <row r="20" spans="2:37" x14ac:dyDescent="0.25">
      <c r="B20" s="836" t="s">
        <v>359</v>
      </c>
      <c r="C20" s="347" t="s">
        <v>360</v>
      </c>
      <c r="D20" s="346">
        <v>19078551685</v>
      </c>
      <c r="E20" s="345" t="s">
        <v>347</v>
      </c>
      <c r="F20" s="340" t="s">
        <v>335</v>
      </c>
      <c r="G20" s="340" t="s">
        <v>336</v>
      </c>
      <c r="H20" s="343" t="s">
        <v>19</v>
      </c>
      <c r="I20" s="356" t="s">
        <v>337</v>
      </c>
      <c r="J20" s="340" t="s">
        <v>338</v>
      </c>
      <c r="K20" s="342">
        <v>5</v>
      </c>
      <c r="L20" s="349">
        <v>5</v>
      </c>
      <c r="M20" s="348">
        <v>5</v>
      </c>
      <c r="N20" s="341" t="s">
        <v>339</v>
      </c>
      <c r="O20" s="350"/>
      <c r="P20" s="339" t="s">
        <v>348</v>
      </c>
      <c r="Q20" s="338" t="s">
        <v>349</v>
      </c>
      <c r="R20" s="338" t="s">
        <v>350</v>
      </c>
      <c r="S20" s="338" t="s">
        <v>351</v>
      </c>
      <c r="T20" s="337">
        <v>5000</v>
      </c>
      <c r="U20" s="339" t="s">
        <v>352</v>
      </c>
      <c r="V20" s="338" t="s">
        <v>353</v>
      </c>
      <c r="W20" s="338" t="s">
        <v>350</v>
      </c>
      <c r="X20" s="338" t="s">
        <v>351</v>
      </c>
      <c r="Y20" s="337">
        <v>5000</v>
      </c>
      <c r="Z20" s="336" t="s">
        <v>343</v>
      </c>
      <c r="AA20" s="335" t="s">
        <v>343</v>
      </c>
      <c r="AB20" s="335" t="s">
        <v>343</v>
      </c>
      <c r="AC20" s="335" t="s">
        <v>343</v>
      </c>
      <c r="AD20" s="335" t="s">
        <v>343</v>
      </c>
      <c r="AE20" s="336" t="s">
        <v>291</v>
      </c>
      <c r="AF20" s="335" t="s">
        <v>292</v>
      </c>
      <c r="AG20" s="335" t="s">
        <v>293</v>
      </c>
      <c r="AH20" s="334" t="s">
        <v>344</v>
      </c>
      <c r="AI20" s="333"/>
      <c r="AJ20" s="332" t="s">
        <v>343</v>
      </c>
      <c r="AK20" s="838" t="str">
        <f t="shared" si="0"/>
        <v>AGN (Victoria)</v>
      </c>
    </row>
    <row r="21" spans="2:37" x14ac:dyDescent="0.25">
      <c r="B21" s="836" t="s">
        <v>361</v>
      </c>
      <c r="C21" s="347" t="s">
        <v>362</v>
      </c>
      <c r="D21" s="351" t="s">
        <v>363</v>
      </c>
      <c r="E21" s="345" t="s">
        <v>347</v>
      </c>
      <c r="F21" s="340" t="s">
        <v>335</v>
      </c>
      <c r="G21" s="340" t="s">
        <v>336</v>
      </c>
      <c r="H21" s="343" t="s">
        <v>19</v>
      </c>
      <c r="I21" s="356" t="s">
        <v>337</v>
      </c>
      <c r="J21" s="340" t="s">
        <v>338</v>
      </c>
      <c r="K21" s="342">
        <v>5</v>
      </c>
      <c r="L21" s="349">
        <v>5</v>
      </c>
      <c r="M21" s="348">
        <v>5</v>
      </c>
      <c r="N21" s="341" t="s">
        <v>364</v>
      </c>
      <c r="O21" s="350" t="s">
        <v>364</v>
      </c>
      <c r="P21" s="339" t="s">
        <v>365</v>
      </c>
      <c r="Q21" s="338" t="s">
        <v>366</v>
      </c>
      <c r="R21" s="338" t="s">
        <v>367</v>
      </c>
      <c r="S21" s="338" t="s">
        <v>347</v>
      </c>
      <c r="T21" s="337">
        <v>3008</v>
      </c>
      <c r="U21" s="357"/>
      <c r="V21" s="338"/>
      <c r="W21" s="338"/>
      <c r="X21" s="338" t="s">
        <v>347</v>
      </c>
      <c r="Y21" s="337">
        <v>3000</v>
      </c>
      <c r="Z21" s="336" t="s">
        <v>343</v>
      </c>
      <c r="AA21" s="335" t="s">
        <v>343</v>
      </c>
      <c r="AB21" s="335" t="s">
        <v>343</v>
      </c>
      <c r="AC21" s="335" t="s">
        <v>343</v>
      </c>
      <c r="AD21" s="335" t="s">
        <v>343</v>
      </c>
      <c r="AE21" s="336" t="s">
        <v>291</v>
      </c>
      <c r="AF21" s="335" t="s">
        <v>292</v>
      </c>
      <c r="AG21" s="335" t="s">
        <v>293</v>
      </c>
      <c r="AH21" s="334" t="s">
        <v>344</v>
      </c>
      <c r="AI21" s="333"/>
      <c r="AJ21" s="332" t="s">
        <v>343</v>
      </c>
      <c r="AK21" s="838" t="str">
        <f t="shared" si="0"/>
        <v>AusNet (Gas)</v>
      </c>
    </row>
    <row r="22" spans="2:37" x14ac:dyDescent="0.25">
      <c r="B22" s="837" t="s">
        <v>368</v>
      </c>
      <c r="C22" s="360" t="s">
        <v>369</v>
      </c>
      <c r="D22" s="359">
        <v>11222333444</v>
      </c>
      <c r="E22" s="358" t="s">
        <v>347</v>
      </c>
      <c r="F22" s="340" t="s">
        <v>335</v>
      </c>
      <c r="G22" s="340" t="s">
        <v>336</v>
      </c>
      <c r="H22" s="340" t="s">
        <v>19</v>
      </c>
      <c r="I22" s="356" t="s">
        <v>337</v>
      </c>
      <c r="J22" s="340" t="s">
        <v>338</v>
      </c>
      <c r="K22" s="361">
        <v>5</v>
      </c>
      <c r="L22" s="349">
        <v>5</v>
      </c>
      <c r="M22" s="348">
        <v>5</v>
      </c>
      <c r="N22" s="341" t="s">
        <v>364</v>
      </c>
      <c r="O22" s="340" t="s">
        <v>364</v>
      </c>
      <c r="P22" s="339" t="s">
        <v>370</v>
      </c>
      <c r="Q22" s="338"/>
      <c r="R22" s="338" t="s">
        <v>371</v>
      </c>
      <c r="S22" s="338" t="s">
        <v>347</v>
      </c>
      <c r="T22" s="337">
        <v>3000</v>
      </c>
      <c r="U22" s="339" t="s">
        <v>372</v>
      </c>
      <c r="V22" s="338"/>
      <c r="W22" s="338" t="s">
        <v>371</v>
      </c>
      <c r="X22" s="338" t="s">
        <v>347</v>
      </c>
      <c r="Y22" s="337">
        <v>3000</v>
      </c>
      <c r="Z22" s="336" t="s">
        <v>343</v>
      </c>
      <c r="AA22" s="335" t="s">
        <v>343</v>
      </c>
      <c r="AB22" s="335" t="s">
        <v>343</v>
      </c>
      <c r="AC22" s="335" t="s">
        <v>343</v>
      </c>
      <c r="AD22" s="335" t="s">
        <v>343</v>
      </c>
      <c r="AE22" s="336" t="s">
        <v>291</v>
      </c>
      <c r="AF22" s="335" t="s">
        <v>292</v>
      </c>
      <c r="AG22" s="335" t="s">
        <v>293</v>
      </c>
      <c r="AH22" s="334" t="s">
        <v>344</v>
      </c>
      <c r="AI22" s="333"/>
      <c r="AJ22" s="332" t="s">
        <v>343</v>
      </c>
      <c r="AK22" s="838" t="str">
        <f t="shared" si="0"/>
        <v>Australian Distribution Co. (Gas)</v>
      </c>
    </row>
    <row r="23" spans="2:37" hidden="1" x14ac:dyDescent="0.25">
      <c r="B23" s="835" t="s">
        <v>373</v>
      </c>
      <c r="C23" s="347" t="s">
        <v>374</v>
      </c>
      <c r="D23" s="346">
        <v>108218355</v>
      </c>
      <c r="E23" s="345" t="s">
        <v>375</v>
      </c>
      <c r="F23" s="340" t="s">
        <v>335</v>
      </c>
      <c r="G23" s="340" t="s">
        <v>336</v>
      </c>
      <c r="H23" s="343" t="s">
        <v>19</v>
      </c>
      <c r="I23" s="344" t="s">
        <v>337</v>
      </c>
      <c r="J23" s="343" t="s">
        <v>338</v>
      </c>
      <c r="K23" s="342">
        <v>15</v>
      </c>
      <c r="L23" s="349">
        <v>5</v>
      </c>
      <c r="M23" s="348">
        <v>5</v>
      </c>
      <c r="N23" s="341">
        <v>5</v>
      </c>
      <c r="O23" s="350" t="s">
        <v>358</v>
      </c>
      <c r="P23" s="339" t="s">
        <v>376</v>
      </c>
      <c r="Q23" s="338" t="s">
        <v>377</v>
      </c>
      <c r="R23" s="338" t="s">
        <v>378</v>
      </c>
      <c r="S23" s="338" t="s">
        <v>375</v>
      </c>
      <c r="T23" s="337">
        <v>2000</v>
      </c>
      <c r="U23" s="339" t="s">
        <v>379</v>
      </c>
      <c r="V23" s="338"/>
      <c r="W23" s="338" t="s">
        <v>380</v>
      </c>
      <c r="X23" s="338" t="s">
        <v>375</v>
      </c>
      <c r="Y23" s="352">
        <v>1225</v>
      </c>
      <c r="Z23" s="336" t="s">
        <v>343</v>
      </c>
      <c r="AA23" s="335" t="s">
        <v>343</v>
      </c>
      <c r="AB23" s="335" t="s">
        <v>343</v>
      </c>
      <c r="AC23" s="335" t="s">
        <v>343</v>
      </c>
      <c r="AD23" s="335" t="s">
        <v>343</v>
      </c>
      <c r="AE23" s="336" t="s">
        <v>291</v>
      </c>
      <c r="AF23" s="335" t="s">
        <v>292</v>
      </c>
      <c r="AG23" s="335" t="s">
        <v>293</v>
      </c>
      <c r="AH23" s="334" t="s">
        <v>344</v>
      </c>
      <c r="AI23" s="333"/>
      <c r="AJ23" s="332"/>
      <c r="AK23" s="838" t="str">
        <f t="shared" si="0"/>
        <v>Central Ranges Pipeline (D)</v>
      </c>
    </row>
    <row r="24" spans="2:37" hidden="1" x14ac:dyDescent="0.25">
      <c r="B24" s="836" t="s">
        <v>381</v>
      </c>
      <c r="C24" s="347" t="s">
        <v>333</v>
      </c>
      <c r="D24" s="346">
        <v>76670568688</v>
      </c>
      <c r="E24" s="345" t="s">
        <v>334</v>
      </c>
      <c r="F24" s="340" t="s">
        <v>335</v>
      </c>
      <c r="G24" s="340" t="s">
        <v>336</v>
      </c>
      <c r="H24" s="343" t="s">
        <v>19</v>
      </c>
      <c r="I24" s="344" t="s">
        <v>337</v>
      </c>
      <c r="J24" s="343" t="s">
        <v>338</v>
      </c>
      <c r="K24" s="342">
        <v>5</v>
      </c>
      <c r="L24" s="349">
        <v>5</v>
      </c>
      <c r="M24" s="348">
        <v>5</v>
      </c>
      <c r="N24" s="341" t="s">
        <v>339</v>
      </c>
      <c r="O24" s="340"/>
      <c r="P24" s="355" t="s">
        <v>340</v>
      </c>
      <c r="Q24" s="338"/>
      <c r="R24" s="354" t="s">
        <v>341</v>
      </c>
      <c r="S24" s="353" t="s">
        <v>334</v>
      </c>
      <c r="T24" s="337">
        <v>2600</v>
      </c>
      <c r="U24" s="339" t="s">
        <v>342</v>
      </c>
      <c r="V24" s="338"/>
      <c r="W24" s="338" t="s">
        <v>341</v>
      </c>
      <c r="X24" s="338" t="s">
        <v>334</v>
      </c>
      <c r="Y24" s="352">
        <v>2601</v>
      </c>
      <c r="Z24" s="336" t="s">
        <v>343</v>
      </c>
      <c r="AA24" s="335" t="s">
        <v>343</v>
      </c>
      <c r="AB24" s="335" t="s">
        <v>343</v>
      </c>
      <c r="AC24" s="335" t="s">
        <v>343</v>
      </c>
      <c r="AD24" s="335" t="s">
        <v>343</v>
      </c>
      <c r="AE24" s="336" t="s">
        <v>291</v>
      </c>
      <c r="AF24" s="335" t="s">
        <v>292</v>
      </c>
      <c r="AG24" s="335" t="s">
        <v>293</v>
      </c>
      <c r="AH24" s="334" t="s">
        <v>344</v>
      </c>
      <c r="AI24" s="333"/>
      <c r="AJ24" s="332" t="s">
        <v>343</v>
      </c>
      <c r="AK24" s="838" t="str">
        <f t="shared" si="0"/>
        <v>Evoenergy Gas</v>
      </c>
    </row>
    <row r="25" spans="2:37" hidden="1" x14ac:dyDescent="0.25">
      <c r="B25" s="836" t="s">
        <v>382</v>
      </c>
      <c r="C25" s="347" t="s">
        <v>383</v>
      </c>
      <c r="D25" s="346" t="s">
        <v>384</v>
      </c>
      <c r="E25" s="345" t="s">
        <v>375</v>
      </c>
      <c r="F25" s="340" t="s">
        <v>335</v>
      </c>
      <c r="G25" s="340" t="s">
        <v>336</v>
      </c>
      <c r="H25" s="343" t="s">
        <v>19</v>
      </c>
      <c r="I25" s="344" t="s">
        <v>337</v>
      </c>
      <c r="J25" s="343" t="s">
        <v>338</v>
      </c>
      <c r="K25" s="342">
        <v>5</v>
      </c>
      <c r="L25" s="349">
        <v>5</v>
      </c>
      <c r="M25" s="348">
        <v>5</v>
      </c>
      <c r="N25" s="341"/>
      <c r="O25" s="350"/>
      <c r="P25" s="339"/>
      <c r="Q25" s="338"/>
      <c r="R25" s="338"/>
      <c r="S25" s="338"/>
      <c r="T25" s="337"/>
      <c r="U25" s="339"/>
      <c r="V25" s="338"/>
      <c r="W25" s="338"/>
      <c r="X25" s="338"/>
      <c r="Y25" s="352"/>
      <c r="Z25" s="336" t="s">
        <v>343</v>
      </c>
      <c r="AA25" s="335" t="s">
        <v>343</v>
      </c>
      <c r="AB25" s="335" t="s">
        <v>343</v>
      </c>
      <c r="AC25" s="335" t="s">
        <v>343</v>
      </c>
      <c r="AD25" s="335" t="s">
        <v>343</v>
      </c>
      <c r="AE25" s="336" t="s">
        <v>291</v>
      </c>
      <c r="AF25" s="335" t="s">
        <v>292</v>
      </c>
      <c r="AG25" s="335" t="s">
        <v>293</v>
      </c>
      <c r="AH25" s="334" t="s">
        <v>344</v>
      </c>
      <c r="AI25" s="333"/>
      <c r="AJ25" s="332" t="s">
        <v>343</v>
      </c>
      <c r="AK25" s="838" t="str">
        <f t="shared" si="0"/>
        <v>JGN</v>
      </c>
    </row>
    <row r="26" spans="2:37" x14ac:dyDescent="0.25">
      <c r="B26" s="836" t="s">
        <v>385</v>
      </c>
      <c r="C26" s="347" t="s">
        <v>386</v>
      </c>
      <c r="D26" s="351" t="s">
        <v>387</v>
      </c>
      <c r="E26" s="345" t="s">
        <v>347</v>
      </c>
      <c r="F26" s="340" t="s">
        <v>335</v>
      </c>
      <c r="G26" s="340" t="s">
        <v>336</v>
      </c>
      <c r="H26" s="343" t="s">
        <v>19</v>
      </c>
      <c r="I26" s="356" t="s">
        <v>337</v>
      </c>
      <c r="J26" s="340" t="s">
        <v>338</v>
      </c>
      <c r="K26" s="342">
        <v>5</v>
      </c>
      <c r="L26" s="349">
        <v>5</v>
      </c>
      <c r="M26" s="348">
        <v>5</v>
      </c>
      <c r="N26" s="341" t="s">
        <v>339</v>
      </c>
      <c r="O26" s="350"/>
      <c r="P26" s="339" t="s">
        <v>388</v>
      </c>
      <c r="Q26" s="338"/>
      <c r="R26" s="338" t="s">
        <v>389</v>
      </c>
      <c r="S26" s="338" t="s">
        <v>347</v>
      </c>
      <c r="T26" s="337">
        <v>3149</v>
      </c>
      <c r="U26" s="339"/>
      <c r="V26" s="338"/>
      <c r="W26" s="338"/>
      <c r="X26" s="338"/>
      <c r="Y26" s="337"/>
      <c r="Z26" s="336" t="s">
        <v>343</v>
      </c>
      <c r="AA26" s="335" t="s">
        <v>343</v>
      </c>
      <c r="AB26" s="335" t="s">
        <v>343</v>
      </c>
      <c r="AC26" s="335" t="s">
        <v>343</v>
      </c>
      <c r="AD26" s="335" t="s">
        <v>343</v>
      </c>
      <c r="AE26" s="336" t="s">
        <v>291</v>
      </c>
      <c r="AF26" s="335" t="s">
        <v>292</v>
      </c>
      <c r="AG26" s="335" t="s">
        <v>293</v>
      </c>
      <c r="AH26" s="334" t="s">
        <v>344</v>
      </c>
      <c r="AI26" s="333"/>
      <c r="AJ26" s="332" t="s">
        <v>343</v>
      </c>
      <c r="AK26" s="838" t="str">
        <f t="shared" si="0"/>
        <v>Multinet Gas</v>
      </c>
    </row>
    <row r="27" spans="2:37" x14ac:dyDescent="0.25">
      <c r="C27" s="280"/>
      <c r="X27" s="23"/>
    </row>
    <row r="28" spans="2:37" x14ac:dyDescent="0.25">
      <c r="C28" s="280"/>
      <c r="X28" s="23"/>
    </row>
    <row r="29" spans="2:37" x14ac:dyDescent="0.25">
      <c r="C29" s="280"/>
      <c r="X29" s="23"/>
    </row>
    <row r="30" spans="2:37" ht="15.75" thickBot="1" x14ac:dyDescent="0.3">
      <c r="C30" s="280"/>
      <c r="H30"/>
      <c r="I30"/>
      <c r="J30"/>
      <c r="K30"/>
      <c r="X30" s="23"/>
    </row>
    <row r="31" spans="2:37" ht="47.25" customHeight="1" thickBot="1" x14ac:dyDescent="0.3">
      <c r="B31" s="1006" t="s">
        <v>390</v>
      </c>
      <c r="C31" s="1007"/>
      <c r="D31" s="1007"/>
      <c r="E31" s="1007"/>
      <c r="H31"/>
      <c r="I31"/>
      <c r="J31"/>
      <c r="K31"/>
      <c r="L31" s="9"/>
      <c r="M31" s="9"/>
      <c r="N31" s="24"/>
      <c r="O31"/>
      <c r="P31"/>
      <c r="X31" s="23"/>
      <c r="Y31" s="23"/>
    </row>
    <row r="32" spans="2:37" ht="31.5" customHeight="1" thickBot="1" x14ac:dyDescent="0.3">
      <c r="B32" s="331" t="s">
        <v>391</v>
      </c>
      <c r="C32" s="330" t="s">
        <v>392</v>
      </c>
      <c r="D32" s="329" t="s">
        <v>393</v>
      </c>
      <c r="E32" s="328" t="s">
        <v>394</v>
      </c>
      <c r="H32"/>
      <c r="I32"/>
      <c r="J32"/>
      <c r="K32"/>
      <c r="L32" s="327"/>
      <c r="M32" s="327"/>
      <c r="N32" s="326"/>
      <c r="O32"/>
      <c r="P32"/>
      <c r="X32" s="23"/>
      <c r="Y32" s="23"/>
    </row>
    <row r="33" spans="2:25" x14ac:dyDescent="0.25">
      <c r="B33" s="325" t="s">
        <v>395</v>
      </c>
      <c r="C33" s="325" t="s">
        <v>396</v>
      </c>
      <c r="D33" s="324" t="str">
        <f>IF(dms_MultiYear_ResponseFlag="yes","NEW HISTORICAL ANNUAL REPORTING","ANNUAL REPORTING")</f>
        <v>ANNUAL REPORTING</v>
      </c>
      <c r="E33" s="323">
        <v>1</v>
      </c>
      <c r="H33"/>
      <c r="I33"/>
      <c r="J33"/>
      <c r="K33"/>
      <c r="L33" s="9"/>
      <c r="M33" s="9"/>
      <c r="N33" s="24"/>
      <c r="O33"/>
      <c r="P33"/>
      <c r="X33" s="23"/>
      <c r="Y33" s="23"/>
    </row>
    <row r="34" spans="2:25" x14ac:dyDescent="0.25">
      <c r="B34" s="321" t="s">
        <v>397</v>
      </c>
      <c r="C34" s="321" t="s">
        <v>398</v>
      </c>
      <c r="D34" s="320" t="str">
        <f>IF(dms_MultiYear_ResponseFlag="yes","NEW HISTORICAL CATEGORY ANALYSIS","CATEGORY ANALYSIS")</f>
        <v>CATEGORY ANALYSIS</v>
      </c>
      <c r="E34" s="322">
        <v>1</v>
      </c>
      <c r="H34"/>
      <c r="I34"/>
      <c r="J34"/>
      <c r="K34"/>
      <c r="L34" s="9"/>
      <c r="M34" s="9"/>
      <c r="N34" s="24"/>
      <c r="O34"/>
      <c r="P34"/>
      <c r="X34" s="23"/>
      <c r="Y34" s="23"/>
    </row>
    <row r="35" spans="2:25" x14ac:dyDescent="0.25">
      <c r="B35" s="321" t="s">
        <v>399</v>
      </c>
      <c r="C35" s="321" t="s">
        <v>400</v>
      </c>
      <c r="D35" s="320" t="s">
        <v>401</v>
      </c>
      <c r="E35" s="322">
        <v>5</v>
      </c>
      <c r="H35"/>
      <c r="I35"/>
      <c r="J35"/>
      <c r="K35"/>
      <c r="L35"/>
      <c r="M35" s="9"/>
      <c r="N35" s="24"/>
      <c r="O35"/>
      <c r="P35"/>
      <c r="X35" s="23"/>
      <c r="Y35" s="23"/>
    </row>
    <row r="36" spans="2:25" x14ac:dyDescent="0.25">
      <c r="B36" s="321" t="s">
        <v>402</v>
      </c>
      <c r="C36" s="321" t="s">
        <v>402</v>
      </c>
      <c r="D36" s="320" t="s">
        <v>402</v>
      </c>
      <c r="E36" s="322">
        <v>5</v>
      </c>
      <c r="H36"/>
      <c r="I36"/>
      <c r="J36"/>
      <c r="K36"/>
      <c r="L36"/>
      <c r="M36" s="9"/>
      <c r="N36" s="24"/>
      <c r="O36"/>
      <c r="P36"/>
      <c r="X36" s="23"/>
      <c r="Y36" s="23"/>
    </row>
    <row r="37" spans="2:25" x14ac:dyDescent="0.25">
      <c r="B37" s="321" t="s">
        <v>403</v>
      </c>
      <c r="C37" s="321" t="s">
        <v>404</v>
      </c>
      <c r="D37" s="320" t="str">
        <f>IF(dms_MultiYear_ResponseFlag="yes","NEW HISTORICAL ECONOMIC BENCHMARKING","ECONOMIC BENCHMARKING")</f>
        <v>ECONOMIC BENCHMARKING</v>
      </c>
      <c r="E37" s="319">
        <v>1</v>
      </c>
      <c r="H37"/>
      <c r="I37"/>
      <c r="J37"/>
      <c r="K37"/>
      <c r="L37"/>
      <c r="M37" s="9"/>
      <c r="N37" s="24"/>
      <c r="O37"/>
      <c r="P37"/>
      <c r="X37" s="23"/>
      <c r="Y37" s="23"/>
    </row>
    <row r="38" spans="2:25" x14ac:dyDescent="0.25">
      <c r="B38" s="321" t="s">
        <v>405</v>
      </c>
      <c r="C38" s="321" t="s">
        <v>406</v>
      </c>
      <c r="D38" s="320" t="s">
        <v>407</v>
      </c>
      <c r="E38" s="319">
        <v>5</v>
      </c>
      <c r="H38"/>
      <c r="I38"/>
      <c r="J38"/>
      <c r="K38"/>
      <c r="L38"/>
      <c r="M38" s="9"/>
      <c r="N38" s="24"/>
      <c r="O38"/>
      <c r="P38"/>
      <c r="X38" s="23"/>
      <c r="Y38" s="23"/>
    </row>
    <row r="39" spans="2:25" x14ac:dyDescent="0.25">
      <c r="B39" s="321" t="s">
        <v>204</v>
      </c>
      <c r="C39" s="321" t="s">
        <v>408</v>
      </c>
      <c r="D39" s="320" t="s">
        <v>409</v>
      </c>
      <c r="E39" s="319">
        <v>5</v>
      </c>
      <c r="H39"/>
      <c r="I39"/>
      <c r="J39"/>
      <c r="K39"/>
      <c r="L39"/>
      <c r="M39" s="9"/>
      <c r="N39" s="24"/>
      <c r="O39"/>
      <c r="P39"/>
      <c r="X39" s="23"/>
      <c r="Y39" s="23"/>
    </row>
    <row r="40" spans="2:25" x14ac:dyDescent="0.25">
      <c r="B40" s="321" t="s">
        <v>410</v>
      </c>
      <c r="C40" s="321" t="s">
        <v>411</v>
      </c>
      <c r="D40" s="320" t="s">
        <v>412</v>
      </c>
      <c r="E40" s="319">
        <v>5</v>
      </c>
      <c r="H40"/>
      <c r="I40"/>
      <c r="J40"/>
      <c r="K40"/>
      <c r="L40"/>
      <c r="M40" s="9"/>
      <c r="N40" s="24"/>
      <c r="O40"/>
      <c r="P40"/>
      <c r="X40" s="23"/>
      <c r="Y40" s="23"/>
    </row>
    <row r="41" spans="2:25" x14ac:dyDescent="0.25">
      <c r="B41" s="321" t="s">
        <v>198</v>
      </c>
      <c r="C41" s="321" t="s">
        <v>413</v>
      </c>
      <c r="D41" s="320" t="s">
        <v>414</v>
      </c>
      <c r="E41" s="319">
        <v>5</v>
      </c>
      <c r="H41"/>
      <c r="I41"/>
      <c r="J41"/>
      <c r="K41"/>
      <c r="L41"/>
      <c r="M41" s="9"/>
      <c r="N41" s="24"/>
      <c r="O41"/>
      <c r="P41"/>
      <c r="X41" s="23"/>
      <c r="Y41" s="23"/>
    </row>
    <row r="42" spans="2:25" ht="15.75" thickBot="1" x14ac:dyDescent="0.3">
      <c r="B42" s="318" t="s">
        <v>415</v>
      </c>
      <c r="C42" s="318" t="s">
        <v>416</v>
      </c>
      <c r="D42" s="317" t="s">
        <v>417</v>
      </c>
      <c r="E42" s="316">
        <v>1</v>
      </c>
      <c r="H42"/>
      <c r="I42"/>
      <c r="J42"/>
      <c r="K42"/>
      <c r="L42"/>
      <c r="M42" s="9"/>
      <c r="N42" s="24"/>
      <c r="O42"/>
      <c r="P42"/>
      <c r="X42" s="23"/>
      <c r="Y42" s="23"/>
    </row>
    <row r="43" spans="2:25" s="23" customFormat="1" x14ac:dyDescent="0.25">
      <c r="E43" s="59"/>
    </row>
    <row r="44" spans="2:25" x14ac:dyDescent="0.25">
      <c r="B44"/>
      <c r="C44" s="23"/>
      <c r="D44" s="23"/>
      <c r="E44" s="59"/>
      <c r="F44" s="23"/>
      <c r="G44" s="23"/>
      <c r="H44" s="23"/>
      <c r="I44" s="23"/>
      <c r="J44" s="23"/>
      <c r="K44" s="23"/>
      <c r="L44" s="23"/>
      <c r="O44"/>
      <c r="P44"/>
      <c r="Q44"/>
      <c r="R44"/>
      <c r="S44"/>
      <c r="T44"/>
      <c r="U44"/>
      <c r="V44"/>
    </row>
    <row r="45" spans="2:25" x14ac:dyDescent="0.25">
      <c r="C45" s="18"/>
      <c r="E45" s="289"/>
    </row>
    <row r="46" spans="2:25" ht="15.75" thickBot="1" x14ac:dyDescent="0.3">
      <c r="B46" s="315" t="s">
        <v>337</v>
      </c>
      <c r="C46" s="314" t="s">
        <v>418</v>
      </c>
      <c r="E46" s="313" t="s">
        <v>419</v>
      </c>
      <c r="G46" s="313" t="s">
        <v>420</v>
      </c>
      <c r="H46"/>
      <c r="I46" s="312" t="s">
        <v>421</v>
      </c>
    </row>
    <row r="47" spans="2:25" ht="15.75" thickBot="1" x14ac:dyDescent="0.3">
      <c r="B47" s="311" t="s">
        <v>422</v>
      </c>
      <c r="C47" s="310" t="s">
        <v>423</v>
      </c>
      <c r="D47" s="309" t="s">
        <v>424</v>
      </c>
      <c r="E47" s="307" t="str">
        <f ca="1">INDEX(INDIRECT(dms_RPT),dms_PRCP_start_row)</f>
        <v>2016-17</v>
      </c>
      <c r="F47" s="309" t="s">
        <v>425</v>
      </c>
      <c r="G47" s="307" t="str">
        <f ca="1">INDEX(INDIRECT(dms_RPT),dms_CRCP_start_row)</f>
        <v>2021-22</v>
      </c>
      <c r="H47" s="308" t="str">
        <f>FRCP_y1</f>
        <v>2026-27</v>
      </c>
      <c r="I47" s="307" t="str">
        <f ca="1">INDEX(INDIRECT(dms_RPT),dms_FRCP_start_row)</f>
        <v>2026-27</v>
      </c>
    </row>
    <row r="48" spans="2:25" x14ac:dyDescent="0.25">
      <c r="B48" s="293" t="s">
        <v>426</v>
      </c>
      <c r="C48" s="292" t="s">
        <v>427</v>
      </c>
      <c r="D48" s="304" t="s">
        <v>428</v>
      </c>
      <c r="E48" s="306" t="str">
        <f ca="1">INDEX(INDIRECT(dms_RPT),dms_PRCP_start_row+1)</f>
        <v>2017-18</v>
      </c>
      <c r="F48" s="304" t="s">
        <v>429</v>
      </c>
      <c r="G48" s="303" t="str">
        <f ca="1">INDEX(INDIRECT(dms_RPT),dms_CRCP_start_row+1)</f>
        <v>2022-23</v>
      </c>
      <c r="H48" s="305" t="s">
        <v>430</v>
      </c>
      <c r="I48" s="303" t="str">
        <f ca="1">INDEX(INDIRECT(dms_RPT),dms_FRCP_start_row+1)</f>
        <v>2027-28</v>
      </c>
    </row>
    <row r="49" spans="2:12" x14ac:dyDescent="0.25">
      <c r="B49" s="293" t="s">
        <v>431</v>
      </c>
      <c r="C49" s="292" t="s">
        <v>432</v>
      </c>
      <c r="D49" s="304" t="s">
        <v>433</v>
      </c>
      <c r="E49" s="303" t="str">
        <f ca="1">INDEX(INDIRECT(dms_RPT),dms_PRCP_start_row+2)</f>
        <v>2018-19</v>
      </c>
      <c r="F49" s="304" t="s">
        <v>434</v>
      </c>
      <c r="G49" s="303" t="str">
        <f ca="1">INDEX(INDIRECT(dms_RPT),dms_CRCP_start_row+2)</f>
        <v>2023-24</v>
      </c>
      <c r="H49" s="304" t="s">
        <v>435</v>
      </c>
      <c r="I49" s="303" t="str">
        <f ca="1">INDEX(INDIRECT(dms_RPT),dms_FRCP_start_row+2)</f>
        <v>2028-29</v>
      </c>
    </row>
    <row r="50" spans="2:12" x14ac:dyDescent="0.25">
      <c r="B50" s="293" t="s">
        <v>436</v>
      </c>
      <c r="C50" s="292" t="s">
        <v>437</v>
      </c>
      <c r="D50" s="304" t="s">
        <v>438</v>
      </c>
      <c r="E50" s="303" t="str">
        <f ca="1">INDEX(INDIRECT(dms_RPT),dms_PRCP_start_row+3)</f>
        <v>2019-20</v>
      </c>
      <c r="F50" s="304" t="s">
        <v>439</v>
      </c>
      <c r="G50" s="303" t="str">
        <f ca="1">INDEX(INDIRECT(dms_RPT),dms_CRCP_start_row+3)</f>
        <v>2024-25</v>
      </c>
      <c r="H50" s="304" t="s">
        <v>440</v>
      </c>
      <c r="I50" s="303" t="str">
        <f ca="1">INDEX(INDIRECT(dms_RPT),dms_FRCP_start_row+3)</f>
        <v>2029-30</v>
      </c>
    </row>
    <row r="51" spans="2:12" x14ac:dyDescent="0.25">
      <c r="B51" s="293" t="s">
        <v>441</v>
      </c>
      <c r="C51" s="292" t="s">
        <v>442</v>
      </c>
      <c r="D51" s="304" t="s">
        <v>443</v>
      </c>
      <c r="E51" s="303" t="str">
        <f ca="1">INDEX(INDIRECT(dms_RPT),dms_PRCP_start_row+4)</f>
        <v>2020-21</v>
      </c>
      <c r="F51" s="304" t="s">
        <v>444</v>
      </c>
      <c r="G51" s="303" t="str">
        <f ca="1">INDEX(INDIRECT(dms_RPT),dms_CRCP_start_row+4)</f>
        <v>2025-26</v>
      </c>
      <c r="H51" s="304" t="s">
        <v>445</v>
      </c>
      <c r="I51" s="303" t="str">
        <f ca="1">INDEX(INDIRECT(dms_RPT),dms_FRCP_start_row+4)</f>
        <v>2030-31</v>
      </c>
    </row>
    <row r="52" spans="2:12" x14ac:dyDescent="0.25">
      <c r="B52" s="293" t="s">
        <v>446</v>
      </c>
      <c r="C52" s="292" t="s">
        <v>447</v>
      </c>
      <c r="D52" s="304" t="s">
        <v>448</v>
      </c>
      <c r="E52" s="303" t="str">
        <f ca="1">INDEX(INDIRECT(dms_RPT),dms_PRCP_start_row+5)</f>
        <v>2021-22</v>
      </c>
      <c r="F52" s="304" t="s">
        <v>449</v>
      </c>
      <c r="G52" s="303" t="str">
        <f ca="1">INDEX(INDIRECT(dms_RPT),dms_CRCP_start_row+5)</f>
        <v>2026-27</v>
      </c>
      <c r="H52" s="304" t="s">
        <v>450</v>
      </c>
      <c r="I52" s="303" t="str">
        <f ca="1">INDEX(INDIRECT(dms_RPT),dms_FRCP_start_row+5)</f>
        <v>2031-32</v>
      </c>
    </row>
    <row r="53" spans="2:12" x14ac:dyDescent="0.25">
      <c r="B53" s="293" t="s">
        <v>451</v>
      </c>
      <c r="C53" s="292" t="s">
        <v>452</v>
      </c>
      <c r="D53" s="304" t="s">
        <v>453</v>
      </c>
      <c r="E53" s="303" t="str">
        <f ca="1">INDEX(INDIRECT(dms_RPT),dms_PRCP_start_row+6)</f>
        <v>2022-23</v>
      </c>
      <c r="F53" s="304" t="s">
        <v>454</v>
      </c>
      <c r="G53" s="303" t="str">
        <f ca="1">INDEX(INDIRECT(dms_RPT),dms_CRCP_start_row+6)</f>
        <v>2027-28</v>
      </c>
      <c r="H53" s="304" t="s">
        <v>455</v>
      </c>
      <c r="I53" s="303" t="str">
        <f ca="1">INDEX(INDIRECT(dms_RPT),dms_FRCP_start_row+6)</f>
        <v>2032-33</v>
      </c>
    </row>
    <row r="54" spans="2:12" x14ac:dyDescent="0.25">
      <c r="B54" s="293" t="s">
        <v>456</v>
      </c>
      <c r="C54" s="292" t="s">
        <v>457</v>
      </c>
      <c r="D54" s="304" t="s">
        <v>458</v>
      </c>
      <c r="E54" s="303" t="str">
        <f ca="1">INDEX(INDIRECT(dms_RPT),dms_PRCP_start_row+7)</f>
        <v>2023-24</v>
      </c>
      <c r="F54" s="304" t="s">
        <v>459</v>
      </c>
      <c r="G54" s="303" t="str">
        <f ca="1">INDEX(INDIRECT(dms_RPT),dms_CRCP_start_row+7)</f>
        <v>2028-29</v>
      </c>
      <c r="H54" s="304" t="s">
        <v>460</v>
      </c>
      <c r="I54" s="303" t="str">
        <f ca="1">INDEX(INDIRECT(dms_RPT),dms_FRCP_start_row+7)</f>
        <v>2033-34</v>
      </c>
      <c r="J54"/>
      <c r="K54"/>
      <c r="L54"/>
    </row>
    <row r="55" spans="2:12" x14ac:dyDescent="0.25">
      <c r="B55" s="293" t="s">
        <v>461</v>
      </c>
      <c r="C55" s="292" t="s">
        <v>462</v>
      </c>
      <c r="D55" s="304" t="s">
        <v>463</v>
      </c>
      <c r="E55" s="303" t="str">
        <f ca="1">INDEX(INDIRECT(dms_RPT),dms_PRCP_start_row+8)</f>
        <v>2024-25</v>
      </c>
      <c r="F55" s="304" t="s">
        <v>464</v>
      </c>
      <c r="G55" s="303" t="str">
        <f ca="1">INDEX(INDIRECT(dms_RPT),dms_CRCP_start_row+8)</f>
        <v>2029-30</v>
      </c>
      <c r="H55" s="304" t="s">
        <v>465</v>
      </c>
      <c r="I55" s="303" t="str">
        <f ca="1">INDEX(INDIRECT(dms_RPT),dms_FRCP_start_row+8)</f>
        <v>2034-35</v>
      </c>
      <c r="J55"/>
      <c r="K55"/>
      <c r="L55"/>
    </row>
    <row r="56" spans="2:12" x14ac:dyDescent="0.25">
      <c r="B56" s="293" t="s">
        <v>466</v>
      </c>
      <c r="C56" s="292" t="s">
        <v>467</v>
      </c>
      <c r="D56" s="304" t="s">
        <v>468</v>
      </c>
      <c r="E56" s="303" t="str">
        <f ca="1">INDEX(INDIRECT(dms_RPT),dms_PRCP_start_row+9)</f>
        <v>2025-26</v>
      </c>
      <c r="F56" s="304" t="s">
        <v>469</v>
      </c>
      <c r="G56" s="303" t="str">
        <f ca="1">INDEX(INDIRECT(dms_RPT),dms_CRCP_start_row+9)</f>
        <v>2030-31</v>
      </c>
      <c r="H56" s="304" t="s">
        <v>470</v>
      </c>
      <c r="I56" s="303" t="str">
        <f ca="1">INDEX(INDIRECT(dms_RPT),dms_FRCP_start_row+9)</f>
        <v>2035-36</v>
      </c>
      <c r="J56"/>
      <c r="K56"/>
      <c r="L56"/>
    </row>
    <row r="57" spans="2:12" x14ac:dyDescent="0.25">
      <c r="B57" s="293" t="s">
        <v>471</v>
      </c>
      <c r="C57" s="292" t="s">
        <v>472</v>
      </c>
      <c r="D57" s="304" t="s">
        <v>473</v>
      </c>
      <c r="E57" s="303" t="str">
        <f ca="1">INDEX(INDIRECT(dms_RPT),dms_PRCP_start_row+10)</f>
        <v>2026-27</v>
      </c>
      <c r="F57" s="304" t="s">
        <v>474</v>
      </c>
      <c r="G57" s="303" t="str">
        <f ca="1">INDEX(INDIRECT(dms_RPT),dms_CRCP_start_row+10)</f>
        <v>2031-32</v>
      </c>
      <c r="H57" s="304" t="s">
        <v>475</v>
      </c>
      <c r="I57" s="303" t="str">
        <f ca="1">INDEX(INDIRECT(dms_RPT),dms_FRCP_start_row+10)</f>
        <v>2036-37</v>
      </c>
      <c r="J57"/>
      <c r="K57"/>
      <c r="L57"/>
    </row>
    <row r="58" spans="2:12" x14ac:dyDescent="0.25">
      <c r="B58" s="293" t="s">
        <v>476</v>
      </c>
      <c r="C58" s="292" t="s">
        <v>477</v>
      </c>
      <c r="D58" s="304" t="s">
        <v>478</v>
      </c>
      <c r="E58" s="303" t="str">
        <f ca="1">INDEX(INDIRECT(dms_RPT),dms_PRCP_start_row+11)</f>
        <v>2027-28</v>
      </c>
      <c r="F58" s="304" t="s">
        <v>479</v>
      </c>
      <c r="G58" s="303" t="str">
        <f ca="1">INDEX(INDIRECT(dms_RPT),dms_CRCP_start_row+11)</f>
        <v>2032-33</v>
      </c>
      <c r="H58" s="304" t="s">
        <v>480</v>
      </c>
      <c r="I58" s="303" t="str">
        <f ca="1">INDEX(INDIRECT(dms_RPT),dms_FRCP_start_row+11)</f>
        <v>2037-38</v>
      </c>
      <c r="J58"/>
      <c r="K58"/>
      <c r="L58"/>
    </row>
    <row r="59" spans="2:12" x14ac:dyDescent="0.25">
      <c r="B59" s="293" t="s">
        <v>481</v>
      </c>
      <c r="C59" s="292" t="s">
        <v>482</v>
      </c>
      <c r="D59" s="304" t="s">
        <v>483</v>
      </c>
      <c r="E59" s="303" t="str">
        <f ca="1">INDEX(INDIRECT(dms_RPT),dms_PRCP_start_row+12)</f>
        <v>2028-29</v>
      </c>
      <c r="F59" s="304" t="s">
        <v>484</v>
      </c>
      <c r="G59" s="303" t="str">
        <f ca="1">INDEX(INDIRECT(dms_RPT),dms_CRCP_start_row+12)</f>
        <v>2033-34</v>
      </c>
      <c r="H59" s="304" t="s">
        <v>485</v>
      </c>
      <c r="I59" s="303" t="str">
        <f ca="1">INDEX(INDIRECT(dms_RPT),dms_FRCP_start_row+12)</f>
        <v>2038-39</v>
      </c>
      <c r="J59"/>
      <c r="K59"/>
      <c r="L59"/>
    </row>
    <row r="60" spans="2:12" x14ac:dyDescent="0.25">
      <c r="B60" s="293" t="s">
        <v>486</v>
      </c>
      <c r="C60" s="292" t="s">
        <v>487</v>
      </c>
      <c r="D60" s="304" t="s">
        <v>488</v>
      </c>
      <c r="E60" s="303" t="str">
        <f ca="1">INDEX(INDIRECT(dms_RPT),dms_PRCP_start_row+13)</f>
        <v>2029-30</v>
      </c>
      <c r="F60" s="304" t="s">
        <v>489</v>
      </c>
      <c r="G60" s="303" t="str">
        <f ca="1">INDEX(INDIRECT(dms_RPT),dms_CRCP_start_row+13)</f>
        <v>2034-35</v>
      </c>
      <c r="H60" s="304" t="s">
        <v>490</v>
      </c>
      <c r="I60" s="303" t="str">
        <f ca="1">INDEX(INDIRECT(dms_RPT),dms_FRCP_start_row+13)</f>
        <v>2039-40</v>
      </c>
      <c r="J60"/>
      <c r="K60"/>
      <c r="L60"/>
    </row>
    <row r="61" spans="2:12" x14ac:dyDescent="0.25">
      <c r="B61" s="293" t="s">
        <v>491</v>
      </c>
      <c r="C61" s="292" t="s">
        <v>492</v>
      </c>
      <c r="D61" s="304" t="s">
        <v>493</v>
      </c>
      <c r="E61" s="303" t="str">
        <f ca="1">INDEX(INDIRECT(dms_RPT),dms_PRCP_start_row+14)</f>
        <v>2030-31</v>
      </c>
      <c r="F61" s="304" t="s">
        <v>494</v>
      </c>
      <c r="G61" s="303" t="str">
        <f ca="1">INDEX(INDIRECT(dms_RPT),dms_CRCP_start_row+14)</f>
        <v>2035-36</v>
      </c>
      <c r="H61" s="304" t="s">
        <v>495</v>
      </c>
      <c r="I61" s="303" t="str">
        <f ca="1">INDEX(INDIRECT(dms_RPT),dms_FRCP_start_row+14)</f>
        <v>2040-41</v>
      </c>
      <c r="J61"/>
      <c r="K61"/>
      <c r="L61"/>
    </row>
    <row r="62" spans="2:12" ht="15.75" thickBot="1" x14ac:dyDescent="0.3">
      <c r="B62" s="293" t="s">
        <v>496</v>
      </c>
      <c r="C62" s="292" t="s">
        <v>497</v>
      </c>
      <c r="D62" s="302" t="s">
        <v>498</v>
      </c>
      <c r="E62" s="301" t="str">
        <f ca="1">INDEX(INDIRECT(dms_RPT),dms_PRCP_start_row+15)</f>
        <v>2031-32</v>
      </c>
      <c r="F62" s="302" t="s">
        <v>499</v>
      </c>
      <c r="G62" s="301" t="str">
        <f ca="1">INDEX(INDIRECT(dms_RPT),dms_CRCP_start_row+15)</f>
        <v>2036-37</v>
      </c>
      <c r="H62" s="302" t="s">
        <v>500</v>
      </c>
      <c r="I62" s="303" t="e">
        <f ca="1">INDEX(INDIRECT(dms_RPT),dms_FRCP_start_row+15)</f>
        <v>#REF!</v>
      </c>
      <c r="J62"/>
      <c r="K62"/>
      <c r="L62"/>
    </row>
    <row r="63" spans="2:12" x14ac:dyDescent="0.25">
      <c r="B63" s="293" t="s">
        <v>501</v>
      </c>
      <c r="C63" s="292" t="s">
        <v>502</v>
      </c>
      <c r="E63"/>
      <c r="H63"/>
      <c r="I63"/>
      <c r="J63"/>
      <c r="K63"/>
      <c r="L63"/>
    </row>
    <row r="64" spans="2:12" ht="15.75" thickBot="1" x14ac:dyDescent="0.3">
      <c r="B64" s="293" t="s">
        <v>503</v>
      </c>
      <c r="C64" s="292" t="s">
        <v>504</v>
      </c>
      <c r="E64"/>
      <c r="H64"/>
      <c r="I64"/>
      <c r="J64"/>
      <c r="K64"/>
      <c r="L64"/>
    </row>
    <row r="65" spans="2:12" x14ac:dyDescent="0.25">
      <c r="B65" s="293" t="s">
        <v>505</v>
      </c>
      <c r="C65" s="292" t="s">
        <v>506</v>
      </c>
      <c r="D65" s="300"/>
      <c r="E65" s="299" t="s">
        <v>507</v>
      </c>
      <c r="H65"/>
      <c r="I65"/>
      <c r="J65"/>
      <c r="K65"/>
      <c r="L65"/>
    </row>
    <row r="66" spans="2:12" x14ac:dyDescent="0.25">
      <c r="B66" s="293" t="s">
        <v>508</v>
      </c>
      <c r="C66" s="292" t="s">
        <v>509</v>
      </c>
      <c r="D66" s="297" t="s">
        <v>510</v>
      </c>
      <c r="E66" s="296" t="str">
        <f ca="1">IFERROR(INDEX(INDIRECT(dms_RPT),dms_CRY_start_row),0)</f>
        <v>2025-26</v>
      </c>
      <c r="H66"/>
      <c r="I66"/>
      <c r="J66"/>
      <c r="K66"/>
      <c r="L66"/>
    </row>
    <row r="67" spans="2:12" x14ac:dyDescent="0.25">
      <c r="B67" s="293" t="s">
        <v>511</v>
      </c>
      <c r="C67" s="292" t="s">
        <v>512</v>
      </c>
      <c r="D67" s="297" t="s">
        <v>513</v>
      </c>
      <c r="E67" s="296" t="str">
        <f ca="1">IFERROR(INDEX(INDIRECT(dms_RPT),dms_CRY_start_row+1),0)</f>
        <v>2026-27</v>
      </c>
      <c r="H67"/>
      <c r="I67"/>
      <c r="J67"/>
      <c r="K67"/>
      <c r="L67"/>
    </row>
    <row r="68" spans="2:12" x14ac:dyDescent="0.25">
      <c r="B68" s="293" t="s">
        <v>514</v>
      </c>
      <c r="C68" s="292" t="s">
        <v>515</v>
      </c>
      <c r="D68" s="297" t="s">
        <v>516</v>
      </c>
      <c r="E68" s="296" t="str">
        <f ca="1">IFERROR(INDEX(INDIRECT(dms_RPT),dms_CRY_start_row+2),0)</f>
        <v>2027-28</v>
      </c>
      <c r="H68"/>
      <c r="I68"/>
      <c r="J68"/>
      <c r="K68"/>
      <c r="L68"/>
    </row>
    <row r="69" spans="2:12" x14ac:dyDescent="0.25">
      <c r="B69" s="293" t="s">
        <v>517</v>
      </c>
      <c r="C69" s="292">
        <v>2010</v>
      </c>
      <c r="D69" s="297" t="s">
        <v>518</v>
      </c>
      <c r="E69" s="296" t="str">
        <f ca="1">IFERROR(INDEX(INDIRECT(dms_RPT),dms_CRY_start_row+3),0)</f>
        <v>2028-29</v>
      </c>
      <c r="H69"/>
      <c r="I69"/>
      <c r="J69"/>
      <c r="K69"/>
      <c r="L69"/>
    </row>
    <row r="70" spans="2:12" x14ac:dyDescent="0.25">
      <c r="B70" s="293" t="s">
        <v>519</v>
      </c>
      <c r="C70" s="292">
        <v>2011</v>
      </c>
      <c r="D70" s="297" t="s">
        <v>520</v>
      </c>
      <c r="E70" s="296" t="str">
        <f ca="1">IFERROR(INDEX(INDIRECT(dms_RPT),dms_CRY_start_row+4),0)</f>
        <v>2029-30</v>
      </c>
      <c r="H70"/>
      <c r="I70"/>
      <c r="J70"/>
      <c r="K70"/>
      <c r="L70"/>
    </row>
    <row r="71" spans="2:12" x14ac:dyDescent="0.25">
      <c r="B71" s="293" t="s">
        <v>521</v>
      </c>
      <c r="C71" s="292">
        <v>2012</v>
      </c>
      <c r="D71" s="297" t="s">
        <v>522</v>
      </c>
      <c r="E71" s="296" t="str">
        <f ca="1">IFERROR(INDEX(INDIRECT(dms_RPT),dms_CRY_start_row+5),0)</f>
        <v>2030-31</v>
      </c>
      <c r="H71"/>
      <c r="I71"/>
      <c r="J71"/>
      <c r="K71"/>
      <c r="L71"/>
    </row>
    <row r="72" spans="2:12" x14ac:dyDescent="0.25">
      <c r="B72" s="293" t="s">
        <v>523</v>
      </c>
      <c r="C72" s="292">
        <v>2013</v>
      </c>
      <c r="D72" s="297" t="s">
        <v>524</v>
      </c>
      <c r="E72" s="296" t="str">
        <f ca="1">IFERROR(INDEX(INDIRECT(dms_RPT),dms_CRY_start_row+6),0)</f>
        <v>2031-32</v>
      </c>
      <c r="H72"/>
      <c r="I72"/>
      <c r="J72"/>
      <c r="K72"/>
      <c r="L72"/>
    </row>
    <row r="73" spans="2:12" x14ac:dyDescent="0.25">
      <c r="B73" s="293" t="s">
        <v>525</v>
      </c>
      <c r="C73" s="292">
        <v>2014</v>
      </c>
      <c r="D73" s="297" t="s">
        <v>526</v>
      </c>
      <c r="E73" s="296" t="str">
        <f ca="1">IFERROR(INDEX(INDIRECT(dms_RPT),dms_CRY_start_row+7),0)</f>
        <v>2032-33</v>
      </c>
      <c r="H73"/>
      <c r="I73"/>
      <c r="J73"/>
      <c r="K73"/>
      <c r="L73"/>
    </row>
    <row r="74" spans="2:12" x14ac:dyDescent="0.25">
      <c r="B74" s="293" t="s">
        <v>527</v>
      </c>
      <c r="C74" s="292">
        <v>2015</v>
      </c>
      <c r="D74" s="297" t="s">
        <v>528</v>
      </c>
      <c r="E74" s="296" t="str">
        <f ca="1">IFERROR(INDEX(INDIRECT(dms_RPT),dms_CRY_start_row+8),0)</f>
        <v>2033-34</v>
      </c>
      <c r="I74" s="298"/>
    </row>
    <row r="75" spans="2:12" x14ac:dyDescent="0.25">
      <c r="B75" s="293" t="s">
        <v>529</v>
      </c>
      <c r="C75" s="292">
        <v>2016</v>
      </c>
      <c r="D75" s="297" t="s">
        <v>530</v>
      </c>
      <c r="E75" s="296" t="str">
        <f ca="1">IFERROR(INDEX(INDIRECT(dms_RPT),dms_CRY_start_row+9),0)</f>
        <v>2034-35</v>
      </c>
      <c r="I75" s="298"/>
    </row>
    <row r="76" spans="2:12" x14ac:dyDescent="0.25">
      <c r="B76" s="293" t="s">
        <v>531</v>
      </c>
      <c r="C76" s="292">
        <v>2017</v>
      </c>
      <c r="D76" s="297" t="s">
        <v>532</v>
      </c>
      <c r="E76" s="296" t="str">
        <f ca="1">IFERROR(INDEX(INDIRECT(dms_RPT),dms_CRY_start_row+10),0)</f>
        <v>2035-36</v>
      </c>
    </row>
    <row r="77" spans="2:12" x14ac:dyDescent="0.25">
      <c r="B77" s="293" t="s">
        <v>533</v>
      </c>
      <c r="C77" s="292">
        <v>2018</v>
      </c>
      <c r="D77" s="297" t="s">
        <v>534</v>
      </c>
      <c r="E77" s="296" t="str">
        <f ca="1">IFERROR(INDEX(INDIRECT(dms_RPT),dms_CRY_start_row+11),0)</f>
        <v>2036-37</v>
      </c>
    </row>
    <row r="78" spans="2:12" x14ac:dyDescent="0.25">
      <c r="B78" s="293" t="s">
        <v>535</v>
      </c>
      <c r="C78" s="292">
        <v>2019</v>
      </c>
      <c r="D78" s="297" t="s">
        <v>536</v>
      </c>
      <c r="E78" s="296" t="str">
        <f ca="1">IFERROR(INDEX(INDIRECT(dms_RPT),dms_CRY_start_row+12),0)</f>
        <v>2037-38</v>
      </c>
    </row>
    <row r="79" spans="2:12" x14ac:dyDescent="0.25">
      <c r="B79" s="293" t="s">
        <v>537</v>
      </c>
      <c r="C79" s="292">
        <v>2020</v>
      </c>
      <c r="D79" s="297" t="s">
        <v>538</v>
      </c>
      <c r="E79" s="296" t="str">
        <f ca="1">IFERROR(INDEX(INDIRECT(dms_RPT),dms_CRY_start_row+13),0)</f>
        <v>2038-39</v>
      </c>
      <c r="H79"/>
      <c r="I79"/>
    </row>
    <row r="80" spans="2:12" x14ac:dyDescent="0.25">
      <c r="B80" s="293" t="s">
        <v>539</v>
      </c>
      <c r="C80" s="292">
        <v>2021</v>
      </c>
      <c r="D80" s="297" t="s">
        <v>540</v>
      </c>
      <c r="E80" s="296" t="str">
        <f ca="1">IFERROR(INDEX(INDIRECT(dms_RPT),dms_CRY_start_row+14),0)</f>
        <v>2039-40</v>
      </c>
      <c r="H80"/>
      <c r="I80"/>
    </row>
    <row r="81" spans="2:9" ht="15.75" thickBot="1" x14ac:dyDescent="0.3">
      <c r="B81" s="293" t="s">
        <v>541</v>
      </c>
      <c r="C81" s="292">
        <v>2022</v>
      </c>
      <c r="D81" s="295" t="s">
        <v>542</v>
      </c>
      <c r="E81" s="294" t="str">
        <f ca="1">IFERROR(INDEX(INDIRECT(dms_RPT),dms_CRY_start_row+15),0)</f>
        <v>2040-41</v>
      </c>
      <c r="H81"/>
      <c r="I81"/>
    </row>
    <row r="82" spans="2:9" x14ac:dyDescent="0.25">
      <c r="B82" s="293" t="s">
        <v>543</v>
      </c>
      <c r="C82" s="292">
        <v>2023</v>
      </c>
      <c r="E82"/>
      <c r="H82"/>
      <c r="I82"/>
    </row>
    <row r="83" spans="2:9" x14ac:dyDescent="0.25">
      <c r="B83" s="293" t="s">
        <v>544</v>
      </c>
      <c r="C83" s="292">
        <v>2024</v>
      </c>
      <c r="E83"/>
      <c r="H83"/>
      <c r="I83"/>
    </row>
    <row r="84" spans="2:9" x14ac:dyDescent="0.25">
      <c r="B84" s="293" t="s">
        <v>545</v>
      </c>
      <c r="C84" s="292">
        <v>2025</v>
      </c>
      <c r="E84"/>
      <c r="H84"/>
      <c r="I84"/>
    </row>
    <row r="85" spans="2:9" x14ac:dyDescent="0.25">
      <c r="B85" s="293" t="s">
        <v>546</v>
      </c>
      <c r="C85" s="292">
        <v>2026</v>
      </c>
      <c r="E85"/>
      <c r="H85"/>
      <c r="I85"/>
    </row>
    <row r="86" spans="2:9" x14ac:dyDescent="0.25">
      <c r="B86" s="293" t="s">
        <v>547</v>
      </c>
      <c r="C86" s="292">
        <v>2027</v>
      </c>
      <c r="E86"/>
      <c r="H86"/>
      <c r="I86"/>
    </row>
    <row r="87" spans="2:9" x14ac:dyDescent="0.25">
      <c r="B87" s="293" t="s">
        <v>548</v>
      </c>
      <c r="C87" s="292">
        <v>2028</v>
      </c>
      <c r="E87"/>
      <c r="H87"/>
      <c r="I87"/>
    </row>
    <row r="88" spans="2:9" x14ac:dyDescent="0.25">
      <c r="B88" s="293" t="s">
        <v>549</v>
      </c>
      <c r="C88" s="292">
        <v>2029</v>
      </c>
      <c r="E88"/>
      <c r="H88"/>
      <c r="I88"/>
    </row>
    <row r="89" spans="2:9" x14ac:dyDescent="0.25">
      <c r="B89" s="293" t="s">
        <v>550</v>
      </c>
      <c r="C89" s="292">
        <v>2030</v>
      </c>
      <c r="E89"/>
      <c r="H89"/>
      <c r="I89"/>
    </row>
    <row r="90" spans="2:9" x14ac:dyDescent="0.25">
      <c r="B90" s="293" t="s">
        <v>551</v>
      </c>
      <c r="C90" s="292">
        <v>2031</v>
      </c>
      <c r="E90"/>
      <c r="H90"/>
      <c r="I90"/>
    </row>
    <row r="91" spans="2:9" x14ac:dyDescent="0.25">
      <c r="B91" s="293" t="s">
        <v>552</v>
      </c>
      <c r="C91" s="292">
        <v>2032</v>
      </c>
      <c r="E91"/>
      <c r="H91"/>
      <c r="I91"/>
    </row>
    <row r="92" spans="2:9" x14ac:dyDescent="0.25">
      <c r="B92" s="293" t="s">
        <v>553</v>
      </c>
      <c r="C92" s="292">
        <v>2033</v>
      </c>
      <c r="E92"/>
      <c r="H92"/>
      <c r="I92"/>
    </row>
    <row r="93" spans="2:9" x14ac:dyDescent="0.25">
      <c r="B93" s="293" t="s">
        <v>554</v>
      </c>
      <c r="C93" s="292">
        <v>2034</v>
      </c>
      <c r="E93"/>
      <c r="H93"/>
      <c r="I93"/>
    </row>
    <row r="94" spans="2:9" x14ac:dyDescent="0.25">
      <c r="B94" s="293" t="s">
        <v>555</v>
      </c>
      <c r="C94" s="292">
        <v>2035</v>
      </c>
      <c r="E94"/>
      <c r="H94"/>
      <c r="I94"/>
    </row>
    <row r="95" spans="2:9" x14ac:dyDescent="0.25">
      <c r="B95" s="293" t="s">
        <v>556</v>
      </c>
      <c r="C95" s="292">
        <v>2036</v>
      </c>
      <c r="E95"/>
      <c r="H95"/>
      <c r="I95"/>
    </row>
    <row r="96" spans="2:9" x14ac:dyDescent="0.25">
      <c r="B96" s="293" t="s">
        <v>557</v>
      </c>
      <c r="C96" s="292">
        <v>2037</v>
      </c>
      <c r="E96"/>
      <c r="H96"/>
      <c r="I96"/>
    </row>
    <row r="97" spans="2:22" x14ac:dyDescent="0.25">
      <c r="B97" s="293" t="s">
        <v>558</v>
      </c>
      <c r="C97" s="292">
        <v>2038</v>
      </c>
      <c r="E97"/>
      <c r="H97"/>
      <c r="I97"/>
    </row>
    <row r="98" spans="2:22" x14ac:dyDescent="0.25">
      <c r="B98" s="293" t="s">
        <v>559</v>
      </c>
      <c r="C98" s="292">
        <v>2039</v>
      </c>
      <c r="E98"/>
      <c r="H98"/>
      <c r="I98"/>
    </row>
    <row r="99" spans="2:22" x14ac:dyDescent="0.25">
      <c r="B99" s="293" t="s">
        <v>560</v>
      </c>
      <c r="C99" s="292">
        <v>2040</v>
      </c>
      <c r="E99"/>
      <c r="H99"/>
      <c r="I99"/>
    </row>
    <row r="100" spans="2:22" ht="15.75" thickBot="1" x14ac:dyDescent="0.3">
      <c r="B100" s="291" t="s">
        <v>561</v>
      </c>
      <c r="C100" s="290">
        <v>2041</v>
      </c>
      <c r="E100"/>
      <c r="H100"/>
      <c r="I100"/>
    </row>
    <row r="101" spans="2:22" x14ac:dyDescent="0.25">
      <c r="B101" s="24"/>
      <c r="C101"/>
      <c r="E101" s="289"/>
      <c r="O101"/>
      <c r="P101"/>
      <c r="Q101"/>
      <c r="R101"/>
      <c r="S101"/>
      <c r="T101"/>
      <c r="U101"/>
      <c r="V101"/>
    </row>
    <row r="102" spans="2:22" x14ac:dyDescent="0.25">
      <c r="B102"/>
      <c r="C102"/>
      <c r="H102"/>
      <c r="I102"/>
      <c r="J102"/>
      <c r="K102"/>
      <c r="L102"/>
      <c r="O102"/>
      <c r="P102"/>
      <c r="Q102"/>
      <c r="R102"/>
      <c r="S102"/>
      <c r="T102"/>
      <c r="U102"/>
      <c r="V102"/>
    </row>
    <row r="103" spans="2:22" x14ac:dyDescent="0.25">
      <c r="B103"/>
      <c r="C103"/>
      <c r="H103"/>
      <c r="I103"/>
      <c r="J103"/>
      <c r="K103"/>
      <c r="L103"/>
      <c r="O103"/>
      <c r="P103"/>
      <c r="Q103"/>
      <c r="R103"/>
      <c r="S103"/>
      <c r="T103"/>
      <c r="U103"/>
      <c r="V103"/>
    </row>
    <row r="104" spans="2:22" x14ac:dyDescent="0.25">
      <c r="B104"/>
      <c r="C104"/>
      <c r="H104"/>
      <c r="I104"/>
      <c r="J104"/>
      <c r="K104"/>
      <c r="L104"/>
    </row>
  </sheetData>
  <mergeCells count="5">
    <mergeCell ref="B31:E31"/>
    <mergeCell ref="Z11:AJ11"/>
    <mergeCell ref="Z12:AC12"/>
    <mergeCell ref="AE12:AI12"/>
    <mergeCell ref="AJ12:AJ14"/>
  </mergeCells>
  <conditionalFormatting sqref="Z16:AD26">
    <cfRule type="containsText" dxfId="48" priority="7" operator="containsText" text="YES">
      <formula>NOT(ISERROR(SEARCH("YES",Z16)))</formula>
    </cfRule>
  </conditionalFormatting>
  <conditionalFormatting sqref="AJ16:AJ26">
    <cfRule type="cellIs" dxfId="47" priority="8" operator="equal">
      <formula>"YES"</formula>
    </cfRule>
  </conditionalFormatting>
  <pageMargins left="0.7" right="0.7" top="0.75" bottom="0.75" header="0.3" footer="0.3"/>
  <pageSetup paperSize="9" orientation="portrait" r:id="rId1"/>
  <ignoredErrors>
    <ignoredError sqref="C47:C68" numberStoredAsText="1"/>
  </ignoredErrors>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7" tint="-0.249977111117893"/>
    <pageSetUpPr autoPageBreaks="0"/>
  </sheetPr>
  <dimension ref="A1:CL152"/>
  <sheetViews>
    <sheetView showGridLines="0" topLeftCell="A22" zoomScaleNormal="100" workbookViewId="0">
      <selection activeCell="BV46" sqref="BV46:CC46"/>
    </sheetView>
  </sheetViews>
  <sheetFormatPr defaultColWidth="9.140625" defaultRowHeight="15" x14ac:dyDescent="0.25"/>
  <cols>
    <col min="1" max="1" width="36.28515625" customWidth="1"/>
    <col min="2" max="2" width="44.5703125" style="9" customWidth="1"/>
    <col min="3" max="3" width="24.140625" style="9" customWidth="1"/>
    <col min="4" max="4" width="33.42578125" style="9" customWidth="1"/>
    <col min="5" max="7" width="17.28515625" style="9" customWidth="1"/>
    <col min="8" max="9" width="13.28515625" style="9" customWidth="1"/>
    <col min="10" max="12" width="13.7109375" customWidth="1"/>
    <col min="13" max="16384" width="9.140625" style="9"/>
  </cols>
  <sheetData>
    <row r="1" spans="1:51" customFormat="1" ht="51" customHeight="1" x14ac:dyDescent="0.25">
      <c r="B1" s="22" t="s">
        <v>562</v>
      </c>
      <c r="C1" s="21"/>
      <c r="D1" s="21"/>
      <c r="E1" s="21"/>
      <c r="F1" s="21"/>
      <c r="G1" s="21"/>
      <c r="H1" s="21"/>
      <c r="I1" s="21"/>
      <c r="J1" s="21"/>
      <c r="K1" s="21"/>
    </row>
    <row r="2" spans="1:51" customFormat="1" ht="24.75" customHeight="1" x14ac:dyDescent="0.25"/>
    <row r="3" spans="1:51" ht="20.25" x14ac:dyDescent="0.3">
      <c r="B3" s="772" t="s">
        <v>563</v>
      </c>
      <c r="C3" s="771" t="s">
        <v>564</v>
      </c>
      <c r="D3" s="770" t="s">
        <v>565</v>
      </c>
      <c r="E3" s="769"/>
      <c r="F3" s="769"/>
      <c r="G3" s="769"/>
      <c r="H3" s="769"/>
      <c r="I3" s="769"/>
      <c r="J3" s="769"/>
      <c r="K3" s="769"/>
      <c r="M3"/>
      <c r="N3"/>
      <c r="O3"/>
      <c r="P3"/>
      <c r="Q3"/>
      <c r="R3"/>
      <c r="S3"/>
      <c r="T3"/>
      <c r="U3"/>
      <c r="V3"/>
      <c r="W3"/>
      <c r="X3"/>
      <c r="Y3"/>
      <c r="Z3"/>
      <c r="AA3"/>
      <c r="AB3"/>
      <c r="AC3"/>
      <c r="AD3"/>
      <c r="AE3"/>
      <c r="AF3"/>
      <c r="AG3"/>
      <c r="AH3"/>
      <c r="AI3"/>
      <c r="AJ3"/>
      <c r="AK3"/>
      <c r="AL3"/>
      <c r="AM3"/>
      <c r="AN3"/>
      <c r="AO3"/>
      <c r="AP3"/>
      <c r="AQ3"/>
      <c r="AR3"/>
      <c r="AS3"/>
      <c r="AT3"/>
      <c r="AU3"/>
      <c r="AV3"/>
      <c r="AW3"/>
      <c r="AX3"/>
      <c r="AY3"/>
    </row>
    <row r="4" spans="1:51" ht="15.75" thickBot="1" x14ac:dyDescent="0.3">
      <c r="B4" s="768"/>
      <c r="M4"/>
      <c r="N4"/>
      <c r="O4"/>
      <c r="P4"/>
      <c r="Q4"/>
      <c r="R4"/>
      <c r="S4"/>
      <c r="T4"/>
      <c r="U4"/>
      <c r="V4"/>
      <c r="W4"/>
      <c r="X4"/>
      <c r="Y4"/>
      <c r="Z4"/>
      <c r="AA4"/>
      <c r="AB4"/>
      <c r="AC4"/>
      <c r="AD4"/>
      <c r="AE4"/>
      <c r="AF4"/>
      <c r="AG4"/>
      <c r="AH4"/>
      <c r="AI4"/>
      <c r="AJ4"/>
      <c r="AK4"/>
      <c r="AL4"/>
      <c r="AM4"/>
      <c r="AN4"/>
      <c r="AO4"/>
      <c r="AP4"/>
      <c r="AQ4"/>
      <c r="AR4"/>
      <c r="AS4"/>
      <c r="AT4"/>
      <c r="AU4"/>
      <c r="AV4"/>
      <c r="AW4"/>
      <c r="AX4"/>
      <c r="AY4"/>
    </row>
    <row r="5" spans="1:51" customFormat="1" x14ac:dyDescent="0.25">
      <c r="B5" s="767" t="s">
        <v>566</v>
      </c>
      <c r="C5" s="765"/>
      <c r="D5" s="766"/>
      <c r="E5" s="765"/>
      <c r="F5" s="765"/>
      <c r="G5" s="765"/>
      <c r="H5" s="765"/>
      <c r="I5" s="388"/>
    </row>
    <row r="6" spans="1:51" customFormat="1" x14ac:dyDescent="0.25">
      <c r="B6" s="764" t="s">
        <v>567</v>
      </c>
      <c r="D6" s="9"/>
      <c r="E6" s="9"/>
      <c r="F6" s="9"/>
      <c r="G6" s="9"/>
      <c r="H6" s="9"/>
      <c r="I6" s="763"/>
    </row>
    <row r="7" spans="1:51" customFormat="1" ht="15.75" thickBot="1" x14ac:dyDescent="0.3">
      <c r="B7" s="762" t="s">
        <v>568</v>
      </c>
      <c r="C7" s="6"/>
      <c r="D7" s="761"/>
      <c r="E7" s="761"/>
      <c r="F7" s="761"/>
      <c r="G7" s="761"/>
      <c r="H7" s="761"/>
      <c r="I7" s="760"/>
    </row>
    <row r="8" spans="1:51" customFormat="1" ht="15.75" thickBot="1" x14ac:dyDescent="0.3">
      <c r="B8" s="759"/>
      <c r="C8" s="759"/>
      <c r="D8" s="759"/>
      <c r="E8" s="759"/>
      <c r="F8" s="759"/>
      <c r="G8" s="759"/>
      <c r="H8" s="759"/>
      <c r="I8" s="759"/>
    </row>
    <row r="9" spans="1:51" customFormat="1" x14ac:dyDescent="0.25">
      <c r="A9" s="758"/>
      <c r="B9" s="746" t="s">
        <v>569</v>
      </c>
      <c r="C9" s="757" t="str">
        <f>INDEX(dms_TradingNameFull_List,MATCH(dms_TradingName,dms_TradingName_List))</f>
        <v>Australian Gas Networks Limited (reporting data for SA)</v>
      </c>
      <c r="D9" s="756"/>
      <c r="E9" s="744" t="s">
        <v>570</v>
      </c>
      <c r="F9" s="748"/>
      <c r="G9" s="748"/>
      <c r="H9" s="748"/>
      <c r="I9" s="747"/>
    </row>
    <row r="10" spans="1:51" customFormat="1" x14ac:dyDescent="0.25">
      <c r="B10" s="746" t="s">
        <v>571</v>
      </c>
      <c r="C10" s="757" t="str">
        <f>dms_TradingName</f>
        <v>AGN (SA)</v>
      </c>
      <c r="D10" s="756"/>
      <c r="E10" s="744"/>
      <c r="F10" s="748"/>
      <c r="G10" s="748"/>
      <c r="H10" s="748"/>
      <c r="I10" s="747"/>
    </row>
    <row r="11" spans="1:51" customFormat="1" x14ac:dyDescent="0.25">
      <c r="A11" s="733" t="s">
        <v>572</v>
      </c>
      <c r="B11" s="755" t="s">
        <v>573</v>
      </c>
      <c r="C11" s="754" t="s">
        <v>410</v>
      </c>
      <c r="D11" s="753" t="s">
        <v>574</v>
      </c>
      <c r="E11" s="752"/>
      <c r="F11" s="751"/>
      <c r="G11" s="751"/>
      <c r="H11" s="751"/>
      <c r="I11" s="750"/>
    </row>
    <row r="12" spans="1:51" customFormat="1" x14ac:dyDescent="0.25">
      <c r="A12" s="1021" t="s">
        <v>575</v>
      </c>
      <c r="B12" s="746" t="s">
        <v>576</v>
      </c>
      <c r="C12" s="745" t="s">
        <v>28</v>
      </c>
      <c r="D12" s="744" t="s">
        <v>577</v>
      </c>
      <c r="E12" s="749"/>
      <c r="F12" s="748"/>
      <c r="G12" s="748"/>
      <c r="H12" s="748"/>
      <c r="I12" s="747"/>
    </row>
    <row r="13" spans="1:51" customFormat="1" x14ac:dyDescent="0.25">
      <c r="A13" s="1022"/>
      <c r="B13" s="746" t="s">
        <v>578</v>
      </c>
      <c r="C13" s="745" t="s">
        <v>10</v>
      </c>
      <c r="D13" s="744" t="s">
        <v>579</v>
      </c>
      <c r="E13" s="1024"/>
      <c r="F13" s="1024"/>
      <c r="G13" s="1024"/>
      <c r="H13" s="1024"/>
      <c r="I13" s="1025"/>
    </row>
    <row r="14" spans="1:51" customFormat="1" x14ac:dyDescent="0.25">
      <c r="A14" s="1022"/>
      <c r="B14" s="746" t="s">
        <v>580</v>
      </c>
      <c r="C14" s="745" t="s">
        <v>7</v>
      </c>
      <c r="D14" s="744" t="s">
        <v>581</v>
      </c>
      <c r="E14" s="741"/>
      <c r="F14" s="741"/>
      <c r="G14" s="741"/>
      <c r="H14" s="741"/>
      <c r="I14" s="740"/>
    </row>
    <row r="15" spans="1:51" customFormat="1" ht="39" customHeight="1" x14ac:dyDescent="0.25">
      <c r="A15" s="1022"/>
      <c r="B15" s="743" t="s">
        <v>582</v>
      </c>
      <c r="C15" s="1026">
        <f>dms_Amendment_Text</f>
        <v>0</v>
      </c>
      <c r="D15" s="1026"/>
      <c r="E15" s="1026"/>
      <c r="F15" s="742" t="s">
        <v>583</v>
      </c>
      <c r="G15" s="741"/>
      <c r="H15" s="741"/>
      <c r="I15" s="740"/>
    </row>
    <row r="16" spans="1:51" customFormat="1" ht="15" customHeight="1" thickBot="1" x14ac:dyDescent="0.3">
      <c r="A16" s="1023"/>
      <c r="B16" s="739" t="s">
        <v>584</v>
      </c>
      <c r="C16" s="738">
        <f>dms_Typed_Submission_Date</f>
        <v>45839</v>
      </c>
      <c r="D16" s="737" t="s">
        <v>585</v>
      </c>
      <c r="E16" s="736"/>
      <c r="F16" s="735"/>
      <c r="G16" s="735"/>
      <c r="H16" s="735"/>
      <c r="I16" s="734"/>
    </row>
    <row r="17" spans="1:11" customFormat="1" ht="15" customHeight="1" thickBot="1" x14ac:dyDescent="0.3">
      <c r="B17" s="9"/>
      <c r="C17" s="9"/>
      <c r="D17" s="9"/>
      <c r="E17" s="9"/>
      <c r="F17" s="9"/>
      <c r="G17" s="9"/>
      <c r="H17" s="9"/>
      <c r="I17" s="9"/>
    </row>
    <row r="18" spans="1:11" customFormat="1" ht="15.75" thickBot="1" x14ac:dyDescent="0.3">
      <c r="A18" s="733" t="s">
        <v>586</v>
      </c>
      <c r="B18" s="732" t="s">
        <v>587</v>
      </c>
      <c r="C18" s="731" t="s">
        <v>588</v>
      </c>
      <c r="D18" s="730"/>
      <c r="E18" s="730"/>
      <c r="F18" s="730"/>
      <c r="G18" s="730"/>
      <c r="H18" s="730"/>
      <c r="I18" s="729"/>
      <c r="J18" s="6"/>
      <c r="K18" s="6"/>
    </row>
    <row r="19" spans="1:11" customFormat="1" x14ac:dyDescent="0.25">
      <c r="A19" s="1027" t="s">
        <v>589</v>
      </c>
      <c r="B19" s="728" t="s">
        <v>590</v>
      </c>
      <c r="C19" s="477" t="str">
        <f>dms_Selected_Quality</f>
        <v>Consolidated</v>
      </c>
      <c r="D19" s="476" t="s">
        <v>591</v>
      </c>
      <c r="E19" s="727" t="s">
        <v>592</v>
      </c>
      <c r="F19" s="726"/>
      <c r="G19" s="726"/>
      <c r="H19" s="726"/>
      <c r="I19" s="726"/>
      <c r="J19" s="725"/>
      <c r="K19" s="724"/>
    </row>
    <row r="20" spans="1:11" s="327" customFormat="1" x14ac:dyDescent="0.25">
      <c r="A20" s="1028"/>
      <c r="B20" s="720" t="s">
        <v>593</v>
      </c>
      <c r="C20" s="723" t="str">
        <f>INDEX(dms_Sector_List,MATCH(dms_TradingName,dms_TradingName_List))</f>
        <v>Gas</v>
      </c>
      <c r="D20" s="447" t="s">
        <v>594</v>
      </c>
      <c r="E20" s="722" t="s">
        <v>595</v>
      </c>
      <c r="F20" s="539"/>
      <c r="G20" s="539"/>
      <c r="H20" s="539"/>
      <c r="I20" s="539"/>
      <c r="J20" s="719"/>
      <c r="K20" s="718"/>
    </row>
    <row r="21" spans="1:11" customFormat="1" x14ac:dyDescent="0.25">
      <c r="A21" s="1028"/>
      <c r="B21" s="720" t="s">
        <v>596</v>
      </c>
      <c r="C21" s="472" t="str">
        <f>INDEX(dms_Segment_List,MATCH(dms_TradingName,dms_TradingName_List))</f>
        <v>Distribution</v>
      </c>
      <c r="D21" s="447" t="s">
        <v>597</v>
      </c>
      <c r="E21" s="722" t="s">
        <v>598</v>
      </c>
      <c r="F21" s="539"/>
      <c r="G21" s="539"/>
      <c r="H21" s="539"/>
      <c r="I21" s="539"/>
      <c r="J21" s="719"/>
      <c r="K21" s="718"/>
    </row>
    <row r="22" spans="1:11" customFormat="1" x14ac:dyDescent="0.25">
      <c r="A22" s="1028"/>
      <c r="B22" s="720" t="s">
        <v>599</v>
      </c>
      <c r="C22" s="723" t="str">
        <f ca="1">dms_RYE_result</f>
        <v>2031</v>
      </c>
      <c r="D22" s="447" t="s">
        <v>600</v>
      </c>
      <c r="E22" s="722" t="s">
        <v>601</v>
      </c>
      <c r="F22" s="539"/>
      <c r="G22" s="539"/>
      <c r="H22" s="539"/>
      <c r="I22" s="539"/>
      <c r="J22" s="719"/>
      <c r="K22" s="718"/>
    </row>
    <row r="23" spans="1:11" customFormat="1" x14ac:dyDescent="0.25">
      <c r="A23" s="1028"/>
      <c r="B23" s="720" t="s">
        <v>602</v>
      </c>
      <c r="C23" s="472" t="str">
        <f>INDEX(dms_RPT_List,MATCH(dms_TradingName,dms_TradingName_List))</f>
        <v>Financial</v>
      </c>
      <c r="D23" s="447" t="s">
        <v>603</v>
      </c>
      <c r="E23" s="722" t="s">
        <v>604</v>
      </c>
      <c r="F23" s="539"/>
      <c r="G23" s="539"/>
      <c r="H23" s="539"/>
      <c r="I23" s="539"/>
      <c r="J23" s="719"/>
      <c r="K23" s="718"/>
    </row>
    <row r="24" spans="1:11" customFormat="1" x14ac:dyDescent="0.25">
      <c r="A24" s="1028"/>
      <c r="B24" s="720" t="s">
        <v>605</v>
      </c>
      <c r="C24" s="565" t="s">
        <v>154</v>
      </c>
      <c r="D24" s="447" t="s">
        <v>606</v>
      </c>
      <c r="E24" s="721" t="s">
        <v>607</v>
      </c>
      <c r="F24" s="445"/>
      <c r="G24" s="445"/>
      <c r="H24" s="445"/>
      <c r="I24" s="445"/>
      <c r="J24" s="445"/>
      <c r="K24" s="444"/>
    </row>
    <row r="25" spans="1:11" customFormat="1" x14ac:dyDescent="0.25">
      <c r="A25" s="1028"/>
      <c r="B25" s="720" t="s">
        <v>608</v>
      </c>
      <c r="C25" s="472" t="s">
        <v>7</v>
      </c>
      <c r="D25" s="471" t="s">
        <v>609</v>
      </c>
      <c r="E25" s="514" t="s">
        <v>610</v>
      </c>
      <c r="F25" s="539"/>
      <c r="G25" s="539"/>
      <c r="H25" s="539"/>
      <c r="I25" s="539"/>
      <c r="J25" s="719"/>
      <c r="K25" s="718"/>
    </row>
    <row r="26" spans="1:11" customFormat="1" ht="15.75" customHeight="1" thickBot="1" x14ac:dyDescent="0.3">
      <c r="A26" s="1029"/>
      <c r="B26" s="717" t="s">
        <v>611</v>
      </c>
      <c r="C26" s="716" t="str">
        <f>INDEX(dms_JurisdictionList,MATCH(dms_TradingName,dms_TradingName_List))</f>
        <v>SA</v>
      </c>
      <c r="D26" s="694" t="s">
        <v>612</v>
      </c>
      <c r="E26" s="715" t="s">
        <v>613</v>
      </c>
      <c r="F26" s="714"/>
      <c r="G26" s="714"/>
      <c r="H26" s="714"/>
      <c r="I26" s="714"/>
      <c r="J26" s="713"/>
      <c r="K26" s="712"/>
    </row>
    <row r="27" spans="1:11" customFormat="1" ht="22.5" customHeight="1" thickBot="1" x14ac:dyDescent="0.3">
      <c r="A27" s="1030" t="s">
        <v>614</v>
      </c>
      <c r="B27" s="711" t="s">
        <v>615</v>
      </c>
      <c r="C27" s="710"/>
      <c r="D27" s="710"/>
      <c r="E27" s="687"/>
      <c r="F27" s="686"/>
      <c r="G27" s="686"/>
      <c r="H27" s="686"/>
      <c r="I27" s="686"/>
      <c r="J27" s="686"/>
      <c r="K27" s="685"/>
    </row>
    <row r="28" spans="1:11" s="23" customFormat="1" ht="22.5" customHeight="1" x14ac:dyDescent="0.25">
      <c r="A28" s="1031"/>
      <c r="B28" s="709" t="s">
        <v>616</v>
      </c>
      <c r="C28" s="708" t="str">
        <f>IFERROR(CRY,"NO")</f>
        <v>2025-26</v>
      </c>
      <c r="D28" s="707"/>
      <c r="E28" s="706"/>
      <c r="F28" s="706"/>
      <c r="G28" s="706"/>
      <c r="H28" s="706"/>
      <c r="I28" s="706"/>
      <c r="J28" s="706"/>
      <c r="K28" s="705"/>
    </row>
    <row r="29" spans="1:11" customFormat="1" x14ac:dyDescent="0.25">
      <c r="A29" s="1031"/>
      <c r="B29" s="704" t="s">
        <v>617</v>
      </c>
      <c r="C29" s="565" t="str">
        <f>IFERROR(IF(dms_RPT="calendar",CRY-1,LEFT(CRY,4)),"CRY not present")</f>
        <v>2025</v>
      </c>
      <c r="D29" s="703" t="s">
        <v>618</v>
      </c>
      <c r="E29" s="564" t="s">
        <v>619</v>
      </c>
      <c r="F29" s="703"/>
      <c r="G29" s="703"/>
      <c r="H29" s="703"/>
      <c r="I29" s="703"/>
      <c r="J29" s="702"/>
      <c r="K29" s="701"/>
    </row>
    <row r="30" spans="1:11" customFormat="1" x14ac:dyDescent="0.25">
      <c r="A30" s="1031"/>
      <c r="B30" s="700" t="s">
        <v>620</v>
      </c>
      <c r="C30" s="472" t="str">
        <f>INDEX(dms_RPTMonth_List,MATCH(dms_TradingName,dms_TradingName_List))</f>
        <v>June</v>
      </c>
      <c r="D30" s="471" t="s">
        <v>621</v>
      </c>
      <c r="E30" s="447" t="s">
        <v>622</v>
      </c>
      <c r="F30" s="471"/>
      <c r="G30" s="471"/>
      <c r="H30" s="471"/>
      <c r="I30" s="471"/>
      <c r="J30" s="698"/>
      <c r="K30" s="697"/>
    </row>
    <row r="31" spans="1:11" customFormat="1" ht="14.25" customHeight="1" x14ac:dyDescent="0.25">
      <c r="A31" s="1031"/>
      <c r="B31" s="700" t="s">
        <v>623</v>
      </c>
      <c r="C31" s="699" t="str">
        <f ca="1">IF(dms_SingleYearModel="yes",CONCATENATE(dms_RPTMonth)&amp;" "&amp;VALUE((LEFT(dms_CRY_start_year,4))),CONCATENATE(dms_RPTMonth)&amp;" "&amp;dms_DollarReal_year)</f>
        <v>June 2026</v>
      </c>
      <c r="D31" s="447" t="s">
        <v>624</v>
      </c>
      <c r="E31" s="447" t="s">
        <v>625</v>
      </c>
      <c r="F31" s="471"/>
      <c r="G31" s="471"/>
      <c r="H31" s="471"/>
      <c r="I31" s="471"/>
      <c r="J31" s="698"/>
      <c r="K31" s="697"/>
    </row>
    <row r="32" spans="1:11" customFormat="1" ht="24" customHeight="1" thickBot="1" x14ac:dyDescent="0.3">
      <c r="A32" s="1032"/>
      <c r="B32" s="696" t="s">
        <v>626</v>
      </c>
      <c r="C32" s="695" t="str">
        <f ca="1">CONCATENATE(dms_RPTMonth)&amp;" "&amp;dms_Previous_DollarReal_year</f>
        <v>June 2021</v>
      </c>
      <c r="D32" s="694" t="s">
        <v>627</v>
      </c>
      <c r="E32" s="694" t="s">
        <v>628</v>
      </c>
      <c r="F32" s="693"/>
      <c r="G32" s="693"/>
      <c r="H32" s="693"/>
      <c r="I32" s="693"/>
      <c r="J32" s="692"/>
      <c r="K32" s="691"/>
    </row>
    <row r="33" spans="1:90" customFormat="1" ht="24" customHeight="1" thickBot="1" x14ac:dyDescent="0.3">
      <c r="B33" s="690" t="s">
        <v>629</v>
      </c>
      <c r="C33" s="632"/>
      <c r="D33" s="632"/>
      <c r="E33" s="632"/>
      <c r="F33" s="631"/>
      <c r="G33" s="631"/>
      <c r="H33" s="631"/>
      <c r="I33" s="631"/>
      <c r="J33" s="631"/>
      <c r="K33" s="630"/>
      <c r="AL33" s="1004"/>
      <c r="AM33" s="1004"/>
      <c r="AN33" s="1004"/>
      <c r="AO33" s="1004"/>
      <c r="AP33" s="1004"/>
      <c r="AQ33" s="1004"/>
      <c r="AR33" s="1004"/>
      <c r="AS33" s="1004"/>
      <c r="AT33" s="1004"/>
      <c r="AU33" s="1004"/>
      <c r="AV33" s="1004"/>
      <c r="AW33" s="1004"/>
      <c r="AX33" s="1004"/>
      <c r="AY33" s="1004"/>
      <c r="AZ33" s="1004"/>
      <c r="BA33" s="1004"/>
      <c r="BB33" s="1004"/>
      <c r="BC33" s="1004"/>
      <c r="BD33" s="1004"/>
      <c r="BE33" s="1004"/>
      <c r="BF33" s="1004"/>
      <c r="BG33" s="1004"/>
      <c r="BQ33" s="1004"/>
      <c r="BR33" s="1004"/>
      <c r="BS33" s="1004"/>
      <c r="BT33" s="1004"/>
      <c r="BU33" s="1004"/>
      <c r="BV33" s="1004"/>
      <c r="BW33" s="1004"/>
      <c r="BX33" s="1004"/>
      <c r="BY33" s="1004"/>
      <c r="BZ33" s="1004"/>
      <c r="CA33" s="1004"/>
      <c r="CB33" s="1004"/>
      <c r="CC33" s="1004"/>
      <c r="CD33" s="1004"/>
      <c r="CE33" s="1004"/>
      <c r="CF33" s="1004"/>
      <c r="CG33" s="1004"/>
      <c r="CH33" s="1004"/>
      <c r="CI33" s="1004"/>
      <c r="CJ33" s="1004"/>
      <c r="CK33" s="1004"/>
      <c r="CL33" s="1004"/>
    </row>
    <row r="34" spans="1:90" s="23" customFormat="1" ht="30.75" customHeight="1" thickBot="1" x14ac:dyDescent="0.3">
      <c r="B34" s="689" t="s">
        <v>630</v>
      </c>
      <c r="C34" s="688" t="str">
        <f>INDEX(dms_FormControl_List,MATCH(dms_TradingName,dms_TradingName_List))</f>
        <v>Weighted average price cap</v>
      </c>
      <c r="D34" s="564" t="s">
        <v>631</v>
      </c>
      <c r="E34" s="563" t="s">
        <v>632</v>
      </c>
      <c r="F34" s="562"/>
      <c r="G34" s="562"/>
      <c r="H34" s="562"/>
      <c r="I34" s="562"/>
      <c r="J34" s="561"/>
      <c r="K34" s="560"/>
      <c r="AL34" s="1004"/>
      <c r="AM34" s="1004"/>
      <c r="AN34" s="1004"/>
      <c r="AO34" s="1004"/>
      <c r="AP34" s="1004"/>
      <c r="AQ34" s="1004"/>
      <c r="AR34" s="1004"/>
      <c r="AS34" s="1004"/>
      <c r="AT34" s="1004"/>
      <c r="AU34" s="1004"/>
      <c r="AV34" s="1004"/>
      <c r="AW34" s="1004"/>
      <c r="AX34" s="1004"/>
      <c r="AY34" s="1004"/>
      <c r="AZ34" s="1004"/>
      <c r="BA34" s="1004"/>
      <c r="BB34" s="1004"/>
      <c r="BC34" s="1004"/>
      <c r="BD34" s="1004"/>
      <c r="BE34" s="1004"/>
      <c r="BF34" s="1004"/>
      <c r="BG34" s="1004"/>
      <c r="BQ34" s="1004"/>
      <c r="BR34" s="1004"/>
      <c r="BS34" s="1004"/>
      <c r="BT34" s="1004"/>
      <c r="BU34" s="1004"/>
      <c r="BV34" s="1004"/>
      <c r="BW34" s="1004"/>
      <c r="BX34" s="1004"/>
      <c r="BY34" s="1004"/>
      <c r="BZ34" s="1004"/>
      <c r="CA34" s="1004"/>
      <c r="CB34" s="1004"/>
      <c r="CC34" s="1004"/>
      <c r="CD34" s="1004"/>
      <c r="CE34" s="1004"/>
      <c r="CF34" s="1004"/>
      <c r="CG34" s="1004"/>
      <c r="CH34" s="1004"/>
      <c r="CI34" s="1004"/>
      <c r="CJ34" s="1004"/>
      <c r="CK34" s="1004"/>
      <c r="CL34" s="1004"/>
    </row>
    <row r="35" spans="1:90" customFormat="1" ht="24" customHeight="1" thickBot="1" x14ac:dyDescent="0.3">
      <c r="A35" s="1017" t="s">
        <v>633</v>
      </c>
      <c r="B35" s="492" t="s">
        <v>634</v>
      </c>
      <c r="C35" s="491"/>
      <c r="D35" s="687"/>
      <c r="E35" s="687"/>
      <c r="F35" s="686"/>
      <c r="G35" s="686"/>
      <c r="H35" s="686"/>
      <c r="I35" s="686"/>
      <c r="J35" s="686"/>
      <c r="K35" s="685"/>
      <c r="AL35" s="1004"/>
      <c r="AM35" s="1004"/>
      <c r="AN35" s="1004"/>
      <c r="AO35" s="1004"/>
      <c r="AP35" s="1004"/>
      <c r="AQ35" s="1004"/>
      <c r="AR35" s="1004"/>
      <c r="AS35" s="1004"/>
      <c r="AT35" s="1004"/>
      <c r="AU35" s="1004"/>
      <c r="AV35" s="1004"/>
      <c r="AW35" s="1004"/>
      <c r="AX35" s="1004"/>
      <c r="AY35" s="1004"/>
      <c r="AZ35" s="1004"/>
      <c r="BA35" s="1004"/>
      <c r="BB35" s="1004"/>
      <c r="BC35" s="1004"/>
      <c r="BD35" s="1004"/>
      <c r="BE35" s="1004"/>
      <c r="BF35" s="1004"/>
      <c r="BG35" s="1004"/>
      <c r="BQ35" s="1004"/>
      <c r="BR35" s="1004"/>
      <c r="BS35" s="1004"/>
      <c r="BT35" s="1004"/>
      <c r="BU35" s="1004"/>
      <c r="BV35" s="1004"/>
      <c r="BW35" s="1004"/>
      <c r="BX35" s="1004"/>
      <c r="BY35" s="1004"/>
      <c r="BZ35" s="1004"/>
      <c r="CA35" s="1004"/>
      <c r="CB35" s="1004"/>
      <c r="CC35" s="1004"/>
      <c r="CD35" s="1004"/>
      <c r="CE35" s="1004"/>
      <c r="CF35" s="1004"/>
      <c r="CG35" s="1004"/>
      <c r="CH35" s="1004"/>
      <c r="CI35" s="1004"/>
      <c r="CJ35" s="1004"/>
      <c r="CK35" s="1004"/>
      <c r="CL35" s="1004"/>
    </row>
    <row r="36" spans="1:90" customFormat="1" x14ac:dyDescent="0.25">
      <c r="A36" s="1018"/>
      <c r="B36" s="684" t="s">
        <v>635</v>
      </c>
      <c r="C36" s="683" t="str">
        <f>FRCP_y1</f>
        <v>2026-27</v>
      </c>
      <c r="D36" s="682" t="s">
        <v>636</v>
      </c>
      <c r="E36" s="681" t="s">
        <v>637</v>
      </c>
      <c r="F36" s="680"/>
      <c r="G36" s="680"/>
      <c r="H36" s="680"/>
      <c r="I36" s="680"/>
      <c r="J36" s="680"/>
      <c r="K36" s="679"/>
    </row>
    <row r="37" spans="1:90" customFormat="1" x14ac:dyDescent="0.25">
      <c r="A37" s="1018"/>
      <c r="B37" s="664" t="s">
        <v>638</v>
      </c>
      <c r="C37" s="678" t="str">
        <f>IFERROR(CRY,CRCP_y4)</f>
        <v>2025-26</v>
      </c>
      <c r="D37" s="662" t="s">
        <v>639</v>
      </c>
      <c r="E37" s="677"/>
      <c r="F37" s="676"/>
      <c r="G37" s="676"/>
      <c r="H37" s="676"/>
      <c r="I37" s="676"/>
      <c r="J37" s="676"/>
      <c r="K37" s="675"/>
    </row>
    <row r="38" spans="1:90" customFormat="1" x14ac:dyDescent="0.25">
      <c r="A38" s="1018"/>
      <c r="B38" s="664" t="s">
        <v>640</v>
      </c>
      <c r="C38" s="678">
        <f ca="1">IFERROR(MATCH(dms_CRY_start_year,INDIRECT(dms_RPT),0),0)</f>
        <v>39</v>
      </c>
      <c r="D38" s="662" t="s">
        <v>641</v>
      </c>
      <c r="E38" s="677"/>
      <c r="F38" s="676"/>
      <c r="G38" s="676"/>
      <c r="H38" s="676"/>
      <c r="I38" s="676"/>
      <c r="J38" s="676"/>
      <c r="K38" s="675"/>
    </row>
    <row r="39" spans="1:90" customFormat="1" x14ac:dyDescent="0.25">
      <c r="A39" s="1018"/>
      <c r="B39" s="668" t="s">
        <v>642</v>
      </c>
      <c r="C39" s="674">
        <f ca="1">MATCH(dms_start_year,INDIRECT(dms_RPT),0)</f>
        <v>40</v>
      </c>
      <c r="D39" s="666" t="s">
        <v>643</v>
      </c>
      <c r="E39" s="655" t="s">
        <v>644</v>
      </c>
      <c r="F39" s="670"/>
      <c r="G39" s="670"/>
      <c r="H39" s="670"/>
      <c r="I39" s="670"/>
      <c r="J39" s="670"/>
      <c r="K39" s="669"/>
    </row>
    <row r="40" spans="1:90" customFormat="1" x14ac:dyDescent="0.25">
      <c r="A40" s="1018"/>
      <c r="B40" s="644" t="s">
        <v>645</v>
      </c>
      <c r="C40" s="643">
        <f ca="1">dms_FRCP_start_row-dms_CRCPlength_Num</f>
        <v>35</v>
      </c>
      <c r="D40" s="642" t="s">
        <v>646</v>
      </c>
      <c r="E40" s="641" t="s">
        <v>647</v>
      </c>
      <c r="F40" s="640"/>
      <c r="G40" s="640"/>
      <c r="H40" s="640"/>
      <c r="I40" s="640"/>
      <c r="J40" s="640"/>
      <c r="K40" s="639"/>
    </row>
    <row r="41" spans="1:90" customFormat="1" x14ac:dyDescent="0.25">
      <c r="A41" s="1018"/>
      <c r="B41" s="644" t="s">
        <v>648</v>
      </c>
      <c r="C41" s="643">
        <f ca="1">dms_FRCP_start_row-dms_CRCPlength_Num-dms_PRCPlength_Num</f>
        <v>30</v>
      </c>
      <c r="D41" s="642" t="s">
        <v>649</v>
      </c>
      <c r="E41" s="641" t="s">
        <v>650</v>
      </c>
      <c r="F41" s="640"/>
      <c r="G41" s="640"/>
      <c r="H41" s="640"/>
      <c r="I41" s="640"/>
      <c r="J41" s="640"/>
      <c r="K41" s="639"/>
    </row>
    <row r="42" spans="1:90" customFormat="1" x14ac:dyDescent="0.25">
      <c r="A42" s="1018"/>
      <c r="B42" s="673" t="s">
        <v>651</v>
      </c>
      <c r="C42" s="672">
        <f ca="1">dms_FRCP_start_row+(dms_FRCPlength_Num-1)</f>
        <v>44</v>
      </c>
      <c r="D42" s="671" t="s">
        <v>652</v>
      </c>
      <c r="E42" s="651" t="s">
        <v>653</v>
      </c>
      <c r="F42" s="650"/>
      <c r="G42" s="650"/>
      <c r="H42" s="650"/>
      <c r="I42" s="650"/>
      <c r="J42" s="650"/>
      <c r="K42" s="649"/>
    </row>
    <row r="43" spans="1:90" customFormat="1" x14ac:dyDescent="0.25">
      <c r="A43" s="1018"/>
      <c r="B43" s="668" t="s">
        <v>654</v>
      </c>
      <c r="C43" s="667" t="str">
        <f ca="1">INDEX(INDIRECT(dms_RPT),dms_FRCP_start_row)</f>
        <v>2026-27</v>
      </c>
      <c r="D43" s="666" t="s">
        <v>655</v>
      </c>
      <c r="E43" s="655" t="s">
        <v>656</v>
      </c>
      <c r="F43" s="670"/>
      <c r="G43" s="670"/>
      <c r="H43" s="670"/>
      <c r="I43" s="670"/>
      <c r="J43" s="670"/>
      <c r="K43" s="669"/>
    </row>
    <row r="44" spans="1:90" customFormat="1" x14ac:dyDescent="0.25">
      <c r="A44" s="1018"/>
      <c r="B44" s="644" t="s">
        <v>657</v>
      </c>
      <c r="C44" s="643" t="str">
        <f ca="1">INDEX(INDIRECT(dms_RPT),dms_CRCP_start_row)</f>
        <v>2021-22</v>
      </c>
      <c r="D44" s="642" t="s">
        <v>658</v>
      </c>
      <c r="E44" s="641" t="s">
        <v>659</v>
      </c>
      <c r="F44" s="640"/>
      <c r="G44" s="640"/>
      <c r="H44" s="640"/>
      <c r="I44" s="640"/>
      <c r="J44" s="640"/>
      <c r="K44" s="639"/>
    </row>
    <row r="45" spans="1:90" customFormat="1" x14ac:dyDescent="0.25">
      <c r="A45" s="1018"/>
      <c r="B45" s="654" t="s">
        <v>660</v>
      </c>
      <c r="C45" s="653" t="str">
        <f ca="1">INDEX(INDIRECT(dms_RPT),dms_PRCP_start_row)</f>
        <v>2016-17</v>
      </c>
      <c r="D45" s="652" t="s">
        <v>661</v>
      </c>
      <c r="E45" s="651" t="s">
        <v>662</v>
      </c>
      <c r="F45" s="650"/>
      <c r="G45" s="650"/>
      <c r="H45" s="650"/>
      <c r="I45" s="650"/>
      <c r="J45" s="650"/>
      <c r="K45" s="649"/>
    </row>
    <row r="46" spans="1:90" customFormat="1" x14ac:dyDescent="0.25">
      <c r="A46" s="1018"/>
      <c r="B46" s="668" t="s">
        <v>663</v>
      </c>
      <c r="C46" s="667" t="str">
        <f ca="1">INDEX(INDIRECT(dms_RPT),dms_FRCP_start_row+dms_FRCPlength_Num-1)</f>
        <v>2030-31</v>
      </c>
      <c r="D46" s="666" t="s">
        <v>664</v>
      </c>
      <c r="E46" s="641" t="s">
        <v>665</v>
      </c>
      <c r="F46" s="640"/>
      <c r="G46" s="640"/>
      <c r="H46" s="640"/>
      <c r="I46" s="640"/>
      <c r="J46" s="640"/>
      <c r="K46" s="639"/>
    </row>
    <row r="47" spans="1:90" customFormat="1" x14ac:dyDescent="0.25">
      <c r="A47" s="1018"/>
      <c r="B47" s="644" t="s">
        <v>666</v>
      </c>
      <c r="C47" s="643" t="str">
        <f ca="1">INDEX(INDIRECT(dms_RPT),dms_CRCP_start_row+dms_CRCPlength_Num-1)</f>
        <v>2025-26</v>
      </c>
      <c r="D47" s="642" t="s">
        <v>667</v>
      </c>
      <c r="E47" s="641" t="s">
        <v>668</v>
      </c>
      <c r="F47" s="640"/>
      <c r="G47" s="640"/>
      <c r="H47" s="640"/>
      <c r="I47" s="640"/>
      <c r="J47" s="640"/>
      <c r="K47" s="639"/>
    </row>
    <row r="48" spans="1:90" customFormat="1" x14ac:dyDescent="0.25">
      <c r="A48" s="1018"/>
      <c r="B48" s="654" t="s">
        <v>669</v>
      </c>
      <c r="C48" s="653" t="str">
        <f ca="1">INDEX(INDIRECT(dms_RPT),dms_PRCP_start_row+dms_FRCPlength_Num-1)</f>
        <v>2020-21</v>
      </c>
      <c r="D48" s="652" t="s">
        <v>670</v>
      </c>
      <c r="E48" s="651" t="s">
        <v>671</v>
      </c>
      <c r="F48" s="650"/>
      <c r="G48" s="650"/>
      <c r="H48" s="650"/>
      <c r="I48" s="650"/>
      <c r="J48" s="650"/>
      <c r="K48" s="649"/>
    </row>
    <row r="49" spans="1:11" customFormat="1" x14ac:dyDescent="0.25">
      <c r="A49" s="1018"/>
      <c r="B49" s="668" t="s">
        <v>672</v>
      </c>
      <c r="C49" s="667" t="str">
        <f ca="1">INDEX(INDIRECT(dms_RPT),dms_RYE_start_row)</f>
        <v>2030-31</v>
      </c>
      <c r="D49" s="666" t="s">
        <v>673</v>
      </c>
      <c r="E49" s="641" t="s">
        <v>674</v>
      </c>
      <c r="F49" s="640"/>
      <c r="G49" s="640"/>
      <c r="H49" s="640"/>
      <c r="I49" s="640"/>
      <c r="J49" s="640"/>
      <c r="K49" s="639"/>
    </row>
    <row r="50" spans="1:11" customFormat="1" x14ac:dyDescent="0.25">
      <c r="A50" s="1018"/>
      <c r="B50" s="654" t="s">
        <v>675</v>
      </c>
      <c r="C50" s="665" t="str">
        <f>FRY</f>
        <v>2029-30</v>
      </c>
      <c r="D50" s="652" t="s">
        <v>676</v>
      </c>
      <c r="E50" s="651" t="s">
        <v>677</v>
      </c>
      <c r="F50" s="650"/>
      <c r="G50" s="650"/>
      <c r="H50" s="650"/>
      <c r="I50" s="650"/>
      <c r="J50" s="650"/>
      <c r="K50" s="649"/>
    </row>
    <row r="51" spans="1:11" customFormat="1" x14ac:dyDescent="0.25">
      <c r="A51" s="1018"/>
      <c r="B51" s="664" t="s">
        <v>678</v>
      </c>
      <c r="C51" s="663" t="str">
        <f ca="1">LEFT(CRCP_final_year,2)&amp;RIGHT(CRCP_final_year,2)</f>
        <v>2026</v>
      </c>
      <c r="D51" s="662" t="s">
        <v>679</v>
      </c>
      <c r="E51" s="661" t="s">
        <v>680</v>
      </c>
      <c r="F51" s="660"/>
      <c r="G51" s="660"/>
      <c r="H51" s="660"/>
      <c r="I51" s="660"/>
      <c r="J51" s="660"/>
      <c r="K51" s="659"/>
    </row>
    <row r="52" spans="1:11" customFormat="1" x14ac:dyDescent="0.25">
      <c r="A52" s="1018"/>
      <c r="B52" s="658" t="s">
        <v>681</v>
      </c>
      <c r="C52" s="657" t="str">
        <f ca="1">LEFT(PRCP_final_year,2)&amp;RIGHT(PRCP_final_year,2)</f>
        <v>2021</v>
      </c>
      <c r="D52" s="656" t="s">
        <v>682</v>
      </c>
      <c r="E52" s="651" t="s">
        <v>683</v>
      </c>
      <c r="F52" s="650"/>
      <c r="G52" s="650"/>
      <c r="H52" s="650"/>
      <c r="I52" s="650"/>
      <c r="J52" s="650"/>
      <c r="K52" s="649"/>
    </row>
    <row r="53" spans="1:11" customFormat="1" x14ac:dyDescent="0.25">
      <c r="A53" s="1018"/>
      <c r="B53" s="648" t="s">
        <v>684</v>
      </c>
      <c r="C53" s="647" t="str">
        <f>IFERROR(LEFT(CRY,2)&amp;RIGHT(CRY,2),0)</f>
        <v>2026</v>
      </c>
      <c r="D53" s="646" t="s">
        <v>685</v>
      </c>
      <c r="E53" s="655" t="s">
        <v>686</v>
      </c>
      <c r="F53" s="640"/>
      <c r="G53" s="640"/>
      <c r="H53" s="640"/>
      <c r="I53" s="640"/>
      <c r="J53" s="640"/>
      <c r="K53" s="639"/>
    </row>
    <row r="54" spans="1:11" customFormat="1" x14ac:dyDescent="0.25">
      <c r="A54" s="1018"/>
      <c r="B54" s="644" t="s">
        <v>687</v>
      </c>
      <c r="C54" s="643" t="str">
        <f ca="1">IF(dms_Model_Span&gt;1,IF(dms_Model="RFM",(LEFT(dms_DollarReal_year,2)&amp;RIGHT(dms_DollarReal_year,2)),(LEFT(dms_Reset_final_year,2)&amp;RIGHT(dms_Reset_final_year,2))),0)</f>
        <v>2031</v>
      </c>
      <c r="D54" s="642" t="s">
        <v>688</v>
      </c>
      <c r="E54" s="641" t="s">
        <v>689</v>
      </c>
      <c r="F54" s="640"/>
      <c r="G54" s="640"/>
      <c r="H54" s="640"/>
      <c r="I54" s="640"/>
      <c r="J54" s="640"/>
      <c r="K54" s="639"/>
    </row>
    <row r="55" spans="1:11" customFormat="1" x14ac:dyDescent="0.25">
      <c r="A55" s="1018"/>
      <c r="B55" s="644" t="s">
        <v>690</v>
      </c>
      <c r="C55" s="643">
        <f>IF(dms_MultiYear_ResponseFlag="Yes",(LEFT(dms_Specified_FinalYear,2)&amp;RIGHT(dms_Specified_FinalYear,2)),0)</f>
        <v>0</v>
      </c>
      <c r="D55" s="642" t="s">
        <v>691</v>
      </c>
      <c r="E55" s="641" t="s">
        <v>692</v>
      </c>
      <c r="F55" s="640"/>
      <c r="G55" s="640"/>
      <c r="H55" s="640"/>
      <c r="I55" s="640"/>
      <c r="J55" s="640"/>
      <c r="K55" s="639"/>
    </row>
    <row r="56" spans="1:11" customFormat="1" x14ac:dyDescent="0.25">
      <c r="A56" s="1018"/>
      <c r="B56" s="644" t="s">
        <v>693</v>
      </c>
      <c r="C56" s="643">
        <f>INDEX(dms_Model_Span_List,MATCH(dms_Model,dms_Model_List))</f>
        <v>5</v>
      </c>
      <c r="D56" s="642" t="s">
        <v>694</v>
      </c>
      <c r="E56" s="641" t="s">
        <v>695</v>
      </c>
      <c r="F56" s="640"/>
      <c r="G56" s="640"/>
      <c r="H56" s="640"/>
      <c r="I56" s="640"/>
      <c r="J56" s="640"/>
      <c r="K56" s="639"/>
    </row>
    <row r="57" spans="1:11" customFormat="1" x14ac:dyDescent="0.25">
      <c r="A57" s="1018"/>
      <c r="B57" s="654" t="s">
        <v>696</v>
      </c>
      <c r="C57" s="653" t="str">
        <f ca="1">IF(dms_MultiYear_ResponseFlag="yes",dms_Specified_RYE,(IF(dms_Model_Span&gt;1,dms_Reset_RYE,dms_CRY_RYE)))</f>
        <v>2031</v>
      </c>
      <c r="D57" s="652" t="s">
        <v>697</v>
      </c>
      <c r="E57" s="651" t="s">
        <v>698</v>
      </c>
      <c r="F57" s="650"/>
      <c r="G57" s="650"/>
      <c r="H57" s="650"/>
      <c r="I57" s="650"/>
      <c r="J57" s="650"/>
      <c r="K57" s="649"/>
    </row>
    <row r="58" spans="1:11" customFormat="1" x14ac:dyDescent="0.25">
      <c r="A58" s="1018"/>
      <c r="B58" s="648" t="s">
        <v>699</v>
      </c>
      <c r="C58" s="647" t="str">
        <f ca="1">IF(dms_Reset_RYE&gt;0,CONCATENATE(FRCP_y1," to ",FRCP_final_year),0)</f>
        <v>2026-27 to 2030-31</v>
      </c>
      <c r="D58" s="646" t="s">
        <v>700</v>
      </c>
      <c r="E58" s="641" t="s">
        <v>701</v>
      </c>
      <c r="F58" s="645"/>
      <c r="G58" s="640"/>
      <c r="H58" s="640"/>
      <c r="I58" s="640"/>
      <c r="J58" s="640"/>
      <c r="K58" s="639"/>
    </row>
    <row r="59" spans="1:11" customFormat="1" x14ac:dyDescent="0.25">
      <c r="A59" s="1018"/>
      <c r="B59" s="644" t="s">
        <v>702</v>
      </c>
      <c r="C59" s="643">
        <f>IF(dms_Specified_RYE&gt;0,CONCATENATE(CRY," to ",dms_Specified_FinalYear),0)</f>
        <v>0</v>
      </c>
      <c r="D59" s="642" t="s">
        <v>703</v>
      </c>
      <c r="E59" s="641" t="s">
        <v>704</v>
      </c>
      <c r="F59" s="640"/>
      <c r="G59" s="640"/>
      <c r="H59" s="640"/>
      <c r="I59" s="640"/>
      <c r="J59" s="640"/>
      <c r="K59" s="639"/>
    </row>
    <row r="60" spans="1:11" customFormat="1" ht="15.75" thickBot="1" x14ac:dyDescent="0.3">
      <c r="A60" s="1018"/>
      <c r="B60" s="638" t="s">
        <v>705</v>
      </c>
      <c r="C60" s="637" t="str">
        <f ca="1">IF(dms_MultiYear_Flag=1,dms_SpecifiedYear_Span,IF(dms_Model_Span&gt;1,dms_y1&amp;" to "&amp;FRCP_final_year,CRY))</f>
        <v>2025-26 to 2030-31</v>
      </c>
      <c r="D60" s="636" t="s">
        <v>706</v>
      </c>
      <c r="E60" s="635" t="s">
        <v>707</v>
      </c>
      <c r="F60" s="634"/>
      <c r="G60" s="634"/>
      <c r="H60" s="634"/>
      <c r="I60" s="634"/>
      <c r="J60" s="634"/>
      <c r="K60" s="633"/>
    </row>
    <row r="61" spans="1:11" customFormat="1" ht="25.5" customHeight="1" thickBot="1" x14ac:dyDescent="0.3">
      <c r="B61" s="492" t="s">
        <v>708</v>
      </c>
      <c r="C61" s="491"/>
      <c r="D61" s="632"/>
      <c r="E61" s="632"/>
      <c r="F61" s="631"/>
      <c r="G61" s="631"/>
      <c r="H61" s="631"/>
      <c r="I61" s="631"/>
      <c r="J61" s="631"/>
      <c r="K61" s="630"/>
    </row>
    <row r="62" spans="1:11" customFormat="1" ht="18" x14ac:dyDescent="0.25">
      <c r="B62" s="629" t="s">
        <v>709</v>
      </c>
      <c r="C62" s="628" t="s">
        <v>588</v>
      </c>
      <c r="D62" s="607"/>
      <c r="E62" s="627"/>
      <c r="F62" s="626"/>
      <c r="G62" s="626"/>
      <c r="H62" s="626"/>
      <c r="I62" s="626"/>
      <c r="J62" s="625"/>
      <c r="K62" s="624"/>
    </row>
    <row r="63" spans="1:11" customFormat="1" x14ac:dyDescent="0.25">
      <c r="B63" s="572"/>
      <c r="C63" s="603">
        <f>IF(dms_MultiYear_ResponseFlag="No",0,1)</f>
        <v>0</v>
      </c>
      <c r="D63" s="619" t="s">
        <v>710</v>
      </c>
      <c r="E63" s="623" t="s">
        <v>711</v>
      </c>
      <c r="F63" s="617"/>
      <c r="G63" s="617"/>
      <c r="H63" s="617"/>
      <c r="I63" s="617"/>
      <c r="J63" s="622"/>
      <c r="K63" s="621"/>
    </row>
    <row r="64" spans="1:11" customFormat="1" ht="25.5" x14ac:dyDescent="0.25">
      <c r="B64" s="572"/>
      <c r="C64" s="620" t="str">
        <f>IF(dms_MultiYear_Flag=1,FRY,"not a Multiple year submission")</f>
        <v>not a Multiple year submission</v>
      </c>
      <c r="D64" s="619" t="s">
        <v>712</v>
      </c>
      <c r="E64" s="618" t="s">
        <v>713</v>
      </c>
      <c r="F64" s="617"/>
      <c r="G64" s="617"/>
      <c r="H64" s="617"/>
      <c r="I64" s="616"/>
      <c r="J64" s="615"/>
      <c r="K64" s="614"/>
    </row>
    <row r="65" spans="2:11" customFormat="1" ht="15.75" thickBot="1" x14ac:dyDescent="0.3">
      <c r="B65" s="613" t="s">
        <v>714</v>
      </c>
      <c r="C65" s="571" t="str">
        <f>IFERROR(IF(dms_MultiYear_Flag=1,FRY,CRY),"not an ABC")</f>
        <v>2025-26</v>
      </c>
      <c r="D65" s="612" t="s">
        <v>715</v>
      </c>
      <c r="E65" s="612" t="s">
        <v>716</v>
      </c>
      <c r="F65" s="590"/>
      <c r="G65" s="590" t="s">
        <v>717</v>
      </c>
      <c r="H65" s="590"/>
      <c r="I65" s="590"/>
      <c r="J65" s="611"/>
      <c r="K65" s="610"/>
    </row>
    <row r="66" spans="2:11" customFormat="1" ht="22.5" customHeight="1" thickBot="1" x14ac:dyDescent="0.3">
      <c r="B66" s="492" t="s">
        <v>718</v>
      </c>
      <c r="C66" s="491"/>
      <c r="D66" s="491"/>
      <c r="E66" s="491"/>
      <c r="F66" s="7"/>
      <c r="G66" s="7"/>
      <c r="H66" s="7"/>
      <c r="I66" s="7"/>
      <c r="J66" s="7"/>
      <c r="K66" s="8"/>
    </row>
    <row r="67" spans="2:11" customFormat="1" x14ac:dyDescent="0.25">
      <c r="B67" s="580" t="s">
        <v>719</v>
      </c>
      <c r="C67" s="609"/>
      <c r="D67" s="599"/>
      <c r="E67" s="598"/>
      <c r="F67" s="568"/>
      <c r="G67" s="568"/>
      <c r="H67" s="568"/>
      <c r="I67" s="568"/>
      <c r="J67" s="597"/>
      <c r="K67" s="596"/>
    </row>
    <row r="68" spans="2:11" customFormat="1" x14ac:dyDescent="0.25">
      <c r="B68" s="572" t="s">
        <v>720</v>
      </c>
      <c r="C68" s="608">
        <f>INDEX(dms_PRCPlength_List,MATCH(dms_TradingName,dms_TradingName_List))</f>
        <v>5</v>
      </c>
      <c r="D68" s="607" t="s">
        <v>721</v>
      </c>
      <c r="E68" s="606" t="s">
        <v>722</v>
      </c>
      <c r="F68" s="605"/>
      <c r="G68" s="605"/>
      <c r="H68" s="605"/>
      <c r="I68" s="605"/>
      <c r="J68" s="605"/>
      <c r="K68" s="604"/>
    </row>
    <row r="69" spans="2:11" customFormat="1" x14ac:dyDescent="0.25">
      <c r="B69" s="572" t="s">
        <v>723</v>
      </c>
      <c r="C69" s="603">
        <f>INDEX(dms_CRCPlength_List,MATCH(dms_TradingName,dms_TradingName_List))</f>
        <v>5</v>
      </c>
      <c r="D69" s="570" t="s">
        <v>724</v>
      </c>
      <c r="E69" s="569" t="s">
        <v>725</v>
      </c>
      <c r="F69" s="568"/>
      <c r="G69" s="568"/>
      <c r="H69" s="568"/>
      <c r="I69" s="568"/>
      <c r="J69" s="568"/>
      <c r="K69" s="567"/>
    </row>
    <row r="70" spans="2:11" customFormat="1" x14ac:dyDescent="0.25">
      <c r="B70" s="578" t="s">
        <v>726</v>
      </c>
      <c r="C70" s="602">
        <f>INDEX(dms_FRCPlength_List,MATCH(dms_TradingName,dms_TradingName_List))</f>
        <v>5</v>
      </c>
      <c r="D70" s="584" t="s">
        <v>727</v>
      </c>
      <c r="E70" s="583" t="s">
        <v>728</v>
      </c>
      <c r="F70" s="574"/>
      <c r="G70" s="574"/>
      <c r="H70" s="574"/>
      <c r="I70" s="574"/>
      <c r="J70" s="574"/>
      <c r="K70" s="573"/>
    </row>
    <row r="71" spans="2:11" customFormat="1" x14ac:dyDescent="0.25">
      <c r="B71" s="601" t="s">
        <v>729</v>
      </c>
      <c r="C71" s="599"/>
      <c r="D71" s="599"/>
      <c r="E71" s="598"/>
      <c r="F71" s="568"/>
      <c r="G71" s="568"/>
      <c r="H71" s="568"/>
      <c r="I71" s="568"/>
      <c r="J71" s="597"/>
      <c r="K71" s="596"/>
    </row>
    <row r="72" spans="2:11" customFormat="1" x14ac:dyDescent="0.25">
      <c r="B72" s="1019" t="s">
        <v>730</v>
      </c>
      <c r="C72" s="600">
        <f>IF(dms_Model="EB",1,0)</f>
        <v>0</v>
      </c>
      <c r="D72" s="599" t="s">
        <v>731</v>
      </c>
      <c r="E72" s="598"/>
      <c r="F72" s="568"/>
      <c r="G72" s="568"/>
      <c r="H72" s="568"/>
      <c r="I72" s="568"/>
      <c r="J72" s="597"/>
      <c r="K72" s="596"/>
    </row>
    <row r="73" spans="2:11" customFormat="1" x14ac:dyDescent="0.25">
      <c r="B73" s="1019"/>
      <c r="C73" s="595">
        <f>IF(dms_Model="CA",1,0)</f>
        <v>0</v>
      </c>
      <c r="D73" s="594" t="s">
        <v>732</v>
      </c>
      <c r="E73" s="591" t="s">
        <v>733</v>
      </c>
      <c r="F73" s="589"/>
      <c r="G73" s="589"/>
      <c r="H73" s="589"/>
      <c r="I73" s="589"/>
      <c r="J73" s="588"/>
      <c r="K73" s="587"/>
    </row>
    <row r="74" spans="2:11" customFormat="1" x14ac:dyDescent="0.25">
      <c r="B74" s="1020"/>
      <c r="C74" s="595">
        <f>IF(dms_Model="ARR",1,0)</f>
        <v>0</v>
      </c>
      <c r="D74" s="594" t="s">
        <v>734</v>
      </c>
      <c r="E74" s="591"/>
      <c r="F74" s="589"/>
      <c r="G74" s="589"/>
      <c r="H74" s="589"/>
      <c r="I74" s="589"/>
      <c r="J74" s="588"/>
      <c r="K74" s="587"/>
    </row>
    <row r="75" spans="2:11" customFormat="1" x14ac:dyDescent="0.25">
      <c r="B75" s="593" t="s">
        <v>735</v>
      </c>
      <c r="C75" s="592" t="str">
        <f>IF(SUM(dms_SingleYear_Model)=1,"yes","no")</f>
        <v>no</v>
      </c>
      <c r="D75" s="591" t="s">
        <v>736</v>
      </c>
      <c r="E75" s="591" t="s">
        <v>737</v>
      </c>
      <c r="F75" s="590"/>
      <c r="G75" s="590"/>
      <c r="H75" s="590"/>
      <c r="I75" s="589"/>
      <c r="J75" s="588"/>
      <c r="K75" s="587"/>
    </row>
    <row r="76" spans="2:11" customFormat="1" x14ac:dyDescent="0.25">
      <c r="B76" s="586" t="s">
        <v>738</v>
      </c>
      <c r="C76" s="585">
        <f>IF(AND(dms_SingleYearModel="yes",dms_MultiYear_Flag=0),CRY,0)</f>
        <v>0</v>
      </c>
      <c r="D76" s="584" t="s">
        <v>739</v>
      </c>
      <c r="E76" s="583" t="s">
        <v>740</v>
      </c>
      <c r="F76" s="582"/>
      <c r="G76" s="582"/>
      <c r="H76" s="582"/>
      <c r="I76" s="582"/>
      <c r="J76" s="582"/>
      <c r="K76" s="581"/>
    </row>
    <row r="77" spans="2:11" customFormat="1" x14ac:dyDescent="0.25">
      <c r="B77" s="580" t="s">
        <v>741</v>
      </c>
      <c r="C77" s="571"/>
      <c r="D77" s="570"/>
      <c r="E77" s="569"/>
      <c r="F77" s="568"/>
      <c r="G77" s="568"/>
      <c r="H77" s="568"/>
      <c r="I77" s="568"/>
      <c r="J77" s="568"/>
      <c r="K77" s="567"/>
    </row>
    <row r="78" spans="2:11" customFormat="1" x14ac:dyDescent="0.25">
      <c r="B78" s="572"/>
      <c r="C78" s="571"/>
      <c r="D78" s="570"/>
      <c r="E78" s="569"/>
      <c r="F78" s="568"/>
      <c r="G78" s="568"/>
      <c r="H78" s="568"/>
      <c r="I78" s="568"/>
      <c r="J78" s="568"/>
      <c r="K78" s="567"/>
    </row>
    <row r="79" spans="2:11" customFormat="1" x14ac:dyDescent="0.25">
      <c r="B79" s="572" t="s">
        <v>742</v>
      </c>
      <c r="C79" s="571" t="str">
        <f>IF(dms_Model_Span&gt;1,"yes","no")</f>
        <v>yes</v>
      </c>
      <c r="D79" s="570"/>
      <c r="E79" s="569"/>
      <c r="F79" s="568"/>
      <c r="G79" s="568"/>
      <c r="H79" s="568"/>
      <c r="I79" s="568"/>
      <c r="J79" s="568"/>
      <c r="K79" s="567"/>
    </row>
    <row r="80" spans="2:11" customFormat="1" x14ac:dyDescent="0.25">
      <c r="B80" s="572" t="s">
        <v>743</v>
      </c>
      <c r="C80" s="579" t="str">
        <f ca="1">IF(dms_Model_Span&gt;1,dms_Reset_final_year,0)</f>
        <v>2030-31</v>
      </c>
      <c r="D80" s="570" t="s">
        <v>744</v>
      </c>
      <c r="E80" s="569" t="s">
        <v>745</v>
      </c>
      <c r="F80" s="568"/>
      <c r="G80" s="568"/>
      <c r="H80" s="568"/>
      <c r="I80" s="568"/>
      <c r="J80" s="568"/>
      <c r="K80" s="567"/>
    </row>
    <row r="81" spans="2:12" customFormat="1" x14ac:dyDescent="0.25">
      <c r="B81" s="572"/>
      <c r="C81" s="571"/>
      <c r="D81" s="570"/>
      <c r="E81" s="569"/>
      <c r="F81" s="568"/>
      <c r="G81" s="568"/>
      <c r="H81" s="568"/>
      <c r="I81" s="568"/>
      <c r="J81" s="568"/>
      <c r="K81" s="567"/>
    </row>
    <row r="82" spans="2:12" customFormat="1" x14ac:dyDescent="0.25">
      <c r="B82" s="572" t="s">
        <v>746</v>
      </c>
      <c r="C82" s="571" t="str">
        <f>IF(dms_MultiYear_Flag=1,"yes","no")</f>
        <v>no</v>
      </c>
      <c r="D82" s="570" t="s">
        <v>747</v>
      </c>
      <c r="E82" s="569"/>
      <c r="F82" s="568"/>
      <c r="G82" s="568"/>
      <c r="H82" s="568"/>
      <c r="I82" s="568"/>
      <c r="J82" s="568"/>
      <c r="K82" s="567"/>
    </row>
    <row r="83" spans="2:12" customFormat="1" x14ac:dyDescent="0.25">
      <c r="B83" s="578" t="s">
        <v>748</v>
      </c>
      <c r="C83" s="577">
        <f>IF(dms_MultiYear_Flag=1,C50,0)</f>
        <v>0</v>
      </c>
      <c r="D83" s="576"/>
      <c r="E83" s="575"/>
      <c r="F83" s="574"/>
      <c r="G83" s="574"/>
      <c r="H83" s="574"/>
      <c r="I83" s="574"/>
      <c r="J83" s="574"/>
      <c r="K83" s="573"/>
    </row>
    <row r="84" spans="2:12" customFormat="1" ht="15.75" thickBot="1" x14ac:dyDescent="0.3">
      <c r="B84" s="572"/>
      <c r="C84" s="571"/>
      <c r="D84" s="570"/>
      <c r="E84" s="569"/>
      <c r="F84" s="568"/>
      <c r="G84" s="568"/>
      <c r="H84" s="568"/>
      <c r="I84" s="568"/>
      <c r="J84" s="568"/>
      <c r="K84" s="567"/>
    </row>
    <row r="85" spans="2:12" customFormat="1" ht="28.5" customHeight="1" thickBot="1" x14ac:dyDescent="0.3">
      <c r="B85" s="492" t="s">
        <v>749</v>
      </c>
      <c r="C85" s="491"/>
      <c r="D85" s="491"/>
      <c r="E85" s="491"/>
      <c r="F85" s="7"/>
      <c r="G85" s="7"/>
      <c r="H85" s="7"/>
      <c r="I85" s="7"/>
      <c r="J85" s="7"/>
      <c r="K85" s="8"/>
    </row>
    <row r="86" spans="2:12" s="23" customFormat="1" ht="24.75" customHeight="1" thickBot="1" x14ac:dyDescent="0.3">
      <c r="B86" s="566" t="s">
        <v>750</v>
      </c>
      <c r="C86" s="565" t="str">
        <f>IFERROR(IF(dms_Segment="Transmission",dms_Cal_Year_B4_CRY,CRY),"CRY not present")</f>
        <v>2025-26</v>
      </c>
      <c r="D86" s="564" t="s">
        <v>751</v>
      </c>
      <c r="E86" s="563" t="s">
        <v>752</v>
      </c>
      <c r="F86" s="562"/>
      <c r="G86" s="562"/>
      <c r="H86" s="562"/>
      <c r="I86" s="562"/>
      <c r="J86" s="561"/>
      <c r="K86" s="560"/>
    </row>
    <row r="87" spans="2:12" customFormat="1" ht="27" customHeight="1" thickBot="1" x14ac:dyDescent="0.3">
      <c r="B87" s="492" t="s">
        <v>753</v>
      </c>
      <c r="C87" s="491"/>
      <c r="D87" s="491"/>
      <c r="E87" s="491"/>
      <c r="F87" s="7"/>
      <c r="G87" s="7"/>
      <c r="H87" s="7"/>
      <c r="I87" s="7"/>
      <c r="J87" s="7"/>
      <c r="K87" s="8"/>
    </row>
    <row r="88" spans="2:12" customFormat="1" x14ac:dyDescent="0.25">
      <c r="B88" s="502" t="s">
        <v>754</v>
      </c>
      <c r="C88" s="557"/>
      <c r="D88" s="556"/>
      <c r="E88" s="514" t="s">
        <v>755</v>
      </c>
      <c r="F88" s="555"/>
      <c r="G88" s="555"/>
      <c r="H88" s="555"/>
      <c r="I88" s="555"/>
      <c r="J88" s="555"/>
      <c r="K88" s="554"/>
    </row>
    <row r="89" spans="2:12" customFormat="1" x14ac:dyDescent="0.25">
      <c r="B89" s="502"/>
      <c r="C89" s="557" t="str">
        <f>IF(dms_Model&lt;&gt;"CA","not a CA","Is a CA")</f>
        <v>not a CA</v>
      </c>
      <c r="D89" s="556"/>
      <c r="E89" s="518" t="s">
        <v>756</v>
      </c>
      <c r="F89" s="555"/>
      <c r="G89" s="555"/>
      <c r="H89" s="555"/>
      <c r="I89" s="555"/>
      <c r="J89" s="555"/>
      <c r="K89" s="554"/>
    </row>
    <row r="90" spans="2:12" customFormat="1" x14ac:dyDescent="0.25">
      <c r="B90" s="559" t="s">
        <v>757</v>
      </c>
      <c r="C90" s="557" t="str">
        <f>IFERROR(IF(INDEX(dms_060301_Avg_Duration_Sustained_Int_Values,1,1)&lt;&gt;"","yes","no"),"no")</f>
        <v>no</v>
      </c>
      <c r="D90" s="556" t="s">
        <v>758</v>
      </c>
      <c r="E90" s="500" t="s">
        <v>759</v>
      </c>
      <c r="F90" s="555"/>
      <c r="G90" s="555"/>
      <c r="H90" s="555"/>
      <c r="I90" s="555"/>
      <c r="J90" s="555"/>
      <c r="K90" s="554"/>
    </row>
    <row r="91" spans="2:12" customFormat="1" x14ac:dyDescent="0.25">
      <c r="B91" s="559"/>
      <c r="C91" s="558" t="str">
        <f>IF(AND(dms_Model="CA",(dms_060301_checkvalue="no")),"error - NR not present","no errors")</f>
        <v>no errors</v>
      </c>
      <c r="D91" s="556"/>
      <c r="E91" s="500" t="s">
        <v>760</v>
      </c>
      <c r="F91" s="555"/>
      <c r="G91" s="555"/>
      <c r="H91" s="555"/>
      <c r="I91" s="555"/>
      <c r="J91" s="555"/>
      <c r="K91" s="554"/>
    </row>
    <row r="92" spans="2:12" customFormat="1" x14ac:dyDescent="0.25">
      <c r="B92" s="498" t="s">
        <v>761</v>
      </c>
      <c r="C92" s="557" t="str">
        <f>IFERROR(IF(dms_Model="CA",LOOKUP(2,1/(dms_060301_Avg_Duration_Sustained_Int_Values&lt;&gt;""),(ROW(dms_060301_Avg_Duration_Sustained_Int_Values))),"not a CA"),"6.3 not present")</f>
        <v>not a CA</v>
      </c>
      <c r="D92" s="556" t="s">
        <v>762</v>
      </c>
      <c r="E92" s="500" t="s">
        <v>763</v>
      </c>
      <c r="F92" s="555"/>
      <c r="G92" s="555"/>
      <c r="H92" s="555"/>
      <c r="I92" s="555"/>
      <c r="J92" s="555"/>
      <c r="K92" s="554"/>
    </row>
    <row r="93" spans="2:12" customFormat="1" x14ac:dyDescent="0.25">
      <c r="B93" s="525" t="s">
        <v>764</v>
      </c>
      <c r="C93" s="553" t="str">
        <f>IFERROR(IF(dms_Model="CA",(dms_060301_LastRow-15),"not a CA"),"error")</f>
        <v>not a CA</v>
      </c>
      <c r="D93" s="552" t="s">
        <v>765</v>
      </c>
      <c r="E93" s="551" t="s">
        <v>766</v>
      </c>
      <c r="F93" s="550"/>
      <c r="G93" s="550"/>
      <c r="H93" s="550"/>
      <c r="I93" s="550"/>
      <c r="J93" s="550"/>
      <c r="K93" s="549"/>
      <c r="L93" s="19"/>
    </row>
    <row r="94" spans="2:12" ht="15.75" thickBot="1" x14ac:dyDescent="0.3">
      <c r="B94" s="548" t="s">
        <v>767</v>
      </c>
      <c r="C94" s="547">
        <f>INDEX(dms_663_List,MATCH(dms_TradingName,dms_TradingName_List))</f>
        <v>5</v>
      </c>
      <c r="D94" s="496" t="s">
        <v>768</v>
      </c>
      <c r="E94" s="500" t="s">
        <v>769</v>
      </c>
      <c r="F94" s="494"/>
      <c r="G94" s="494"/>
      <c r="H94" s="494"/>
      <c r="I94" s="494"/>
      <c r="J94" s="494"/>
      <c r="K94" s="493"/>
    </row>
    <row r="95" spans="2:12" customFormat="1" ht="21" customHeight="1" thickBot="1" x14ac:dyDescent="0.3">
      <c r="B95" s="492" t="s">
        <v>770</v>
      </c>
      <c r="C95" s="491"/>
      <c r="D95" s="491"/>
      <c r="E95" s="491"/>
      <c r="F95" s="7"/>
      <c r="G95" s="7"/>
      <c r="H95" s="7"/>
      <c r="I95" s="7"/>
      <c r="J95" s="7"/>
      <c r="K95" s="8"/>
    </row>
    <row r="96" spans="2:12" ht="25.5" x14ac:dyDescent="0.25">
      <c r="B96" s="502" t="s">
        <v>771</v>
      </c>
      <c r="C96" s="511" t="s">
        <v>772</v>
      </c>
      <c r="D96" s="545"/>
      <c r="E96" s="546" t="s">
        <v>773</v>
      </c>
      <c r="F96" s="543"/>
      <c r="G96" s="543"/>
      <c r="H96" s="494"/>
      <c r="I96" s="494"/>
      <c r="J96" s="494"/>
      <c r="K96" s="493"/>
    </row>
    <row r="97" spans="2:12" x14ac:dyDescent="0.25">
      <c r="B97" s="498" t="s">
        <v>774</v>
      </c>
      <c r="C97" s="511" t="str">
        <f>IFERROR(IF(dms_LeapYear,"yes"),"no")</f>
        <v>no</v>
      </c>
      <c r="D97" s="545"/>
      <c r="E97" s="544"/>
      <c r="F97" s="543"/>
      <c r="G97" s="543"/>
      <c r="H97" s="494"/>
      <c r="I97" s="494"/>
      <c r="J97" s="494"/>
      <c r="K97" s="493"/>
    </row>
    <row r="98" spans="2:12" x14ac:dyDescent="0.25">
      <c r="B98" s="541" t="s">
        <v>775</v>
      </c>
      <c r="C98" s="542" t="str">
        <f xml:space="preserve">
IFERROR(IF(MONTH(DATE(YEAR(dms_LeapYear),2,29))=2,"is a leap year","not a leap year"),
"dms_LeapYear not present")</f>
        <v>dms_LeapYear not present</v>
      </c>
      <c r="D98" s="496" t="s">
        <v>776</v>
      </c>
      <c r="E98" s="496" t="s">
        <v>777</v>
      </c>
      <c r="F98" s="494"/>
      <c r="G98" s="494"/>
      <c r="H98" s="494"/>
      <c r="I98" s="494"/>
      <c r="J98" s="494"/>
      <c r="K98" s="493"/>
    </row>
    <row r="99" spans="2:12" x14ac:dyDescent="0.25">
      <c r="B99" s="541" t="s">
        <v>778</v>
      </c>
      <c r="C99" s="540">
        <f>IF(dms_LeapYear_Result="is a leap year",1827,1826)</f>
        <v>1826</v>
      </c>
      <c r="D99" s="496" t="s">
        <v>779</v>
      </c>
      <c r="E99" s="508" t="s">
        <v>780</v>
      </c>
      <c r="F99" s="494"/>
      <c r="G99" s="494"/>
      <c r="H99" s="539" t="s">
        <v>781</v>
      </c>
      <c r="I99" s="494"/>
      <c r="J99" s="494"/>
      <c r="K99" s="493"/>
    </row>
    <row r="100" spans="2:12" x14ac:dyDescent="0.25">
      <c r="B100" s="541" t="s">
        <v>782</v>
      </c>
      <c r="C100" s="540">
        <f>IF(dms_LeapYear_Result="is a leap year",366,365)</f>
        <v>365</v>
      </c>
      <c r="D100" s="496" t="s">
        <v>783</v>
      </c>
      <c r="E100" s="508" t="s">
        <v>784</v>
      </c>
      <c r="F100" s="494"/>
      <c r="G100" s="494"/>
      <c r="H100" s="539" t="s">
        <v>785</v>
      </c>
      <c r="I100" s="494"/>
      <c r="J100" s="494"/>
      <c r="K100" s="493"/>
    </row>
    <row r="101" spans="2:12" ht="15.75" thickBot="1" x14ac:dyDescent="0.3">
      <c r="B101" s="538" t="s">
        <v>786</v>
      </c>
      <c r="C101" s="537">
        <f>IF(dms_Model="ARR",dms_060701_ARR_MaxRows,IF(dms_Model="Reset",dms_060701_Reset_MaxRows,"not a relevant RIN type"))</f>
        <v>1826</v>
      </c>
      <c r="D101" s="536" t="s">
        <v>787</v>
      </c>
      <c r="E101" s="535" t="s">
        <v>788</v>
      </c>
      <c r="F101" s="534"/>
      <c r="G101" s="534"/>
      <c r="H101" s="534"/>
      <c r="I101" s="534"/>
      <c r="J101" s="534"/>
      <c r="K101" s="533"/>
    </row>
    <row r="102" spans="2:12" ht="24" customHeight="1" x14ac:dyDescent="0.25">
      <c r="B102" s="532" t="s">
        <v>789</v>
      </c>
      <c r="C102" s="531" t="str">
        <f>IF(dms_FifthFeeder_flag_NSP="NO","This NSP has only 4 feeder categories","This NSP has 5 feeder categories")</f>
        <v>This NSP has only 4 feeder categories</v>
      </c>
      <c r="D102" s="530"/>
      <c r="E102" s="529"/>
      <c r="F102" s="528"/>
      <c r="G102" s="528"/>
      <c r="H102" s="528"/>
      <c r="I102" s="528"/>
      <c r="J102" s="528"/>
      <c r="K102" s="527"/>
    </row>
    <row r="103" spans="2:12" x14ac:dyDescent="0.25">
      <c r="B103" s="498" t="s">
        <v>790</v>
      </c>
      <c r="C103" s="526">
        <f>IF(dms_FifthFeeder_flag_NSP="NO",10,12)</f>
        <v>10</v>
      </c>
      <c r="D103" s="496" t="s">
        <v>791</v>
      </c>
      <c r="E103" s="500" t="s">
        <v>792</v>
      </c>
      <c r="F103" s="494"/>
      <c r="G103" s="494"/>
      <c r="H103" s="494"/>
      <c r="I103" s="494"/>
      <c r="J103" s="494"/>
      <c r="K103" s="493"/>
    </row>
    <row r="104" spans="2:12" x14ac:dyDescent="0.25">
      <c r="B104" s="525" t="s">
        <v>793</v>
      </c>
      <c r="C104" s="524">
        <f>IF(dms_Model="ARR",15,9)</f>
        <v>9</v>
      </c>
      <c r="D104" s="523" t="s">
        <v>794</v>
      </c>
      <c r="E104" s="522" t="s">
        <v>795</v>
      </c>
      <c r="F104" s="521"/>
      <c r="G104" s="521"/>
      <c r="H104" s="521"/>
      <c r="I104" s="521"/>
      <c r="J104" s="521"/>
      <c r="K104" s="520"/>
    </row>
    <row r="105" spans="2:12" x14ac:dyDescent="0.25">
      <c r="B105" s="502" t="s">
        <v>796</v>
      </c>
      <c r="C105" s="497"/>
      <c r="D105" s="519"/>
      <c r="E105" s="514" t="s">
        <v>797</v>
      </c>
      <c r="F105" s="494"/>
      <c r="G105" s="494"/>
      <c r="H105" s="494"/>
      <c r="I105" s="494"/>
      <c r="J105" s="494"/>
      <c r="K105" s="493"/>
    </row>
    <row r="106" spans="2:12" x14ac:dyDescent="0.25">
      <c r="B106" s="498" t="s">
        <v>798</v>
      </c>
      <c r="C106" s="497" t="str">
        <f ca="1">IF(dms_SingleYearModel="yes",(CONCATENATE(IF(LEN(CRY)=4,"1-Jan-","1-Jul-"),LEFT(CRY,4))),(CONCATENATE(IF(LEN(PRCP_y4)=4,"1-Jan-","1-Jul-"),LEFT(PRCP_y4,4))))</f>
        <v>1-Jul-2019</v>
      </c>
      <c r="D106" s="496" t="s">
        <v>223</v>
      </c>
      <c r="E106" s="518" t="s">
        <v>799</v>
      </c>
      <c r="F106" s="494"/>
      <c r="G106" s="494"/>
      <c r="H106" s="494"/>
      <c r="I106" s="494"/>
      <c r="J106" s="494"/>
      <c r="K106" s="493"/>
    </row>
    <row r="107" spans="2:12" ht="15.75" thickBot="1" x14ac:dyDescent="0.3">
      <c r="B107" s="507" t="s">
        <v>800</v>
      </c>
      <c r="C107" s="517">
        <f ca="1">DATEVALUE(dms_060701_StartDateTxt)</f>
        <v>43647</v>
      </c>
      <c r="D107" s="462" t="s">
        <v>801</v>
      </c>
      <c r="E107" s="516" t="s">
        <v>802</v>
      </c>
      <c r="F107" s="504"/>
      <c r="G107" s="504"/>
      <c r="H107" s="504"/>
      <c r="I107" s="504"/>
      <c r="J107" s="504"/>
      <c r="K107" s="503"/>
      <c r="L107" s="19"/>
    </row>
    <row r="108" spans="2:12" customFormat="1" ht="15.75" thickBot="1" x14ac:dyDescent="0.3">
      <c r="B108" s="492" t="s">
        <v>803</v>
      </c>
      <c r="C108" s="491"/>
      <c r="D108" s="491"/>
      <c r="E108" s="491"/>
      <c r="F108" s="7"/>
      <c r="G108" s="7"/>
      <c r="H108" s="7"/>
      <c r="I108" s="7"/>
      <c r="J108" s="7"/>
      <c r="K108" s="8"/>
    </row>
    <row r="109" spans="2:12" ht="38.25" x14ac:dyDescent="0.25">
      <c r="B109" s="515" t="s">
        <v>804</v>
      </c>
      <c r="C109" s="511" t="s">
        <v>805</v>
      </c>
      <c r="D109" s="514"/>
      <c r="E109" s="514" t="s">
        <v>806</v>
      </c>
      <c r="F109" s="513"/>
      <c r="G109" s="513"/>
      <c r="H109" s="513"/>
      <c r="I109" s="513"/>
      <c r="J109" s="513"/>
      <c r="K109" s="512"/>
      <c r="L109" s="19"/>
    </row>
    <row r="110" spans="2:12" x14ac:dyDescent="0.25">
      <c r="B110" s="502" t="s">
        <v>807</v>
      </c>
      <c r="C110" s="511" t="s">
        <v>564</v>
      </c>
      <c r="D110" s="510"/>
      <c r="E110" s="500" t="s">
        <v>808</v>
      </c>
      <c r="F110" s="494"/>
      <c r="G110" s="494"/>
      <c r="H110" s="494"/>
      <c r="I110" s="494"/>
      <c r="J110" s="494"/>
      <c r="K110" s="493"/>
      <c r="L110" s="19"/>
    </row>
    <row r="111" spans="2:12" x14ac:dyDescent="0.25">
      <c r="B111" s="498" t="s">
        <v>809</v>
      </c>
      <c r="C111" s="497">
        <v>12</v>
      </c>
      <c r="D111" s="496" t="s">
        <v>810</v>
      </c>
      <c r="E111" s="500" t="s">
        <v>811</v>
      </c>
      <c r="F111" s="494"/>
      <c r="G111" s="494"/>
      <c r="H111" s="494"/>
      <c r="I111" s="494"/>
      <c r="J111" s="494"/>
      <c r="K111" s="493"/>
    </row>
    <row r="112" spans="2:12" x14ac:dyDescent="0.25">
      <c r="B112" s="498" t="s">
        <v>812</v>
      </c>
      <c r="C112" s="509" t="s">
        <v>813</v>
      </c>
      <c r="D112" s="496" t="s">
        <v>814</v>
      </c>
      <c r="E112" s="508" t="s">
        <v>815</v>
      </c>
      <c r="F112" s="494"/>
      <c r="G112" s="494"/>
      <c r="H112" s="494"/>
      <c r="I112" s="494"/>
      <c r="J112" s="494"/>
      <c r="K112" s="493"/>
    </row>
    <row r="113" spans="2:11" ht="15.75" thickBot="1" x14ac:dyDescent="0.3">
      <c r="B113" s="507" t="s">
        <v>816</v>
      </c>
      <c r="C113" s="506" t="str">
        <f>IFERROR(IF(dms_Model="ARR",(MAX(0,dms_0608_LastRow-dms_0608_OffsetRows)),"not an ARR"),"0")</f>
        <v>not an ARR</v>
      </c>
      <c r="D113" s="462" t="s">
        <v>817</v>
      </c>
      <c r="E113" s="461" t="s">
        <v>818</v>
      </c>
      <c r="F113" s="505"/>
      <c r="G113" s="504"/>
      <c r="H113" s="504"/>
      <c r="I113" s="504"/>
      <c r="J113" s="504"/>
      <c r="K113" s="503"/>
    </row>
    <row r="114" spans="2:11" customFormat="1" ht="15.75" thickBot="1" x14ac:dyDescent="0.3">
      <c r="B114" s="492" t="s">
        <v>819</v>
      </c>
      <c r="C114" s="491"/>
      <c r="D114" s="491"/>
      <c r="E114" s="491"/>
      <c r="F114" s="7"/>
      <c r="G114" s="7"/>
      <c r="H114" s="7"/>
      <c r="I114" s="7"/>
      <c r="J114" s="7"/>
      <c r="K114" s="8"/>
    </row>
    <row r="115" spans="2:11" x14ac:dyDescent="0.25">
      <c r="B115" s="502" t="s">
        <v>820</v>
      </c>
      <c r="C115" s="501"/>
      <c r="D115" s="496"/>
      <c r="E115" s="500"/>
      <c r="F115" s="499"/>
      <c r="G115" s="494"/>
      <c r="H115" s="494"/>
      <c r="I115" s="494"/>
      <c r="J115" s="494"/>
      <c r="K115" s="493"/>
    </row>
    <row r="116" spans="2:11" x14ac:dyDescent="0.25">
      <c r="B116" s="498" t="s">
        <v>821</v>
      </c>
      <c r="C116" s="497" t="str">
        <f ca="1">LEFT(PRCP_y3,4)</f>
        <v>2018</v>
      </c>
      <c r="D116" s="496" t="s">
        <v>822</v>
      </c>
      <c r="E116" s="495" t="s">
        <v>823</v>
      </c>
      <c r="F116" s="494"/>
      <c r="G116" s="494"/>
      <c r="H116" s="494"/>
      <c r="I116" s="494"/>
      <c r="J116" s="494"/>
      <c r="K116" s="493"/>
    </row>
    <row r="117" spans="2:11" ht="15.75" thickBot="1" x14ac:dyDescent="0.3">
      <c r="B117" s="443"/>
      <c r="C117" s="442"/>
      <c r="D117" s="441"/>
      <c r="E117" s="440"/>
      <c r="F117" s="439"/>
      <c r="G117" s="439"/>
      <c r="H117" s="439"/>
      <c r="I117" s="439"/>
      <c r="J117" s="439"/>
      <c r="K117" s="438"/>
    </row>
    <row r="118" spans="2:11" customFormat="1" ht="15.75" thickBot="1" x14ac:dyDescent="0.3">
      <c r="B118" s="492" t="s">
        <v>824</v>
      </c>
      <c r="C118" s="491"/>
      <c r="D118" s="491"/>
      <c r="E118" s="491"/>
      <c r="F118" s="7"/>
      <c r="G118" s="7"/>
      <c r="H118" s="7"/>
      <c r="I118" s="7"/>
      <c r="J118" s="7"/>
      <c r="K118" s="8"/>
    </row>
    <row r="119" spans="2:11" customFormat="1" ht="14.25" customHeight="1" x14ac:dyDescent="0.25">
      <c r="B119" s="490" t="s">
        <v>825</v>
      </c>
      <c r="C119" s="489" t="str">
        <f>INDEX(dms_DeterminationRef_List,MATCH(dms_TradingName,dms_TradingName_List))</f>
        <v>distribution determination</v>
      </c>
      <c r="D119" s="488" t="s">
        <v>826</v>
      </c>
      <c r="E119" s="487"/>
      <c r="F119" s="486"/>
      <c r="G119" s="486"/>
      <c r="H119" s="486"/>
      <c r="I119" s="486"/>
      <c r="J119" s="486"/>
      <c r="K119" s="485"/>
    </row>
    <row r="120" spans="2:11" customFormat="1" ht="14.25" customHeight="1" x14ac:dyDescent="0.25">
      <c r="B120" s="484" t="s">
        <v>827</v>
      </c>
      <c r="C120" s="483" t="str">
        <f>INDEX(dms_Public_Lighting_List,MATCH(dms_TradingName,dms_TradingName_List))</f>
        <v>NO</v>
      </c>
      <c r="D120" s="482" t="s">
        <v>828</v>
      </c>
      <c r="E120" s="481" t="s">
        <v>829</v>
      </c>
      <c r="F120" s="480"/>
      <c r="G120" s="480"/>
      <c r="H120" s="480"/>
      <c r="I120" s="480"/>
      <c r="J120" s="480"/>
      <c r="K120" s="479"/>
    </row>
    <row r="121" spans="2:11" ht="15" customHeight="1" x14ac:dyDescent="0.25">
      <c r="B121" s="478" t="s">
        <v>830</v>
      </c>
      <c r="C121" s="477" t="str">
        <f>INDEX(dms_CBD_flag,MATCH(dms_TradingName,dms_TradingName_List))</f>
        <v>NO</v>
      </c>
      <c r="D121" s="476" t="s">
        <v>831</v>
      </c>
      <c r="E121" s="476"/>
      <c r="F121" s="475"/>
      <c r="G121" s="475"/>
      <c r="H121" s="475"/>
      <c r="I121" s="475"/>
      <c r="J121" s="475"/>
      <c r="K121" s="474"/>
    </row>
    <row r="122" spans="2:11" ht="15" customHeight="1" x14ac:dyDescent="0.25">
      <c r="B122" s="473" t="s">
        <v>832</v>
      </c>
      <c r="C122" s="472" t="str">
        <f>INDEX(dms_Urban_flag,MATCH(dms_TradingName,dms_TradingName_List))</f>
        <v>NO</v>
      </c>
      <c r="D122" s="447" t="s">
        <v>833</v>
      </c>
      <c r="E122" s="447"/>
      <c r="F122" s="471"/>
      <c r="G122" s="471"/>
      <c r="H122" s="471"/>
      <c r="I122" s="471"/>
      <c r="J122" s="471"/>
      <c r="K122" s="470"/>
    </row>
    <row r="123" spans="2:11" ht="15" customHeight="1" x14ac:dyDescent="0.25">
      <c r="B123" s="473" t="s">
        <v>834</v>
      </c>
      <c r="C123" s="472" t="str">
        <f>INDEX(dms_ShortRural_flag,MATCH(dms_TradingName,dms_TradingName_List))</f>
        <v>NO</v>
      </c>
      <c r="D123" s="447" t="s">
        <v>835</v>
      </c>
      <c r="E123" s="447"/>
      <c r="F123" s="471"/>
      <c r="G123" s="471"/>
      <c r="H123" s="471"/>
      <c r="I123" s="471"/>
      <c r="J123" s="471"/>
      <c r="K123" s="470"/>
    </row>
    <row r="124" spans="2:11" ht="15" customHeight="1" x14ac:dyDescent="0.25">
      <c r="B124" s="469" t="s">
        <v>836</v>
      </c>
      <c r="C124" s="468" t="str">
        <f>INDEX(dms_LongRural_flag,MATCH(dms_TradingName,dms_TradingName_List))</f>
        <v>NO</v>
      </c>
      <c r="D124" s="467" t="s">
        <v>837</v>
      </c>
      <c r="E124" s="467"/>
      <c r="F124" s="466"/>
      <c r="G124" s="466"/>
      <c r="H124" s="466"/>
      <c r="I124" s="466"/>
      <c r="J124" s="466"/>
      <c r="K124" s="465"/>
    </row>
    <row r="125" spans="2:11" ht="15.75" thickBot="1" x14ac:dyDescent="0.3">
      <c r="B125" s="464" t="s">
        <v>838</v>
      </c>
      <c r="C125" s="463" t="str">
        <f>INDEX(dms_FeederType_5_flag,MATCH(dms_TradingName,dms_TradingName_List))</f>
        <v>NO</v>
      </c>
      <c r="D125" s="462" t="s">
        <v>839</v>
      </c>
      <c r="E125" s="461" t="s">
        <v>840</v>
      </c>
      <c r="F125" s="460"/>
      <c r="G125" s="460"/>
      <c r="H125" s="460"/>
      <c r="I125" s="460"/>
      <c r="J125" s="460"/>
      <c r="K125" s="459"/>
    </row>
    <row r="126" spans="2:11" ht="15.75" thickBot="1" x14ac:dyDescent="0.3">
      <c r="B126" s="443"/>
      <c r="C126" s="442"/>
      <c r="D126" s="441"/>
      <c r="E126" s="440"/>
      <c r="F126" s="439"/>
      <c r="G126" s="439"/>
      <c r="H126" s="439"/>
      <c r="I126" s="439"/>
      <c r="J126" s="439"/>
      <c r="K126" s="438"/>
    </row>
    <row r="127" spans="2:11" customFormat="1" ht="15.75" thickBot="1" x14ac:dyDescent="0.3">
      <c r="B127" s="452" t="s">
        <v>841</v>
      </c>
      <c r="C127" s="451"/>
      <c r="D127" s="451"/>
      <c r="E127" s="451"/>
      <c r="F127" s="450"/>
      <c r="G127" s="450"/>
      <c r="H127" s="450"/>
      <c r="I127" s="450"/>
      <c r="J127" s="450"/>
      <c r="K127" s="449"/>
    </row>
    <row r="128" spans="2:11" ht="15.75" thickBot="1" x14ac:dyDescent="0.3">
      <c r="B128" s="458" t="s">
        <v>842</v>
      </c>
      <c r="C128" s="457" t="s">
        <v>343</v>
      </c>
      <c r="D128" s="456" t="s">
        <v>843</v>
      </c>
      <c r="E128" s="455" t="s">
        <v>844</v>
      </c>
      <c r="F128" s="454"/>
      <c r="G128" s="454"/>
      <c r="H128" s="454"/>
      <c r="I128" s="454"/>
      <c r="J128" s="454"/>
      <c r="K128" s="453"/>
    </row>
    <row r="129" spans="2:11" customFormat="1" ht="15.75" thickBot="1" x14ac:dyDescent="0.3"/>
    <row r="130" spans="2:11" customFormat="1" ht="15.75" thickBot="1" x14ac:dyDescent="0.3">
      <c r="B130" s="452" t="s">
        <v>845</v>
      </c>
      <c r="C130" s="451"/>
      <c r="D130" s="451"/>
      <c r="E130" s="451"/>
      <c r="F130" s="450"/>
      <c r="G130" s="450"/>
      <c r="H130" s="450"/>
      <c r="I130" s="450"/>
      <c r="J130" s="450"/>
      <c r="K130" s="449"/>
    </row>
    <row r="131" spans="2:11" x14ac:dyDescent="0.25">
      <c r="B131" s="448" t="s">
        <v>846</v>
      </c>
      <c r="C131" s="432" t="s">
        <v>343</v>
      </c>
      <c r="D131" s="447" t="s">
        <v>847</v>
      </c>
      <c r="E131" s="446"/>
      <c r="F131" s="445"/>
      <c r="G131" s="445"/>
      <c r="H131" s="445"/>
      <c r="I131" s="445"/>
      <c r="J131" s="445"/>
      <c r="K131" s="444"/>
    </row>
    <row r="132" spans="2:11" customFormat="1" x14ac:dyDescent="0.25"/>
    <row r="133" spans="2:11" ht="15.75" thickBot="1" x14ac:dyDescent="0.3">
      <c r="B133" s="443"/>
      <c r="C133" s="442"/>
      <c r="D133" s="441"/>
      <c r="E133" s="440"/>
      <c r="F133" s="439"/>
      <c r="G133" s="439"/>
      <c r="H133" s="439"/>
      <c r="I133" s="439"/>
      <c r="J133" s="439"/>
      <c r="K133" s="438"/>
    </row>
    <row r="134" spans="2:11" ht="15.75" thickBot="1" x14ac:dyDescent="0.3">
      <c r="B134" s="437" t="s">
        <v>848</v>
      </c>
      <c r="C134" s="436"/>
      <c r="D134" s="436"/>
      <c r="E134" s="436"/>
      <c r="F134" s="435"/>
      <c r="G134" s="435"/>
      <c r="H134" s="435"/>
      <c r="I134" s="435"/>
      <c r="J134" s="435"/>
      <c r="K134" s="434"/>
    </row>
    <row r="135" spans="2:11" x14ac:dyDescent="0.25">
      <c r="B135" s="433" t="s">
        <v>849</v>
      </c>
      <c r="C135" s="432" t="s">
        <v>343</v>
      </c>
      <c r="D135" s="431" t="s">
        <v>850</v>
      </c>
      <c r="E135" s="430"/>
      <c r="F135" s="429"/>
      <c r="G135" s="429"/>
      <c r="H135" s="429"/>
      <c r="I135" s="429"/>
      <c r="J135" s="429"/>
      <c r="K135" s="428"/>
    </row>
    <row r="136" spans="2:11" x14ac:dyDescent="0.25">
      <c r="B136" s="422"/>
      <c r="C136" s="427" t="s">
        <v>851</v>
      </c>
      <c r="D136" s="426" t="s">
        <v>852</v>
      </c>
      <c r="E136" s="425"/>
      <c r="F136" s="424"/>
      <c r="G136" s="424"/>
      <c r="H136" s="424"/>
      <c r="I136" s="424"/>
      <c r="J136" s="424"/>
      <c r="K136" s="423"/>
    </row>
    <row r="137" spans="2:11" x14ac:dyDescent="0.25">
      <c r="B137" s="422"/>
      <c r="C137" s="421">
        <v>2013</v>
      </c>
      <c r="D137" s="420" t="s">
        <v>853</v>
      </c>
      <c r="E137" s="419"/>
      <c r="F137" s="418"/>
      <c r="G137" s="418"/>
      <c r="H137" s="418"/>
      <c r="I137" s="418"/>
      <c r="J137" s="418"/>
      <c r="K137" s="417"/>
    </row>
    <row r="138" spans="2:11" x14ac:dyDescent="0.25">
      <c r="B138" s="422"/>
      <c r="C138" s="421">
        <v>2014</v>
      </c>
      <c r="D138" s="420" t="s">
        <v>854</v>
      </c>
      <c r="E138" s="419"/>
      <c r="F138" s="418"/>
      <c r="G138" s="418"/>
      <c r="H138" s="418"/>
      <c r="I138" s="418"/>
      <c r="J138" s="418"/>
      <c r="K138" s="417"/>
    </row>
    <row r="139" spans="2:11" x14ac:dyDescent="0.25">
      <c r="B139" s="422"/>
      <c r="C139" s="421">
        <v>2015</v>
      </c>
      <c r="D139" s="420" t="s">
        <v>855</v>
      </c>
      <c r="E139" s="419"/>
      <c r="F139" s="418"/>
      <c r="G139" s="418"/>
      <c r="H139" s="418"/>
      <c r="I139" s="418"/>
      <c r="J139" s="418"/>
      <c r="K139" s="417"/>
    </row>
    <row r="140" spans="2:11" x14ac:dyDescent="0.25">
      <c r="B140" s="422"/>
      <c r="C140" s="421">
        <v>2016</v>
      </c>
      <c r="D140" s="420" t="s">
        <v>856</v>
      </c>
      <c r="E140" s="419"/>
      <c r="F140" s="418"/>
      <c r="G140" s="418"/>
      <c r="H140" s="418"/>
      <c r="I140" s="418"/>
      <c r="J140" s="418"/>
      <c r="K140" s="417"/>
    </row>
    <row r="141" spans="2:11" x14ac:dyDescent="0.25">
      <c r="B141" s="416"/>
      <c r="C141" s="415">
        <v>2017</v>
      </c>
      <c r="D141" s="414" t="s">
        <v>857</v>
      </c>
      <c r="E141" s="413"/>
      <c r="F141" s="412"/>
      <c r="G141" s="412"/>
      <c r="H141" s="412"/>
      <c r="I141" s="412"/>
      <c r="J141" s="412"/>
      <c r="K141" s="411"/>
    </row>
    <row r="142" spans="2:11" x14ac:dyDescent="0.25">
      <c r="B142" s="416"/>
      <c r="C142" s="415">
        <v>2018</v>
      </c>
      <c r="D142" s="414" t="s">
        <v>858</v>
      </c>
      <c r="E142" s="413"/>
      <c r="F142" s="412"/>
      <c r="G142" s="412"/>
      <c r="H142" s="412"/>
      <c r="I142" s="412"/>
      <c r="J142" s="412"/>
      <c r="K142" s="411"/>
    </row>
    <row r="143" spans="2:11" x14ac:dyDescent="0.25">
      <c r="B143" s="416"/>
      <c r="C143" s="415">
        <v>2019</v>
      </c>
      <c r="D143" s="414" t="s">
        <v>859</v>
      </c>
      <c r="E143" s="413"/>
      <c r="F143" s="412"/>
      <c r="G143" s="412"/>
      <c r="H143" s="412"/>
      <c r="I143" s="412"/>
      <c r="J143" s="412"/>
      <c r="K143" s="411"/>
    </row>
    <row r="144" spans="2:11" x14ac:dyDescent="0.25">
      <c r="B144" s="416"/>
      <c r="C144" s="415">
        <v>2020</v>
      </c>
      <c r="D144" s="414" t="s">
        <v>860</v>
      </c>
      <c r="E144" s="413"/>
      <c r="F144" s="412"/>
      <c r="G144" s="412"/>
      <c r="H144" s="412"/>
      <c r="I144" s="412"/>
      <c r="J144" s="412"/>
      <c r="K144" s="411"/>
    </row>
    <row r="145" spans="2:11" ht="15.75" thickBot="1" x14ac:dyDescent="0.3">
      <c r="B145" s="410"/>
      <c r="C145" s="409">
        <v>2021</v>
      </c>
      <c r="D145" s="408" t="s">
        <v>861</v>
      </c>
      <c r="E145" s="407"/>
      <c r="F145" s="406"/>
      <c r="G145" s="406"/>
      <c r="H145" s="406"/>
      <c r="I145" s="406"/>
      <c r="J145" s="406"/>
      <c r="K145" s="405"/>
    </row>
    <row r="146" spans="2:11" x14ac:dyDescent="0.25">
      <c r="B146"/>
      <c r="C146"/>
    </row>
    <row r="147" spans="2:11" x14ac:dyDescent="0.25">
      <c r="B147"/>
      <c r="C147"/>
    </row>
    <row r="148" spans="2:11" x14ac:dyDescent="0.25">
      <c r="B148"/>
      <c r="C148"/>
      <c r="D148"/>
      <c r="E148"/>
      <c r="F148"/>
      <c r="G148"/>
      <c r="H148"/>
      <c r="I148"/>
    </row>
    <row r="149" spans="2:11" x14ac:dyDescent="0.25">
      <c r="B149"/>
      <c r="C149"/>
      <c r="D149"/>
      <c r="E149"/>
      <c r="F149"/>
      <c r="G149"/>
      <c r="H149"/>
      <c r="I149"/>
    </row>
    <row r="150" spans="2:11" x14ac:dyDescent="0.25">
      <c r="B150"/>
      <c r="C150"/>
      <c r="D150"/>
      <c r="E150"/>
      <c r="F150"/>
      <c r="G150"/>
      <c r="H150"/>
      <c r="I150"/>
    </row>
    <row r="151" spans="2:11" x14ac:dyDescent="0.25">
      <c r="B151"/>
      <c r="C151"/>
      <c r="D151"/>
      <c r="E151"/>
      <c r="F151"/>
      <c r="G151"/>
      <c r="H151"/>
      <c r="I151"/>
    </row>
    <row r="152" spans="2:11" x14ac:dyDescent="0.25">
      <c r="B152"/>
      <c r="C152"/>
      <c r="D152"/>
      <c r="E152"/>
      <c r="F152"/>
      <c r="G152"/>
      <c r="H152"/>
      <c r="I152"/>
    </row>
  </sheetData>
  <dataConsolidate/>
  <mergeCells count="13">
    <mergeCell ref="A12:A16"/>
    <mergeCell ref="E13:I13"/>
    <mergeCell ref="C15:E15"/>
    <mergeCell ref="A19:A26"/>
    <mergeCell ref="A27:A32"/>
    <mergeCell ref="A35:A60"/>
    <mergeCell ref="AL35:BG35"/>
    <mergeCell ref="BQ35:CL35"/>
    <mergeCell ref="AL33:BG33"/>
    <mergeCell ref="B72:B74"/>
    <mergeCell ref="BQ33:CL33"/>
    <mergeCell ref="AL34:BG34"/>
    <mergeCell ref="BQ34:CL34"/>
  </mergeCells>
  <conditionalFormatting sqref="B85">
    <cfRule type="expression" dxfId="46" priority="10">
      <formula>dms_Model="EB"</formula>
    </cfRule>
  </conditionalFormatting>
  <conditionalFormatting sqref="B87">
    <cfRule type="expression" dxfId="45" priority="11">
      <formula>dms_Model="CA"</formula>
    </cfRule>
  </conditionalFormatting>
  <conditionalFormatting sqref="B95">
    <cfRule type="expression" dxfId="44" priority="8">
      <formula>IF(OR(dms_Model="ARR",dms_Model="Reset"),"True")</formula>
    </cfRule>
  </conditionalFormatting>
  <conditionalFormatting sqref="B108">
    <cfRule type="expression" dxfId="43" priority="9">
      <formula>dms_Model="ARR"</formula>
    </cfRule>
  </conditionalFormatting>
  <conditionalFormatting sqref="B114">
    <cfRule type="expression" dxfId="42" priority="3">
      <formula>AND(dms_Model="Reset",dms_Segment="Transmission")</formula>
    </cfRule>
  </conditionalFormatting>
  <conditionalFormatting sqref="C24">
    <cfRule type="expression" dxfId="41" priority="13">
      <formula>SUM(dms_SingleYear_Model)&gt;0</formula>
    </cfRule>
  </conditionalFormatting>
  <conditionalFormatting sqref="C62">
    <cfRule type="cellIs" dxfId="40" priority="4" operator="equal">
      <formula>"YES"</formula>
    </cfRule>
  </conditionalFormatting>
  <conditionalFormatting sqref="C64">
    <cfRule type="expression" dxfId="39" priority="12">
      <formula>dms_MultiYear_Flag=1</formula>
    </cfRule>
  </conditionalFormatting>
  <conditionalFormatting sqref="C76">
    <cfRule type="cellIs" dxfId="38" priority="1" operator="greaterThan">
      <formula>0</formula>
    </cfRule>
  </conditionalFormatting>
  <conditionalFormatting sqref="C80 C83">
    <cfRule type="cellIs" dxfId="37" priority="2" operator="greaterThan">
      <formula>0</formula>
    </cfRule>
  </conditionalFormatting>
  <conditionalFormatting sqref="C93">
    <cfRule type="cellIs" dxfId="35" priority="7" operator="equal">
      <formula>"error"</formula>
    </cfRule>
  </conditionalFormatting>
  <conditionalFormatting sqref="C131 C135">
    <cfRule type="cellIs" dxfId="34" priority="5" operator="equal">
      <formula>"YES"</formula>
    </cfRule>
  </conditionalFormatting>
  <dataValidations count="9">
    <dataValidation type="list" allowBlank="1" showInputMessage="1" showErrorMessage="1" sqref="C12" xr:uid="{00000000-0002-0000-0200-000000000000}">
      <formula1>dms_SourceList</formula1>
    </dataValidation>
    <dataValidation type="list" allowBlank="1" showInputMessage="1" showErrorMessage="1" sqref="C18 C62" xr:uid="{00000000-0002-0000-0200-000001000000}">
      <formula1>"Yes, No"</formula1>
    </dataValidation>
    <dataValidation type="list" allowBlank="1" showInputMessage="1" showErrorMessage="1" sqref="C25" xr:uid="{00000000-0002-0000-0200-000002000000}">
      <formula1>"Public, Confidential"</formula1>
    </dataValidation>
    <dataValidation type="list" allowBlank="1" showInputMessage="1" showErrorMessage="1" sqref="C23" xr:uid="{00000000-0002-0000-0200-000003000000}">
      <formula1>"Financial, Calendar, Other"</formula1>
    </dataValidation>
    <dataValidation type="list" allowBlank="1" showInputMessage="1" showErrorMessage="1" sqref="C13" xr:uid="{00000000-0002-0000-0200-000004000000}">
      <formula1>dms_DataQuality_List</formula1>
    </dataValidation>
    <dataValidation type="list" allowBlank="1" showInputMessage="1" showErrorMessage="1" promptTitle="Model" prompt="Make sure corresponding Source type is correctly selected !!!_x000a__x000a_eg: ABC=Reporting, Reset=Regulatory proposal  etc" sqref="C11" xr:uid="{00000000-0002-0000-0200-000005000000}">
      <formula1>dms_Model_List</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4" xr:uid="{00000000-0002-0000-0200-000006000000}"/>
    <dataValidation type="list" allowBlank="1" showInputMessage="1" showErrorMessage="1" sqref="C128 C135 C131" xr:uid="{00000000-0002-0000-0200-000007000000}">
      <formula1>"YES, NO"</formula1>
    </dataValidation>
    <dataValidation type="list" allowBlank="1" showInputMessage="1" showErrorMessage="1" sqref="C14" xr:uid="{00000000-0002-0000-0200-000008000000}">
      <formula1>dms_Confid_status_List</formula1>
    </dataValidation>
  </dataValidations>
  <pageMargins left="0.25" right="0.25" top="0.75" bottom="0.75" header="0.3" footer="0.3"/>
  <pageSetup paperSize="9" scale="90" orientation="landscape" r:id="rId1"/>
  <extLst>
    <ext xmlns:x14="http://schemas.microsoft.com/office/spreadsheetml/2009/9/main" uri="{78C0D931-6437-407d-A8EE-F0AAD7539E65}">
      <x14:conditionalFormattings>
        <x14:conditionalFormatting xmlns:xm="http://schemas.microsoft.com/office/excel/2006/main">
          <x14:cfRule type="containsText" priority="6" operator="containsText" id="{4216B402-468C-40BA-A3D0-E8242380C837}">
            <xm:f>NOT(ISERROR(SEARCH("error - NR not present",C91)))</xm:f>
            <xm:f>"error - NR not present"</xm:f>
            <x14:dxf>
              <font>
                <color rgb="FF9C0006"/>
              </font>
              <fill>
                <patternFill>
                  <bgColor rgb="FFFFC7CE"/>
                </patternFill>
              </fill>
            </x14:dxf>
          </x14:cfRule>
          <xm:sqref>C91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4" tint="-0.499984740745262"/>
  </sheetPr>
  <dimension ref="A1:CU77"/>
  <sheetViews>
    <sheetView showGridLines="0" tabSelected="1" zoomScale="70" zoomScaleNormal="70" workbookViewId="0"/>
  </sheetViews>
  <sheetFormatPr defaultRowHeight="15" x14ac:dyDescent="0.25"/>
  <cols>
    <col min="1" max="96" width="2.7109375" customWidth="1"/>
  </cols>
  <sheetData>
    <row r="1" spans="1:96" ht="44.25" customHeight="1" x14ac:dyDescent="0.25">
      <c r="H1" s="1050"/>
      <c r="I1" s="1050"/>
      <c r="J1" s="1050"/>
      <c r="K1" s="1050"/>
      <c r="L1" s="1050"/>
      <c r="M1" s="1050"/>
      <c r="N1" s="1050"/>
      <c r="O1" s="1050"/>
      <c r="P1" s="1050"/>
      <c r="Q1" s="817"/>
      <c r="R1" s="817"/>
      <c r="S1" s="817"/>
      <c r="T1" s="817"/>
      <c r="U1" s="817"/>
      <c r="V1" s="17" t="str">
        <f>INDEX(dms_Worksheet_List,MATCH(dms_Model,dms_Model_List))</f>
        <v>REGULATORY REPORTING STATEMENT</v>
      </c>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817"/>
      <c r="BJ1" s="817"/>
      <c r="BK1" s="817"/>
      <c r="BL1" s="817"/>
      <c r="BM1" s="817"/>
      <c r="BN1" s="817"/>
      <c r="BO1" s="817"/>
      <c r="BP1" s="817"/>
      <c r="BQ1" s="817"/>
      <c r="BR1" s="817"/>
      <c r="BS1" s="817"/>
      <c r="BT1" s="817"/>
      <c r="BU1" s="817"/>
      <c r="BV1" s="817"/>
      <c r="BW1" s="817"/>
      <c r="BX1" s="817"/>
      <c r="BY1" s="817"/>
      <c r="BZ1" s="817"/>
      <c r="CA1" s="817"/>
      <c r="CB1" s="817"/>
      <c r="CC1" s="817"/>
      <c r="CD1" s="817"/>
      <c r="CE1" s="817"/>
      <c r="CF1" s="817"/>
      <c r="CG1" s="817"/>
      <c r="CH1" s="817"/>
      <c r="CI1" s="817"/>
      <c r="CJ1" s="817"/>
      <c r="CK1" s="817"/>
      <c r="CL1" s="817"/>
      <c r="CM1" s="817"/>
      <c r="CN1" s="817"/>
      <c r="CO1" s="817"/>
      <c r="CP1" s="817"/>
    </row>
    <row r="2" spans="1:96" ht="44.25" customHeight="1" x14ac:dyDescent="0.25">
      <c r="H2" s="1050"/>
      <c r="I2" s="1050"/>
      <c r="J2" s="1050"/>
      <c r="K2" s="1050"/>
      <c r="L2" s="1050"/>
      <c r="M2" s="1050"/>
      <c r="N2" s="1050"/>
      <c r="O2" s="1050"/>
      <c r="P2" s="1050"/>
      <c r="Q2" s="817"/>
      <c r="R2" s="817"/>
      <c r="S2" s="817"/>
      <c r="T2" s="817"/>
      <c r="U2" s="817"/>
      <c r="V2" s="16" t="str">
        <f>INDEX(dms_TradingNameFull_List,MATCH(dms_TradingName,dms_TradingName_List))</f>
        <v>Australian Gas Networks Limited (reporting data for SA)</v>
      </c>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817"/>
      <c r="BJ2" s="817"/>
      <c r="BK2" s="817"/>
      <c r="BL2" s="817"/>
      <c r="BM2" s="817"/>
      <c r="BN2" s="817"/>
      <c r="BO2" s="817"/>
      <c r="BP2" s="817"/>
      <c r="BQ2" s="817"/>
      <c r="BR2" s="817"/>
      <c r="BS2" s="817"/>
      <c r="BT2" s="817"/>
      <c r="BU2" s="817"/>
      <c r="BV2" s="817"/>
      <c r="BW2" s="817"/>
      <c r="BX2" s="817"/>
      <c r="BY2" s="817"/>
      <c r="BZ2" s="817"/>
      <c r="CA2" s="817"/>
      <c r="CB2" s="817"/>
      <c r="CC2" s="817"/>
      <c r="CD2" s="817"/>
      <c r="CE2" s="817"/>
      <c r="CF2" s="817"/>
      <c r="CG2" s="817"/>
      <c r="CH2" s="817"/>
      <c r="CI2" s="817"/>
      <c r="CJ2" s="817"/>
      <c r="CK2" s="817"/>
      <c r="CL2" s="817"/>
      <c r="CM2" s="817"/>
      <c r="CN2" s="817"/>
      <c r="CO2" s="817"/>
      <c r="CP2" s="817"/>
    </row>
    <row r="3" spans="1:96" ht="44.25" customHeight="1" x14ac:dyDescent="0.25">
      <c r="H3" s="1050"/>
      <c r="I3" s="1050"/>
      <c r="J3" s="1050"/>
      <c r="K3" s="1050"/>
      <c r="L3" s="1050"/>
      <c r="M3" s="1050"/>
      <c r="N3" s="1050"/>
      <c r="O3" s="1050"/>
      <c r="P3" s="1050"/>
      <c r="Q3" s="817"/>
      <c r="R3" s="817"/>
      <c r="S3" s="817"/>
      <c r="T3" s="817"/>
      <c r="U3" s="817"/>
      <c r="V3" s="818" t="str">
        <f ca="1">dms_Header_Span</f>
        <v>2025-26 to 2030-31</v>
      </c>
      <c r="W3" s="818"/>
      <c r="X3" s="818"/>
      <c r="Y3" s="818"/>
      <c r="Z3" s="818"/>
      <c r="AA3" s="818"/>
      <c r="AB3" s="818"/>
      <c r="AC3" s="818"/>
      <c r="AD3" s="818"/>
      <c r="AE3" s="818"/>
      <c r="AF3" s="818"/>
      <c r="AG3" s="818"/>
      <c r="AH3" s="818"/>
      <c r="AI3" s="818"/>
      <c r="AJ3" s="818"/>
      <c r="AK3" s="818"/>
      <c r="AL3" s="818"/>
      <c r="AM3" s="818"/>
      <c r="AN3" s="818"/>
      <c r="AO3" s="818"/>
      <c r="AP3" s="818"/>
      <c r="AQ3" s="818"/>
      <c r="AR3" s="818"/>
      <c r="AS3" s="818"/>
      <c r="AT3" s="818"/>
      <c r="AU3" s="818"/>
      <c r="AV3" s="818"/>
      <c r="AW3" s="818"/>
      <c r="AX3" s="818"/>
      <c r="AY3" s="818"/>
      <c r="AZ3" s="818"/>
      <c r="BA3" s="818"/>
      <c r="BB3" s="818"/>
      <c r="BC3" s="818"/>
      <c r="BD3" s="818"/>
      <c r="BE3" s="818"/>
      <c r="BF3" s="818"/>
      <c r="BG3" s="818"/>
      <c r="BH3" s="818"/>
      <c r="BI3" s="817"/>
      <c r="BJ3" s="817"/>
      <c r="BK3" s="817"/>
      <c r="BL3" s="817"/>
      <c r="BM3" s="817"/>
      <c r="BN3" s="817"/>
      <c r="BO3" s="817"/>
      <c r="BP3" s="817"/>
      <c r="BQ3" s="817"/>
      <c r="BR3" s="817"/>
      <c r="BS3" s="817"/>
      <c r="BT3" s="817"/>
      <c r="BU3" s="817"/>
      <c r="BV3" s="817"/>
      <c r="BW3" s="817"/>
      <c r="BX3" s="817"/>
      <c r="BY3" s="817"/>
      <c r="BZ3" s="817"/>
      <c r="CA3" s="817"/>
      <c r="CB3" s="817"/>
      <c r="CC3" s="817"/>
      <c r="CD3" s="817"/>
      <c r="CE3" s="817"/>
      <c r="CF3" s="817"/>
      <c r="CG3" s="817"/>
      <c r="CH3" s="817"/>
      <c r="CI3" s="817"/>
      <c r="CJ3" s="817"/>
      <c r="CK3" s="817"/>
      <c r="CL3" s="817"/>
      <c r="CM3" s="817"/>
      <c r="CN3" s="817"/>
      <c r="CO3" s="817"/>
      <c r="CP3" s="817"/>
    </row>
    <row r="4" spans="1:96" ht="31.5" customHeight="1" x14ac:dyDescent="0.25">
      <c r="Q4" s="14"/>
      <c r="R4" s="14"/>
      <c r="S4" s="14"/>
      <c r="T4" s="14"/>
      <c r="U4" s="14"/>
      <c r="V4" s="1051" t="s">
        <v>862</v>
      </c>
      <c r="W4" s="1051"/>
      <c r="X4" s="1051"/>
      <c r="Y4" s="1051"/>
      <c r="Z4" s="1051"/>
      <c r="AA4" s="1051"/>
      <c r="AB4" s="1051"/>
      <c r="AC4" s="1051"/>
      <c r="AD4" s="1051"/>
      <c r="AE4" s="1051"/>
      <c r="AF4" s="1051"/>
      <c r="AG4" s="1051"/>
      <c r="AH4" s="1051"/>
      <c r="AI4" s="1051"/>
      <c r="AJ4" s="1051"/>
      <c r="AK4" s="1051"/>
      <c r="AL4" s="1051"/>
      <c r="AM4" s="1051"/>
      <c r="AN4" s="1051"/>
      <c r="AO4" s="1051"/>
      <c r="AP4" s="1051"/>
      <c r="AQ4" s="1051"/>
      <c r="AR4" s="1051"/>
      <c r="AS4" s="1051"/>
      <c r="AT4" s="1051"/>
      <c r="AU4" s="1051"/>
      <c r="AV4" s="1051"/>
      <c r="AW4" s="1051"/>
      <c r="AX4" s="1051"/>
      <c r="AY4" s="1051"/>
      <c r="AZ4" s="1051"/>
      <c r="BA4" s="1051"/>
      <c r="BB4" s="1051"/>
      <c r="BC4" s="1051"/>
      <c r="BD4" s="1051"/>
      <c r="BE4" s="1051"/>
      <c r="BF4" s="1051"/>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row>
    <row r="6" spans="1:96" ht="20.25" x14ac:dyDescent="0.25">
      <c r="H6" s="813"/>
      <c r="I6" s="813"/>
      <c r="J6" s="813"/>
      <c r="K6" s="813"/>
      <c r="L6" s="813"/>
      <c r="M6" s="813"/>
      <c r="N6" s="813"/>
      <c r="O6" s="813"/>
      <c r="P6" s="813"/>
      <c r="Q6" s="815"/>
      <c r="R6" s="815"/>
      <c r="S6" s="815"/>
      <c r="T6" s="815"/>
      <c r="U6" s="815"/>
      <c r="V6" s="816" t="s">
        <v>863</v>
      </c>
      <c r="W6" s="815"/>
      <c r="X6" s="815"/>
      <c r="Y6" s="815"/>
      <c r="Z6" s="815"/>
      <c r="AA6" s="815"/>
      <c r="AB6" s="815"/>
      <c r="AC6" s="815"/>
      <c r="AD6" s="815"/>
      <c r="AE6" s="815"/>
      <c r="AF6" s="815"/>
      <c r="AG6" s="815"/>
      <c r="AH6" s="815"/>
      <c r="AI6" s="815"/>
      <c r="AJ6" s="815"/>
      <c r="AK6" s="815"/>
      <c r="AL6" s="815"/>
      <c r="AM6" s="815"/>
      <c r="AN6" s="815"/>
      <c r="AO6" s="815"/>
      <c r="AP6" s="815"/>
      <c r="AQ6" s="815"/>
      <c r="AR6" s="815"/>
      <c r="AS6" s="815"/>
      <c r="AT6" s="815"/>
      <c r="AU6" s="815"/>
      <c r="AV6" s="815"/>
      <c r="AW6" s="815"/>
      <c r="AX6" s="815"/>
      <c r="AY6" s="815"/>
      <c r="AZ6" s="815"/>
      <c r="BA6" s="815"/>
      <c r="BB6" s="815"/>
      <c r="BC6" s="815"/>
      <c r="BD6" s="815"/>
      <c r="BE6" s="815"/>
      <c r="BF6" s="815"/>
      <c r="BG6" s="815"/>
      <c r="BH6" s="815"/>
      <c r="BI6" s="815"/>
      <c r="BJ6" s="815"/>
      <c r="BK6" s="815"/>
      <c r="BL6" s="815"/>
      <c r="BM6" s="815"/>
      <c r="BN6" s="815"/>
      <c r="BO6" s="815"/>
      <c r="BP6" s="815"/>
      <c r="BQ6" s="815"/>
      <c r="BR6" s="815"/>
      <c r="BS6" s="815"/>
      <c r="BT6" s="815"/>
      <c r="BU6" s="815"/>
      <c r="BV6" s="815"/>
      <c r="BW6" s="815"/>
      <c r="BX6" s="815"/>
      <c r="BY6" s="815"/>
      <c r="BZ6" s="815"/>
      <c r="CA6" s="815"/>
      <c r="CB6" s="815"/>
      <c r="CC6" s="815"/>
      <c r="CD6" s="815"/>
      <c r="CE6" s="815"/>
      <c r="CF6" s="815"/>
      <c r="CG6" s="815"/>
      <c r="CH6" s="815"/>
      <c r="CI6" s="815"/>
      <c r="CJ6" s="815"/>
      <c r="CK6" s="815"/>
      <c r="CL6" s="815"/>
      <c r="CM6" s="815"/>
      <c r="CN6" s="815"/>
      <c r="CO6" s="815"/>
      <c r="CP6" s="815"/>
    </row>
    <row r="7" spans="1:96" ht="50.25" customHeight="1" x14ac:dyDescent="0.25">
      <c r="H7" s="813"/>
      <c r="I7" s="813"/>
      <c r="J7" s="813"/>
      <c r="K7" s="813"/>
      <c r="L7" s="813"/>
      <c r="M7" s="813"/>
      <c r="N7" s="813"/>
      <c r="O7" s="813"/>
      <c r="P7" s="813"/>
      <c r="Q7" s="815"/>
      <c r="R7" s="815"/>
      <c r="S7" s="815"/>
      <c r="T7" s="815"/>
      <c r="U7" s="815"/>
      <c r="V7" s="1052" t="s">
        <v>864</v>
      </c>
      <c r="W7" s="1052"/>
      <c r="X7" s="1052"/>
      <c r="Y7" s="1052"/>
      <c r="Z7" s="1052"/>
      <c r="AA7" s="1052"/>
      <c r="AB7" s="1052"/>
      <c r="AC7" s="1052"/>
      <c r="AD7" s="1052"/>
      <c r="AE7" s="1052"/>
      <c r="AF7" s="1052"/>
      <c r="AG7" s="1052"/>
      <c r="AH7" s="1052"/>
      <c r="AI7" s="1052"/>
      <c r="AJ7" s="1052"/>
      <c r="AK7" s="1052"/>
      <c r="AL7" s="1052"/>
      <c r="AM7" s="1052"/>
      <c r="AN7" s="1052"/>
      <c r="AO7" s="1052"/>
      <c r="AP7" s="1052"/>
      <c r="AQ7" s="1052"/>
      <c r="AR7" s="1052"/>
      <c r="AS7" s="1052"/>
      <c r="AT7" s="1052"/>
      <c r="AU7" s="1052"/>
      <c r="AV7" s="1052"/>
      <c r="AW7" s="1052"/>
      <c r="AX7" s="1052"/>
      <c r="AY7" s="1052"/>
      <c r="AZ7" s="1052"/>
      <c r="BA7" s="1052"/>
      <c r="BB7" s="1052"/>
      <c r="BC7" s="1052"/>
      <c r="BD7" s="1052"/>
      <c r="BE7" s="1052"/>
      <c r="BF7" s="1052"/>
      <c r="BG7" s="1052"/>
      <c r="BH7" s="1052"/>
      <c r="BI7" s="1052"/>
      <c r="BJ7" s="1052"/>
      <c r="BK7" s="1052"/>
      <c r="BL7" s="1052"/>
      <c r="BM7" s="1052"/>
      <c r="BN7" s="1052"/>
      <c r="BO7" s="1052"/>
      <c r="BP7" s="1052"/>
      <c r="BQ7" s="1052"/>
      <c r="BR7" s="1052"/>
      <c r="BS7" s="1052"/>
      <c r="BT7" s="1052"/>
      <c r="BU7" s="1052"/>
      <c r="BV7" s="1052"/>
      <c r="BW7" s="1052"/>
      <c r="BX7" s="1052"/>
      <c r="BY7" s="815"/>
      <c r="BZ7" s="815"/>
      <c r="CA7" s="815"/>
      <c r="CB7" s="815"/>
      <c r="CC7" s="815"/>
      <c r="CD7" s="815"/>
      <c r="CE7" s="815"/>
      <c r="CF7" s="815"/>
      <c r="CG7" s="815"/>
      <c r="CH7" s="815"/>
      <c r="CI7" s="815"/>
      <c r="CJ7" s="815"/>
      <c r="CK7" s="815"/>
      <c r="CL7" s="815"/>
      <c r="CM7" s="815"/>
      <c r="CN7" s="815"/>
      <c r="CO7" s="815"/>
      <c r="CP7" s="815"/>
    </row>
    <row r="8" spans="1:96" ht="20.25" x14ac:dyDescent="0.25">
      <c r="H8" s="813"/>
      <c r="I8" s="813"/>
      <c r="J8" s="813"/>
      <c r="K8" s="813"/>
      <c r="L8" s="813"/>
      <c r="M8" s="813"/>
      <c r="N8" s="813"/>
      <c r="O8" s="813"/>
      <c r="P8" s="813"/>
      <c r="Q8" s="813"/>
      <c r="R8" s="813"/>
      <c r="S8" s="813"/>
      <c r="T8" s="813"/>
      <c r="U8" s="813"/>
      <c r="V8" s="814"/>
      <c r="W8" s="814"/>
      <c r="X8" s="814"/>
      <c r="Y8" s="814"/>
      <c r="Z8" s="814"/>
      <c r="AA8" s="814"/>
      <c r="AB8" s="814"/>
      <c r="AC8" s="814"/>
      <c r="AD8" s="814"/>
      <c r="AE8" s="814"/>
      <c r="AF8" s="814"/>
      <c r="AG8" s="814"/>
      <c r="AH8" s="814"/>
      <c r="AI8" s="814"/>
      <c r="AJ8" s="814"/>
      <c r="AK8" s="814"/>
      <c r="AL8" s="814"/>
      <c r="AM8" s="814"/>
      <c r="AN8" s="814"/>
      <c r="AO8" s="814"/>
      <c r="AP8" s="814"/>
      <c r="AQ8" s="814"/>
      <c r="AR8" s="814"/>
      <c r="AS8" s="814"/>
      <c r="AT8" s="814"/>
      <c r="AU8" s="814"/>
      <c r="AV8" s="814"/>
      <c r="AW8" s="814"/>
      <c r="AX8" s="814"/>
      <c r="AY8" s="814"/>
      <c r="AZ8" s="814"/>
      <c r="BA8" s="814"/>
      <c r="BB8" s="814"/>
      <c r="BC8" s="814"/>
      <c r="BD8" s="814"/>
      <c r="BE8" s="814"/>
      <c r="BF8" s="814"/>
      <c r="BG8" s="814"/>
      <c r="BH8" s="814"/>
      <c r="BI8" s="814"/>
      <c r="BJ8" s="814"/>
      <c r="BK8" s="814"/>
      <c r="BL8" s="814"/>
      <c r="BM8" s="814"/>
      <c r="BN8" s="814"/>
      <c r="BO8" s="814"/>
      <c r="BP8" s="814"/>
      <c r="BQ8" s="814"/>
      <c r="BR8" s="814"/>
      <c r="BS8" s="814"/>
      <c r="BT8" s="814"/>
      <c r="BU8" s="814"/>
      <c r="BV8" s="814"/>
      <c r="BW8" s="814"/>
      <c r="BX8" s="814"/>
      <c r="BY8" s="813"/>
      <c r="BZ8" s="813"/>
      <c r="CA8" s="813"/>
      <c r="CB8" s="813"/>
      <c r="CC8" s="813"/>
      <c r="CD8" s="813"/>
      <c r="CE8" s="813"/>
      <c r="CF8" s="813"/>
      <c r="CG8" s="813"/>
      <c r="CH8" s="813"/>
      <c r="CI8" s="813"/>
      <c r="CJ8" s="813"/>
      <c r="CK8" s="813"/>
      <c r="CL8" s="813"/>
      <c r="CM8" s="813"/>
      <c r="CN8" s="813"/>
      <c r="CO8" s="813"/>
      <c r="CP8" s="813"/>
    </row>
    <row r="9" spans="1:96" s="811" customFormat="1" ht="45" customHeight="1" x14ac:dyDescent="0.25">
      <c r="H9" s="812"/>
      <c r="I9" s="812"/>
      <c r="J9" s="812"/>
      <c r="K9" s="812"/>
      <c r="L9" s="812"/>
      <c r="M9" s="812"/>
      <c r="N9" s="812"/>
      <c r="O9" s="812"/>
      <c r="P9" s="812"/>
      <c r="Q9" s="1053" t="s">
        <v>865</v>
      </c>
      <c r="R9" s="1053"/>
      <c r="S9" s="1053"/>
      <c r="T9" s="1053"/>
      <c r="U9" s="1053"/>
      <c r="V9" s="1053"/>
      <c r="W9" s="1053"/>
      <c r="X9" s="1053"/>
      <c r="Y9" s="1053"/>
      <c r="Z9" s="1053"/>
      <c r="AA9" s="1053"/>
      <c r="AB9" s="1053"/>
      <c r="AC9" s="1053"/>
      <c r="AD9" s="1053"/>
      <c r="AE9" s="1053"/>
      <c r="AF9" s="1053"/>
      <c r="AG9" s="1053"/>
      <c r="AH9" s="1053"/>
      <c r="AI9" s="1053"/>
      <c r="AJ9" s="1053"/>
      <c r="AK9" s="1053"/>
      <c r="AL9" s="1053"/>
      <c r="AM9" s="1053"/>
      <c r="AN9" s="1053"/>
      <c r="AO9" s="1053"/>
      <c r="AP9" s="1053"/>
      <c r="AQ9" s="1053"/>
      <c r="AR9" s="1053"/>
      <c r="AS9" s="1053"/>
      <c r="AT9" s="1053"/>
      <c r="AU9" s="1053"/>
      <c r="AV9" s="1053"/>
      <c r="AW9" s="1053"/>
      <c r="AX9" s="1053"/>
      <c r="AY9" s="1053"/>
      <c r="AZ9" s="1053"/>
      <c r="BA9" s="1053"/>
      <c r="BB9" s="1053"/>
      <c r="BC9" s="1053"/>
      <c r="BD9" s="1053"/>
      <c r="BE9" s="1053"/>
      <c r="BF9" s="1053"/>
      <c r="BG9" s="1053"/>
      <c r="BH9" s="1053"/>
      <c r="BI9" s="1053"/>
      <c r="BJ9" s="1053"/>
      <c r="BK9" s="1053"/>
      <c r="BL9" s="1053"/>
      <c r="BM9" s="1053"/>
      <c r="BN9" s="1053"/>
      <c r="BO9" s="1053"/>
      <c r="BP9" s="1053"/>
      <c r="BQ9" s="1053"/>
      <c r="BR9" s="1053"/>
      <c r="BS9" s="1053"/>
      <c r="BT9" s="1053"/>
      <c r="BU9" s="1053"/>
      <c r="BV9" s="1053"/>
      <c r="BW9" s="1053"/>
      <c r="BX9" s="1053"/>
      <c r="BY9" s="1053"/>
      <c r="BZ9" s="1053"/>
      <c r="CA9" s="1053"/>
      <c r="CB9" s="1053"/>
      <c r="CC9" s="1053"/>
      <c r="CD9" s="1053"/>
      <c r="CE9" s="1053"/>
      <c r="CF9" s="1053"/>
      <c r="CG9" s="1053"/>
      <c r="CH9" s="1053"/>
      <c r="CI9" s="1053"/>
      <c r="CJ9" s="1053"/>
      <c r="CK9" s="1053"/>
      <c r="CL9" s="1053"/>
      <c r="CM9" s="1053"/>
      <c r="CN9" s="1053"/>
      <c r="CO9" s="1053"/>
      <c r="CP9" s="1053"/>
      <c r="CQ9"/>
      <c r="CR9"/>
    </row>
    <row r="10" spans="1:96" x14ac:dyDescent="0.25">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row>
    <row r="11" spans="1:96" ht="12" customHeight="1" x14ac:dyDescent="0.4">
      <c r="H11" s="809"/>
      <c r="I11" s="809"/>
      <c r="J11" s="809"/>
      <c r="K11" s="809"/>
      <c r="L11" s="809"/>
      <c r="M11" s="809"/>
      <c r="N11" s="809"/>
      <c r="O11" s="809"/>
      <c r="P11" s="809"/>
      <c r="Q11" s="810"/>
      <c r="R11" s="810"/>
      <c r="S11" s="810"/>
      <c r="T11" s="810"/>
      <c r="U11" s="810"/>
      <c r="V11" s="810"/>
      <c r="W11" s="810"/>
      <c r="X11" s="810"/>
      <c r="Y11" s="810"/>
      <c r="Z11" s="810"/>
      <c r="AA11" s="810"/>
      <c r="AB11" s="810"/>
      <c r="AC11" s="810"/>
      <c r="AD11" s="810"/>
      <c r="AE11" s="810"/>
      <c r="AF11" s="810"/>
      <c r="AG11" s="810"/>
      <c r="AH11" s="810"/>
      <c r="AI11" s="810"/>
      <c r="AJ11" s="810"/>
      <c r="AK11" s="810"/>
      <c r="AL11" s="810"/>
      <c r="AM11" s="810"/>
      <c r="AN11" s="810"/>
      <c r="AO11" s="810"/>
      <c r="AP11" s="810"/>
      <c r="AQ11" s="810"/>
      <c r="AR11" s="810"/>
      <c r="AS11" s="810"/>
      <c r="AT11" s="810"/>
      <c r="AU11" s="810"/>
      <c r="AV11" s="810"/>
      <c r="AW11" s="810"/>
      <c r="AX11" s="810"/>
      <c r="AY11" s="810"/>
      <c r="AZ11" s="810"/>
      <c r="BA11" s="810"/>
      <c r="BB11" s="810"/>
      <c r="BC11" s="810"/>
      <c r="BD11" s="810"/>
      <c r="BE11" s="810"/>
      <c r="BF11" s="810"/>
      <c r="BG11" s="810"/>
      <c r="BH11" s="810"/>
      <c r="BI11" s="810"/>
      <c r="BJ11" s="810"/>
      <c r="BK11" s="810"/>
      <c r="BL11" s="810"/>
      <c r="BM11" s="810"/>
      <c r="BN11" s="810"/>
      <c r="BO11" s="810"/>
      <c r="BP11" s="810"/>
      <c r="BQ11" s="810"/>
      <c r="BR11" s="810"/>
      <c r="BS11" s="810"/>
      <c r="BT11" s="810"/>
      <c r="BU11" s="810"/>
      <c r="BV11" s="810"/>
      <c r="BW11" s="810"/>
      <c r="BX11" s="810"/>
      <c r="BY11" s="810"/>
      <c r="BZ11" s="810"/>
      <c r="CA11" s="810"/>
      <c r="CB11" s="810"/>
      <c r="CC11" s="810"/>
      <c r="CD11" s="810"/>
      <c r="CE11" s="810"/>
      <c r="CF11" s="810"/>
      <c r="CG11" s="810"/>
      <c r="CH11" s="810"/>
      <c r="CI11" s="810"/>
      <c r="CJ11" s="810"/>
      <c r="CK11" s="810"/>
      <c r="CL11" s="810"/>
      <c r="CM11" s="810"/>
      <c r="CN11" s="810"/>
      <c r="CO11" s="810"/>
      <c r="CP11" s="810"/>
    </row>
    <row r="12" spans="1:96" ht="30" x14ac:dyDescent="0.4">
      <c r="H12" s="809"/>
      <c r="I12" s="809"/>
      <c r="J12" s="809"/>
      <c r="K12" s="809"/>
      <c r="L12" s="809"/>
      <c r="M12" s="809"/>
      <c r="N12" s="809"/>
      <c r="O12" s="809"/>
      <c r="P12" s="809"/>
      <c r="Q12" s="807"/>
      <c r="R12" s="807"/>
      <c r="S12" s="807"/>
      <c r="T12" s="807"/>
      <c r="U12" s="807"/>
      <c r="V12" s="781" t="s">
        <v>866</v>
      </c>
      <c r="W12" s="781"/>
      <c r="X12" s="781"/>
      <c r="Y12" s="781"/>
      <c r="Z12" s="781"/>
      <c r="AA12" s="781"/>
      <c r="AB12" s="781"/>
      <c r="AC12" s="781"/>
      <c r="AD12" s="781"/>
      <c r="AE12" s="781"/>
      <c r="AF12" s="781"/>
      <c r="AG12" s="781"/>
      <c r="AH12" s="781"/>
      <c r="AI12" s="781"/>
      <c r="AJ12" s="781"/>
      <c r="AK12" s="781"/>
      <c r="AL12" s="781"/>
      <c r="AM12" s="781"/>
      <c r="AN12" s="781"/>
      <c r="AO12" s="781"/>
      <c r="AP12" s="781"/>
      <c r="AQ12" s="781"/>
      <c r="AR12" s="781"/>
      <c r="AS12" s="781"/>
      <c r="AT12" s="781"/>
      <c r="AU12" s="781"/>
      <c r="AV12" s="781"/>
      <c r="AW12" s="781"/>
      <c r="AX12" s="781"/>
      <c r="AY12" s="781"/>
      <c r="AZ12" s="781"/>
      <c r="BA12" s="781"/>
      <c r="BB12" s="781"/>
      <c r="BC12" s="781"/>
      <c r="BD12" s="781"/>
      <c r="BE12" s="781"/>
      <c r="BF12" s="781"/>
      <c r="BG12" s="781"/>
      <c r="BH12" s="781"/>
      <c r="BI12" s="781"/>
      <c r="BJ12" s="781"/>
      <c r="BK12" s="781"/>
      <c r="BL12" s="781"/>
      <c r="BM12" s="781"/>
      <c r="BN12" s="781"/>
      <c r="BO12" s="781"/>
      <c r="BP12" s="781"/>
      <c r="BQ12" s="781"/>
      <c r="BR12" s="781"/>
      <c r="BS12" s="781"/>
      <c r="BT12" s="781"/>
      <c r="BU12" s="781"/>
      <c r="BV12" s="781"/>
      <c r="BW12" s="781"/>
      <c r="BX12" s="781"/>
      <c r="BY12" s="781"/>
      <c r="BZ12" s="781"/>
      <c r="CA12" s="781"/>
      <c r="CB12" s="781"/>
      <c r="CC12" s="781"/>
      <c r="CD12" s="781"/>
      <c r="CE12" s="781"/>
      <c r="CF12" s="781"/>
      <c r="CG12" s="781"/>
      <c r="CH12" s="781"/>
      <c r="CI12" s="781"/>
      <c r="CJ12" s="808"/>
      <c r="CK12" s="808"/>
      <c r="CL12" s="808"/>
      <c r="CM12" s="807"/>
      <c r="CN12" s="807"/>
      <c r="CO12" s="807"/>
      <c r="CP12" s="807"/>
    </row>
    <row r="13" spans="1:96" x14ac:dyDescent="0.25">
      <c r="H13" s="12"/>
      <c r="I13" s="12"/>
      <c r="J13" s="12"/>
      <c r="K13" s="12"/>
      <c r="L13" s="12"/>
      <c r="M13" s="12"/>
      <c r="N13" s="12"/>
      <c r="O13" s="12"/>
      <c r="P13" s="12"/>
      <c r="Q13" s="806"/>
      <c r="R13" s="806"/>
      <c r="S13" s="806"/>
      <c r="T13" s="806"/>
      <c r="U13" s="806"/>
      <c r="V13" s="806"/>
      <c r="W13" s="806"/>
      <c r="X13" s="806"/>
      <c r="Y13" s="806"/>
      <c r="Z13" s="806"/>
      <c r="AA13" s="806"/>
      <c r="AB13" s="806"/>
      <c r="AC13" s="806"/>
      <c r="AD13" s="806"/>
      <c r="AE13" s="806"/>
      <c r="AF13" s="806"/>
      <c r="AG13" s="806"/>
      <c r="AH13" s="806"/>
      <c r="AI13" s="806"/>
      <c r="AJ13" s="806"/>
      <c r="AK13" s="806"/>
      <c r="AL13" s="806"/>
      <c r="AM13" s="806"/>
      <c r="AN13" s="806"/>
      <c r="AO13" s="806"/>
      <c r="AP13" s="806"/>
      <c r="AQ13" s="806"/>
      <c r="AR13" s="806"/>
      <c r="AS13" s="806"/>
      <c r="AT13" s="806"/>
      <c r="AU13" s="806"/>
      <c r="AV13" s="806"/>
      <c r="AW13" s="806"/>
      <c r="AX13" s="806"/>
      <c r="AY13" s="806"/>
      <c r="AZ13" s="806"/>
      <c r="BA13" s="806"/>
      <c r="BB13" s="806"/>
      <c r="BC13" s="806"/>
      <c r="BD13" s="806"/>
      <c r="BE13" s="806"/>
      <c r="BF13" s="806"/>
      <c r="BG13" s="806"/>
      <c r="BH13" s="806"/>
      <c r="BI13" s="806"/>
      <c r="BJ13" s="806"/>
      <c r="BK13" s="806"/>
      <c r="BL13" s="806"/>
      <c r="BM13" s="806"/>
      <c r="BN13" s="806"/>
      <c r="BO13" s="806"/>
      <c r="BP13" s="806"/>
      <c r="BQ13" s="806"/>
      <c r="BR13" s="806"/>
      <c r="BS13" s="806"/>
      <c r="BT13" s="806"/>
      <c r="BU13" s="806"/>
      <c r="BV13" s="806"/>
      <c r="BW13" s="806"/>
      <c r="BX13" s="806"/>
      <c r="BY13" s="806"/>
      <c r="BZ13" s="806"/>
      <c r="CA13" s="806"/>
      <c r="CB13" s="806"/>
      <c r="CC13" s="806"/>
      <c r="CD13" s="806"/>
      <c r="CE13" s="806"/>
      <c r="CF13" s="806"/>
      <c r="CG13" s="806"/>
      <c r="CH13" s="806"/>
      <c r="CI13" s="806"/>
      <c r="CJ13" s="806"/>
      <c r="CK13" s="806"/>
      <c r="CL13" s="806"/>
      <c r="CM13" s="806"/>
      <c r="CN13" s="806"/>
      <c r="CO13" s="806"/>
      <c r="CP13" s="806"/>
    </row>
    <row r="14" spans="1:96" ht="18" x14ac:dyDescent="0.25">
      <c r="H14" s="9"/>
      <c r="I14" s="9"/>
      <c r="J14" s="9"/>
      <c r="K14" s="9"/>
      <c r="L14" s="9"/>
      <c r="M14" s="9"/>
      <c r="N14" s="9"/>
      <c r="O14" s="9"/>
      <c r="P14" s="9"/>
      <c r="Q14" s="774"/>
      <c r="R14" s="774"/>
      <c r="S14" s="774"/>
      <c r="T14" s="774"/>
      <c r="U14" s="774"/>
      <c r="V14" s="798" t="s">
        <v>867</v>
      </c>
      <c r="W14" s="798"/>
      <c r="X14" s="798"/>
      <c r="Y14" s="798"/>
      <c r="Z14" s="798"/>
      <c r="AA14" s="798"/>
      <c r="AB14" s="798"/>
      <c r="AC14" s="798"/>
      <c r="AD14" s="798"/>
      <c r="AE14" s="798"/>
      <c r="AF14" s="798"/>
      <c r="AG14" s="798"/>
      <c r="AH14" s="798"/>
      <c r="AI14" s="798"/>
      <c r="AJ14" s="798"/>
      <c r="AK14" s="798"/>
      <c r="AL14" s="798"/>
      <c r="AM14" s="798"/>
      <c r="AN14" s="798"/>
      <c r="AO14" s="798"/>
      <c r="AP14" s="798"/>
      <c r="AQ14" s="798"/>
      <c r="AR14" s="798"/>
      <c r="AS14" s="798"/>
      <c r="AT14" s="798"/>
      <c r="AU14" s="798"/>
      <c r="AV14" s="798"/>
      <c r="AW14" s="798"/>
      <c r="AX14" s="798"/>
      <c r="AY14" s="798"/>
      <c r="AZ14" s="798"/>
      <c r="BA14" s="798"/>
      <c r="BB14" s="798"/>
      <c r="BC14" s="798"/>
      <c r="BD14" s="798"/>
      <c r="BE14" s="798"/>
      <c r="BF14" s="798"/>
      <c r="BG14" s="798"/>
      <c r="BH14" s="774"/>
      <c r="BI14" s="774"/>
      <c r="BJ14" s="774"/>
      <c r="BK14" s="774"/>
      <c r="BL14" s="774"/>
      <c r="BM14" s="774"/>
      <c r="BN14" s="774"/>
      <c r="BO14" s="774"/>
      <c r="BP14" s="774"/>
      <c r="BQ14" s="774"/>
      <c r="BR14" s="774"/>
      <c r="BS14" s="774"/>
      <c r="BT14" s="774"/>
      <c r="BU14" s="774"/>
      <c r="BV14" s="774"/>
      <c r="BW14" s="774"/>
      <c r="BX14" s="774"/>
      <c r="BY14" s="774"/>
      <c r="BZ14" s="774"/>
      <c r="CA14" s="774"/>
      <c r="CB14" s="774"/>
      <c r="CC14" s="774"/>
      <c r="CD14" s="774"/>
      <c r="CE14" s="774"/>
      <c r="CF14" s="774"/>
      <c r="CG14" s="774"/>
      <c r="CH14" s="774"/>
      <c r="CI14" s="774"/>
      <c r="CJ14" s="774"/>
      <c r="CK14" s="774"/>
      <c r="CL14" s="774"/>
      <c r="CM14" s="774"/>
      <c r="CN14" s="774"/>
      <c r="CO14" s="774"/>
      <c r="CP14" s="774"/>
    </row>
    <row r="15" spans="1:96" x14ac:dyDescent="0.25">
      <c r="H15" s="9"/>
      <c r="I15" s="9"/>
      <c r="J15" s="9"/>
      <c r="K15" s="9"/>
      <c r="L15" s="9"/>
      <c r="M15" s="9"/>
      <c r="N15" s="9"/>
      <c r="O15" s="9"/>
      <c r="P15" s="9"/>
      <c r="Q15" s="774"/>
      <c r="R15" s="774"/>
      <c r="S15" s="774"/>
      <c r="T15" s="774"/>
      <c r="U15" s="774"/>
      <c r="V15" s="774"/>
      <c r="W15" s="774"/>
      <c r="X15" s="774"/>
      <c r="Y15" s="774"/>
      <c r="Z15" s="774"/>
      <c r="AA15" s="774"/>
      <c r="AB15" s="774"/>
      <c r="AC15" s="774"/>
      <c r="AD15" s="774"/>
      <c r="AE15" s="774"/>
      <c r="AF15" s="774"/>
      <c r="AG15" s="774"/>
      <c r="AH15" s="774"/>
      <c r="AI15" s="774"/>
      <c r="AJ15" s="774"/>
      <c r="AK15" s="774"/>
      <c r="AL15" s="774"/>
      <c r="AM15" s="774"/>
      <c r="AN15" s="774"/>
      <c r="AO15" s="774"/>
      <c r="AP15" s="774"/>
      <c r="AQ15" s="774"/>
      <c r="AR15" s="774"/>
      <c r="AS15" s="774"/>
      <c r="AT15" s="774"/>
      <c r="AU15" s="774"/>
      <c r="AV15" s="774"/>
      <c r="AW15" s="774"/>
      <c r="AX15" s="774"/>
      <c r="AY15" s="774"/>
      <c r="AZ15" s="774"/>
      <c r="BA15" s="774"/>
      <c r="BB15" s="774"/>
      <c r="BC15" s="774"/>
      <c r="BD15" s="774"/>
      <c r="BE15" s="774"/>
      <c r="BF15" s="774"/>
      <c r="BG15" s="774"/>
      <c r="BH15" s="774"/>
      <c r="BI15" s="774"/>
      <c r="BJ15" s="774"/>
      <c r="BK15" s="774"/>
      <c r="BL15" s="774"/>
      <c r="BM15" s="774"/>
      <c r="BN15" s="774"/>
      <c r="BO15" s="774"/>
      <c r="BP15" s="774"/>
      <c r="BQ15" s="774"/>
      <c r="BR15" s="774"/>
      <c r="BS15" s="774"/>
      <c r="BT15" s="774"/>
      <c r="BU15" s="774"/>
      <c r="BV15" s="774"/>
      <c r="BW15" s="774"/>
      <c r="BX15" s="774"/>
      <c r="BY15" s="774"/>
      <c r="BZ15" s="774"/>
      <c r="CA15" s="774"/>
      <c r="CB15" s="774"/>
      <c r="CC15" s="774"/>
      <c r="CD15" s="774"/>
      <c r="CE15" s="774"/>
      <c r="CF15" s="774"/>
      <c r="CG15" s="774"/>
      <c r="CH15" s="774"/>
      <c r="CI15" s="774"/>
      <c r="CJ15" s="774"/>
      <c r="CK15" s="774"/>
      <c r="CL15" s="774"/>
      <c r="CM15" s="774"/>
      <c r="CN15" s="774"/>
      <c r="CO15" s="774"/>
      <c r="CP15" s="774"/>
    </row>
    <row r="16" spans="1:96" s="23" customFormat="1" ht="27.75" customHeight="1" x14ac:dyDescent="0.25">
      <c r="A16"/>
      <c r="H16" s="327"/>
      <c r="I16" s="327"/>
      <c r="J16" s="327"/>
      <c r="K16" s="327"/>
      <c r="L16" s="327"/>
      <c r="M16" s="327"/>
      <c r="N16" s="327"/>
      <c r="O16" s="327"/>
      <c r="P16" s="327"/>
      <c r="Q16" s="805"/>
      <c r="R16" s="805"/>
      <c r="S16" s="805"/>
      <c r="T16" s="805"/>
      <c r="U16" s="805"/>
      <c r="V16" s="1054" t="s">
        <v>868</v>
      </c>
      <c r="W16" s="1054"/>
      <c r="X16" s="1054"/>
      <c r="Y16" s="1054"/>
      <c r="Z16" s="1054"/>
      <c r="AA16" s="1054"/>
      <c r="AB16" s="1054"/>
      <c r="AC16" s="1054"/>
      <c r="AD16" s="1054"/>
      <c r="AE16" s="1054"/>
      <c r="AF16" s="1054"/>
      <c r="AG16" s="1054"/>
      <c r="AH16" s="1054"/>
      <c r="AI16" s="1054"/>
      <c r="AJ16" s="1054"/>
      <c r="AK16" s="805"/>
      <c r="AL16" s="1055" t="s">
        <v>356</v>
      </c>
      <c r="AM16" s="1055"/>
      <c r="AN16" s="1055"/>
      <c r="AO16" s="1055"/>
      <c r="AP16" s="1055"/>
      <c r="AQ16" s="1055"/>
      <c r="AR16" s="1055"/>
      <c r="AS16" s="1055"/>
      <c r="AT16" s="1055"/>
      <c r="AU16" s="1055"/>
      <c r="AV16" s="1055"/>
      <c r="AW16" s="1055"/>
      <c r="AX16" s="1055"/>
      <c r="AY16" s="1055"/>
      <c r="AZ16" s="1055"/>
      <c r="BA16" s="1055"/>
      <c r="BB16" s="1055"/>
      <c r="BC16" s="1055"/>
      <c r="BD16" s="1055"/>
      <c r="BE16" s="1055"/>
      <c r="BF16" s="1055"/>
      <c r="BG16" s="1055"/>
      <c r="BH16" s="805"/>
      <c r="BI16" s="805"/>
      <c r="BJ16" s="805"/>
      <c r="BK16" s="805"/>
      <c r="BL16" s="805"/>
      <c r="BM16" s="805"/>
      <c r="BN16" s="805"/>
      <c r="BO16" s="805"/>
      <c r="BP16" s="805"/>
      <c r="BQ16" s="805"/>
      <c r="BR16" s="805"/>
      <c r="BS16" s="805"/>
      <c r="BT16" s="805"/>
      <c r="BU16" s="805"/>
      <c r="BV16" s="805"/>
      <c r="BW16" s="805"/>
      <c r="BX16" s="805"/>
      <c r="BY16" s="805"/>
      <c r="BZ16" s="805"/>
      <c r="CA16" s="805"/>
      <c r="CB16" s="805"/>
      <c r="CC16" s="805"/>
      <c r="CD16" s="805"/>
      <c r="CE16" s="805"/>
      <c r="CF16" s="805"/>
      <c r="CG16" s="805"/>
      <c r="CH16" s="805"/>
      <c r="CI16" s="805"/>
      <c r="CJ16" s="805"/>
      <c r="CK16" s="805"/>
      <c r="CL16" s="805"/>
      <c r="CM16" s="805"/>
      <c r="CN16" s="805"/>
      <c r="CO16" s="805"/>
      <c r="CP16" s="805"/>
      <c r="CQ16"/>
      <c r="CR16"/>
    </row>
    <row r="17" spans="1:99" s="802" customFormat="1" ht="25.5" hidden="1" customHeight="1" x14ac:dyDescent="0.25">
      <c r="A17"/>
      <c r="H17" s="804"/>
      <c r="I17" s="804"/>
      <c r="J17" s="804"/>
      <c r="K17" s="804"/>
      <c r="L17" s="804"/>
      <c r="M17" s="804"/>
      <c r="N17" s="804"/>
      <c r="O17" s="804"/>
      <c r="P17" s="804"/>
      <c r="Q17" s="803"/>
      <c r="R17" s="803"/>
      <c r="S17" s="803"/>
      <c r="T17" s="803"/>
      <c r="U17" s="803"/>
      <c r="V17" s="1056" t="s">
        <v>869</v>
      </c>
      <c r="W17" s="1057"/>
      <c r="X17" s="1057"/>
      <c r="Y17" s="1057"/>
      <c r="Z17" s="1057"/>
      <c r="AA17" s="1057"/>
      <c r="AB17" s="1057"/>
      <c r="AC17" s="1057"/>
      <c r="AD17" s="1057"/>
      <c r="AE17" s="1057"/>
      <c r="AF17" s="1057"/>
      <c r="AG17" s="1057"/>
      <c r="AH17" s="1057"/>
      <c r="AI17" s="1057"/>
      <c r="AJ17" s="1057"/>
      <c r="AK17" s="803"/>
      <c r="AL17" s="1058">
        <f>INDEX(dms_ABN_List,MATCH(dms_TradingName,dms_TradingName_List))</f>
        <v>19078551685</v>
      </c>
      <c r="AM17" s="1058"/>
      <c r="AN17" s="1058"/>
      <c r="AO17" s="1058"/>
      <c r="AP17" s="1058"/>
      <c r="AQ17" s="1058"/>
      <c r="AR17" s="1058"/>
      <c r="AS17" s="1058"/>
      <c r="AT17" s="1058"/>
      <c r="AU17" s="1058"/>
      <c r="AV17" s="1058"/>
      <c r="AW17" s="1058"/>
      <c r="AX17" s="803"/>
      <c r="AY17" s="803"/>
      <c r="AZ17" s="803"/>
      <c r="BA17" s="803"/>
      <c r="BB17" s="803"/>
      <c r="BC17" s="803"/>
      <c r="BD17" s="803"/>
      <c r="BE17" s="803"/>
      <c r="BF17" s="803"/>
      <c r="BG17" s="803"/>
      <c r="BH17" s="803"/>
      <c r="BI17" s="803"/>
      <c r="BJ17" s="803"/>
      <c r="BK17" s="803"/>
      <c r="BL17" s="803"/>
      <c r="BM17" s="803"/>
      <c r="BN17" s="803"/>
      <c r="BO17" s="803"/>
      <c r="BP17" s="803"/>
      <c r="BQ17" s="803"/>
      <c r="BR17" s="803"/>
      <c r="BS17" s="803"/>
      <c r="BT17" s="803"/>
      <c r="BU17" s="803"/>
      <c r="BV17" s="803"/>
      <c r="BW17" s="803"/>
      <c r="BX17" s="803"/>
      <c r="BY17" s="803"/>
      <c r="BZ17" s="803"/>
      <c r="CA17" s="803"/>
      <c r="CB17" s="803"/>
      <c r="CC17" s="803"/>
      <c r="CD17" s="803"/>
      <c r="CE17" s="803"/>
      <c r="CF17" s="803"/>
      <c r="CG17" s="803"/>
      <c r="CH17" s="803"/>
      <c r="CI17" s="803"/>
      <c r="CJ17" s="803"/>
      <c r="CK17" s="803"/>
      <c r="CL17" s="803"/>
      <c r="CM17" s="803"/>
      <c r="CN17" s="803"/>
      <c r="CO17" s="803"/>
      <c r="CP17" s="803"/>
      <c r="CQ17"/>
      <c r="CR17"/>
    </row>
    <row r="18" spans="1:99" x14ac:dyDescent="0.25">
      <c r="H18" s="9"/>
      <c r="I18" s="9"/>
      <c r="J18" s="9"/>
      <c r="K18" s="9"/>
      <c r="L18" s="9"/>
      <c r="M18" s="9"/>
      <c r="N18" s="9"/>
      <c r="O18" s="9"/>
      <c r="P18" s="9"/>
      <c r="Q18" s="774"/>
      <c r="R18" s="774"/>
      <c r="S18" s="774"/>
      <c r="T18" s="774"/>
      <c r="U18" s="774"/>
      <c r="V18" s="774"/>
      <c r="W18" s="774"/>
      <c r="X18" s="774"/>
      <c r="Y18" s="774"/>
      <c r="Z18" s="774"/>
      <c r="AA18" s="774"/>
      <c r="AB18" s="774"/>
      <c r="AC18" s="774"/>
      <c r="AD18" s="774"/>
      <c r="AE18" s="774"/>
      <c r="AF18" s="774"/>
      <c r="AG18" s="774"/>
      <c r="AH18" s="774"/>
      <c r="AI18" s="774"/>
      <c r="AJ18" s="774"/>
      <c r="AK18" s="774"/>
      <c r="AL18" s="774"/>
      <c r="AM18" s="774"/>
      <c r="AN18" s="774"/>
      <c r="AO18" s="774"/>
      <c r="AP18" s="774"/>
      <c r="AQ18" s="774"/>
      <c r="AR18" s="774"/>
      <c r="AS18" s="774"/>
      <c r="AT18" s="774"/>
      <c r="AU18" s="774"/>
      <c r="AV18" s="774"/>
      <c r="AW18" s="774"/>
      <c r="AX18" s="774"/>
      <c r="AY18" s="774"/>
      <c r="AZ18" s="774"/>
      <c r="BA18" s="774"/>
      <c r="BB18" s="774"/>
      <c r="BC18" s="774"/>
      <c r="BD18" s="774"/>
      <c r="BE18" s="774"/>
      <c r="BF18" s="774"/>
      <c r="BG18" s="774"/>
      <c r="BH18" s="774"/>
      <c r="BI18" s="774"/>
      <c r="BJ18" s="774"/>
      <c r="BK18" s="774"/>
      <c r="BL18" s="774"/>
      <c r="BM18" s="774"/>
      <c r="BN18" s="774"/>
      <c r="BO18" s="774"/>
      <c r="BP18" s="774"/>
      <c r="BQ18" s="774"/>
      <c r="BR18" s="774"/>
      <c r="BS18" s="774"/>
      <c r="BT18" s="774"/>
      <c r="BU18" s="774"/>
      <c r="BV18" s="774"/>
      <c r="BW18" s="774"/>
      <c r="BX18" s="774"/>
      <c r="BY18" s="774"/>
      <c r="BZ18" s="774"/>
      <c r="CA18" s="774"/>
      <c r="CB18" s="774"/>
      <c r="CC18" s="774"/>
      <c r="CD18" s="774"/>
      <c r="CE18" s="774"/>
      <c r="CF18" s="774"/>
      <c r="CG18" s="774"/>
      <c r="CH18" s="774"/>
      <c r="CI18" s="774"/>
      <c r="CJ18" s="774"/>
      <c r="CK18" s="774"/>
      <c r="CL18" s="774"/>
      <c r="CM18" s="774"/>
      <c r="CN18" s="774"/>
      <c r="CO18" s="774"/>
      <c r="CP18" s="774"/>
    </row>
    <row r="19" spans="1:99" x14ac:dyDescent="0.25">
      <c r="H19" s="9"/>
      <c r="I19" s="9"/>
      <c r="J19" s="9"/>
      <c r="K19" s="9"/>
      <c r="L19" s="9"/>
      <c r="M19" s="9"/>
      <c r="N19" s="9"/>
      <c r="O19" s="9"/>
      <c r="P19" s="9"/>
      <c r="Q19" s="774"/>
      <c r="R19" s="774"/>
      <c r="S19" s="774"/>
      <c r="T19" s="774"/>
      <c r="U19" s="774"/>
      <c r="V19" s="774"/>
      <c r="W19" s="774"/>
      <c r="X19" s="774"/>
      <c r="Y19" s="774"/>
      <c r="Z19" s="774"/>
      <c r="AA19" s="774"/>
      <c r="AB19" s="774"/>
      <c r="AC19" s="774"/>
      <c r="AD19" s="774"/>
      <c r="AE19" s="774"/>
      <c r="AF19" s="774"/>
      <c r="AG19" s="774"/>
      <c r="AH19" s="774"/>
      <c r="AI19" s="774"/>
      <c r="AJ19" s="774"/>
      <c r="AK19" s="774"/>
      <c r="AL19" s="774"/>
      <c r="AM19" s="774"/>
      <c r="AN19" s="774"/>
      <c r="AO19" s="774"/>
      <c r="AP19" s="774"/>
      <c r="AQ19" s="774"/>
      <c r="AR19" s="774"/>
      <c r="AS19" s="774"/>
      <c r="AT19" s="774"/>
      <c r="AU19" s="774"/>
      <c r="AV19" s="774"/>
      <c r="AW19" s="774"/>
      <c r="AX19" s="774"/>
      <c r="AY19" s="774"/>
      <c r="AZ19" s="774"/>
      <c r="BA19" s="774"/>
      <c r="BB19" s="774"/>
      <c r="BC19" s="774"/>
      <c r="BD19" s="774"/>
      <c r="BE19" s="774"/>
      <c r="BF19" s="774"/>
      <c r="BG19" s="774"/>
      <c r="BH19" s="774"/>
      <c r="BI19" s="774"/>
      <c r="BJ19" s="774"/>
      <c r="BK19" s="774"/>
      <c r="BL19" s="774"/>
      <c r="BM19" s="774"/>
      <c r="BN19" s="774"/>
      <c r="BO19" s="774"/>
      <c r="BP19" s="774"/>
      <c r="BQ19" s="774"/>
      <c r="BR19" s="774"/>
      <c r="BS19" s="774"/>
      <c r="BT19" s="774"/>
      <c r="BU19" s="774"/>
      <c r="BV19" s="774"/>
      <c r="BW19" s="774"/>
      <c r="BX19" s="774"/>
      <c r="BY19" s="774"/>
      <c r="BZ19" s="774"/>
      <c r="CA19" s="774"/>
      <c r="CB19" s="774"/>
      <c r="CC19" s="774"/>
      <c r="CD19" s="774"/>
      <c r="CE19" s="774"/>
      <c r="CF19" s="774"/>
      <c r="CG19" s="774"/>
      <c r="CH19" s="774"/>
      <c r="CI19" s="774"/>
      <c r="CJ19" s="774"/>
      <c r="CK19" s="774"/>
      <c r="CL19" s="774"/>
      <c r="CM19" s="774"/>
      <c r="CN19" s="774"/>
      <c r="CO19" s="774"/>
      <c r="CP19" s="774"/>
    </row>
    <row r="20" spans="1:99" x14ac:dyDescent="0.25">
      <c r="H20" s="9"/>
      <c r="I20" s="9"/>
      <c r="J20" s="9"/>
      <c r="K20" s="9"/>
      <c r="L20" s="9"/>
      <c r="M20" s="9"/>
      <c r="N20" s="9"/>
      <c r="O20" s="9"/>
      <c r="P20" s="9"/>
      <c r="Q20" s="774"/>
      <c r="R20" s="774"/>
      <c r="S20" s="774"/>
      <c r="T20" s="774"/>
      <c r="U20" s="774"/>
      <c r="V20" s="774"/>
      <c r="W20" s="774"/>
      <c r="X20" s="774"/>
      <c r="Y20" s="774"/>
      <c r="Z20" s="774"/>
      <c r="AA20" s="774"/>
      <c r="AB20" s="774"/>
      <c r="AC20" s="774"/>
      <c r="AD20" s="774"/>
      <c r="AE20" s="774"/>
      <c r="AF20" s="774"/>
      <c r="AG20" s="774"/>
      <c r="AH20" s="774"/>
      <c r="AI20" s="774"/>
      <c r="AJ20" s="774"/>
      <c r="AK20" s="774"/>
      <c r="AL20" s="774"/>
      <c r="AM20" s="774"/>
      <c r="AN20" s="774"/>
      <c r="AO20" s="774"/>
      <c r="AP20" s="774"/>
      <c r="AQ20" s="774"/>
      <c r="AR20" s="774"/>
      <c r="AS20" s="774"/>
      <c r="AT20" s="774"/>
      <c r="AU20" s="774"/>
      <c r="AV20" s="774"/>
      <c r="AW20" s="774"/>
      <c r="AX20" s="774"/>
      <c r="AY20" s="774"/>
      <c r="AZ20" s="774"/>
      <c r="BA20" s="774"/>
      <c r="BB20" s="774"/>
      <c r="BC20" s="774"/>
      <c r="BD20" s="774"/>
      <c r="BE20" s="774"/>
      <c r="BF20" s="774"/>
      <c r="BG20" s="774"/>
      <c r="BH20" s="774"/>
      <c r="BI20" s="774"/>
      <c r="BJ20" s="774"/>
      <c r="BK20" s="774"/>
      <c r="BL20" s="774"/>
      <c r="BM20" s="774"/>
      <c r="BN20" s="774"/>
      <c r="BO20" s="774"/>
      <c r="BP20" s="774"/>
      <c r="BQ20" s="774"/>
      <c r="BR20" s="774"/>
      <c r="BS20" s="774"/>
      <c r="BT20" s="774"/>
      <c r="BU20" s="774"/>
      <c r="BV20" s="774"/>
      <c r="BW20" s="774"/>
      <c r="BX20" s="774"/>
      <c r="BY20" s="774"/>
      <c r="BZ20" s="774"/>
      <c r="CA20" s="774"/>
      <c r="CB20" s="774"/>
      <c r="CC20" s="774"/>
      <c r="CD20" s="774"/>
      <c r="CE20" s="774"/>
      <c r="CF20" s="774"/>
      <c r="CG20" s="774"/>
      <c r="CH20" s="774"/>
      <c r="CI20" s="774"/>
      <c r="CJ20" s="774"/>
      <c r="CK20" s="774"/>
      <c r="CL20" s="774"/>
      <c r="CM20" s="774"/>
      <c r="CN20" s="774"/>
      <c r="CO20" s="774"/>
      <c r="CP20" s="774"/>
    </row>
    <row r="21" spans="1:99" ht="15" customHeight="1" x14ac:dyDescent="0.25">
      <c r="H21" s="9"/>
      <c r="I21" s="9"/>
      <c r="J21" s="9"/>
      <c r="K21" s="9"/>
      <c r="L21" s="9"/>
      <c r="M21" s="9"/>
      <c r="N21" s="9"/>
      <c r="O21" s="9"/>
      <c r="P21" s="9"/>
      <c r="Q21" s="774"/>
      <c r="R21" s="774"/>
      <c r="S21" s="774"/>
      <c r="T21" s="774"/>
      <c r="U21" s="797"/>
      <c r="V21" s="798" t="s">
        <v>870</v>
      </c>
      <c r="W21" s="798"/>
      <c r="X21" s="798"/>
      <c r="Y21" s="798"/>
      <c r="Z21" s="798"/>
      <c r="AA21" s="798"/>
      <c r="AB21" s="798"/>
      <c r="AC21" s="798"/>
      <c r="AD21" s="798"/>
      <c r="AE21" s="798"/>
      <c r="AF21" s="798"/>
      <c r="AG21" s="798"/>
      <c r="AH21" s="798"/>
      <c r="AI21" s="798"/>
      <c r="AJ21" s="798"/>
      <c r="AK21" s="798"/>
      <c r="AL21" s="798"/>
      <c r="AM21" s="798"/>
      <c r="AN21" s="798"/>
      <c r="AO21" s="798"/>
      <c r="AP21" s="798"/>
      <c r="AQ21" s="798"/>
      <c r="AR21" s="798"/>
      <c r="AS21" s="798"/>
      <c r="AT21" s="798"/>
      <c r="AU21" s="798"/>
      <c r="AV21" s="798"/>
      <c r="AW21" s="798"/>
      <c r="AX21" s="798"/>
      <c r="AY21" s="798"/>
      <c r="AZ21" s="798"/>
      <c r="BA21" s="798"/>
      <c r="BB21" s="798"/>
      <c r="BC21" s="798"/>
      <c r="BD21" s="798"/>
      <c r="BE21" s="798"/>
      <c r="BF21" s="798"/>
      <c r="BG21" s="798"/>
      <c r="BH21" s="774"/>
      <c r="BI21" s="797"/>
      <c r="BJ21" s="800"/>
      <c r="BK21" s="800"/>
      <c r="BL21" s="800"/>
      <c r="BM21" s="800"/>
      <c r="BN21" s="800"/>
      <c r="BO21" s="800"/>
      <c r="BP21" s="800"/>
      <c r="BQ21" s="801" t="s">
        <v>871</v>
      </c>
      <c r="BR21" s="801"/>
      <c r="BS21" s="801"/>
      <c r="BT21" s="801"/>
      <c r="BU21" s="801"/>
      <c r="BV21" s="801"/>
      <c r="BW21" s="801"/>
      <c r="BX21" s="801"/>
      <c r="BY21" s="801"/>
      <c r="BZ21" s="801"/>
      <c r="CA21" s="801"/>
      <c r="CB21" s="801"/>
      <c r="CC21" s="801"/>
      <c r="CD21" s="801"/>
      <c r="CE21" s="801"/>
      <c r="CF21" s="801"/>
      <c r="CG21" s="801"/>
      <c r="CH21" s="801"/>
      <c r="CI21" s="801"/>
      <c r="CJ21" s="801"/>
      <c r="CK21" s="801"/>
      <c r="CL21" s="801"/>
      <c r="CM21" s="801"/>
      <c r="CN21" s="801"/>
      <c r="CO21" s="801"/>
      <c r="CP21" s="801"/>
    </row>
    <row r="22" spans="1:99" x14ac:dyDescent="0.25">
      <c r="H22" s="9"/>
      <c r="I22" s="9"/>
      <c r="J22" s="9"/>
      <c r="K22" s="9"/>
      <c r="L22" s="9"/>
      <c r="M22" s="9"/>
      <c r="N22" s="9"/>
      <c r="O22" s="9"/>
      <c r="P22" s="9"/>
      <c r="Q22" s="774"/>
      <c r="R22" s="774"/>
      <c r="S22" s="774"/>
      <c r="T22" s="774"/>
      <c r="U22" s="774"/>
      <c r="V22" s="774"/>
      <c r="W22" s="774"/>
      <c r="X22" s="774"/>
      <c r="Y22" s="774"/>
      <c r="Z22" s="774"/>
      <c r="AA22" s="774"/>
      <c r="AB22" s="774"/>
      <c r="AC22" s="774"/>
      <c r="AD22" s="774"/>
      <c r="AE22" s="774"/>
      <c r="AF22" s="774"/>
      <c r="AG22" s="774"/>
      <c r="AH22" s="774"/>
      <c r="AI22" s="774"/>
      <c r="AJ22" s="774"/>
      <c r="AK22" s="797"/>
      <c r="AL22" s="797"/>
      <c r="AM22" s="800"/>
      <c r="AN22" s="800"/>
      <c r="AO22" s="800"/>
      <c r="AP22" s="800"/>
      <c r="AQ22" s="800"/>
      <c r="AR22" s="800"/>
      <c r="AS22" s="800"/>
      <c r="AT22" s="800"/>
      <c r="AU22" s="800"/>
      <c r="AV22" s="800"/>
      <c r="AW22" s="800"/>
      <c r="AX22" s="800"/>
      <c r="AY22" s="800"/>
      <c r="AZ22" s="800"/>
      <c r="BA22" s="800"/>
      <c r="BB22" s="800"/>
      <c r="BC22" s="800"/>
      <c r="BD22" s="800"/>
      <c r="BE22" s="800"/>
      <c r="BF22" s="800"/>
      <c r="BG22" s="800"/>
      <c r="BH22" s="774"/>
      <c r="BI22" s="774"/>
      <c r="BJ22" s="774"/>
      <c r="BK22" s="774"/>
      <c r="BL22" s="774"/>
      <c r="BM22" s="774"/>
      <c r="BN22" s="774"/>
      <c r="BO22" s="774"/>
      <c r="BP22" s="774"/>
      <c r="BQ22" s="797"/>
      <c r="BR22" s="800"/>
      <c r="BS22" s="800"/>
      <c r="BT22" s="800"/>
      <c r="BU22" s="800"/>
      <c r="BV22" s="800"/>
      <c r="BW22" s="800"/>
      <c r="BX22" s="800"/>
      <c r="BY22" s="800"/>
      <c r="BZ22" s="800"/>
      <c r="CA22" s="800"/>
      <c r="CB22" s="800"/>
      <c r="CC22" s="800"/>
      <c r="CD22" s="800"/>
      <c r="CE22" s="800"/>
      <c r="CF22" s="800"/>
      <c r="CG22" s="800"/>
      <c r="CH22" s="800"/>
      <c r="CI22" s="800"/>
      <c r="CJ22" s="800"/>
      <c r="CK22" s="800"/>
      <c r="CL22" s="800"/>
      <c r="CM22" s="774"/>
      <c r="CN22" s="774"/>
      <c r="CO22" s="774"/>
      <c r="CP22" s="774"/>
    </row>
    <row r="23" spans="1:99" x14ac:dyDescent="0.25">
      <c r="H23" s="9"/>
      <c r="I23" s="9"/>
      <c r="J23" s="9"/>
      <c r="K23" s="9"/>
      <c r="L23" s="9"/>
      <c r="M23" s="9"/>
      <c r="N23" s="9"/>
      <c r="O23" s="9"/>
      <c r="P23" s="9"/>
      <c r="Q23" s="774"/>
      <c r="R23" s="774"/>
      <c r="S23" s="774"/>
      <c r="T23" s="774"/>
      <c r="U23" s="774"/>
      <c r="V23" s="1043" t="s">
        <v>872</v>
      </c>
      <c r="W23" s="1043"/>
      <c r="X23" s="1043"/>
      <c r="Y23" s="1043"/>
      <c r="Z23" s="1043"/>
      <c r="AA23" s="1043"/>
      <c r="AB23" s="1043"/>
      <c r="AC23" s="1043"/>
      <c r="AD23" s="1043"/>
      <c r="AE23" s="1043"/>
      <c r="AF23" s="1043"/>
      <c r="AG23" s="1043"/>
      <c r="AH23" s="1043"/>
      <c r="AI23" s="1043"/>
      <c r="AJ23" s="1043"/>
      <c r="AK23" s="774"/>
      <c r="AL23" s="1046" t="s">
        <v>873</v>
      </c>
      <c r="AM23" s="1047"/>
      <c r="AN23" s="1047"/>
      <c r="AO23" s="1047"/>
      <c r="AP23" s="1047"/>
      <c r="AQ23" s="1047"/>
      <c r="AR23" s="1047"/>
      <c r="AS23" s="1047"/>
      <c r="AT23" s="1047"/>
      <c r="AU23" s="1047"/>
      <c r="AV23" s="1047"/>
      <c r="AW23" s="1047"/>
      <c r="AX23" s="1047"/>
      <c r="AY23" s="1047"/>
      <c r="AZ23" s="1047"/>
      <c r="BA23" s="1047"/>
      <c r="BB23" s="1047"/>
      <c r="BC23" s="1047"/>
      <c r="BD23" s="1047"/>
      <c r="BE23" s="1047"/>
      <c r="BF23" s="1047"/>
      <c r="BG23" s="1048"/>
      <c r="BH23" s="774"/>
      <c r="BI23" s="1043" t="s">
        <v>872</v>
      </c>
      <c r="BJ23" s="1043"/>
      <c r="BK23" s="1043"/>
      <c r="BL23" s="1043"/>
      <c r="BM23" s="1043"/>
      <c r="BN23" s="1043"/>
      <c r="BO23" s="1043"/>
      <c r="BP23" s="796"/>
      <c r="BQ23" s="1046"/>
      <c r="BR23" s="1047"/>
      <c r="BS23" s="1047"/>
      <c r="BT23" s="1047"/>
      <c r="BU23" s="1047"/>
      <c r="BV23" s="1047"/>
      <c r="BW23" s="1047"/>
      <c r="BX23" s="1047"/>
      <c r="BY23" s="1047"/>
      <c r="BZ23" s="1047"/>
      <c r="CA23" s="1047"/>
      <c r="CB23" s="1047"/>
      <c r="CC23" s="1047"/>
      <c r="CD23" s="1047"/>
      <c r="CE23" s="1047"/>
      <c r="CF23" s="1047"/>
      <c r="CG23" s="1047"/>
      <c r="CH23" s="1047"/>
      <c r="CI23" s="1047"/>
      <c r="CJ23" s="1047"/>
      <c r="CK23" s="1047"/>
      <c r="CL23" s="1048"/>
      <c r="CM23" s="774"/>
      <c r="CN23" s="774"/>
      <c r="CO23" s="774"/>
      <c r="CP23" s="774"/>
    </row>
    <row r="24" spans="1:99" x14ac:dyDescent="0.25">
      <c r="H24" s="9"/>
      <c r="I24" s="9"/>
      <c r="J24" s="9"/>
      <c r="K24" s="9"/>
      <c r="L24" s="9"/>
      <c r="M24" s="9"/>
      <c r="N24" s="9"/>
      <c r="O24" s="9"/>
      <c r="P24" s="9"/>
      <c r="Q24" s="774"/>
      <c r="R24" s="774"/>
      <c r="S24" s="774"/>
      <c r="T24" s="774"/>
      <c r="U24" s="774"/>
      <c r="V24" s="1043" t="s">
        <v>874</v>
      </c>
      <c r="W24" s="1043"/>
      <c r="X24" s="1043"/>
      <c r="Y24" s="1043"/>
      <c r="Z24" s="1043"/>
      <c r="AA24" s="1043"/>
      <c r="AB24" s="1043"/>
      <c r="AC24" s="1043"/>
      <c r="AD24" s="1043"/>
      <c r="AE24" s="1043"/>
      <c r="AF24" s="1043"/>
      <c r="AG24" s="1043"/>
      <c r="AH24" s="1043"/>
      <c r="AI24" s="1043"/>
      <c r="AJ24" s="1043"/>
      <c r="AK24" s="774"/>
      <c r="AL24" s="1046"/>
      <c r="AM24" s="1047"/>
      <c r="AN24" s="1047"/>
      <c r="AO24" s="1047"/>
      <c r="AP24" s="1047"/>
      <c r="AQ24" s="1047"/>
      <c r="AR24" s="1047"/>
      <c r="AS24" s="1047"/>
      <c r="AT24" s="1047"/>
      <c r="AU24" s="1047"/>
      <c r="AV24" s="1047"/>
      <c r="AW24" s="1047"/>
      <c r="AX24" s="1047"/>
      <c r="AY24" s="1047"/>
      <c r="AZ24" s="1047"/>
      <c r="BA24" s="1047"/>
      <c r="BB24" s="1047"/>
      <c r="BC24" s="1047"/>
      <c r="BD24" s="1047"/>
      <c r="BE24" s="1047"/>
      <c r="BF24" s="1047"/>
      <c r="BG24" s="1048"/>
      <c r="BH24" s="774"/>
      <c r="BI24" s="1043" t="s">
        <v>874</v>
      </c>
      <c r="BJ24" s="1043"/>
      <c r="BK24" s="1043"/>
      <c r="BL24" s="1043"/>
      <c r="BM24" s="1043"/>
      <c r="BN24" s="1043"/>
      <c r="BO24" s="1043"/>
      <c r="BP24" s="796"/>
      <c r="BQ24" s="1046"/>
      <c r="BR24" s="1047"/>
      <c r="BS24" s="1047"/>
      <c r="BT24" s="1047"/>
      <c r="BU24" s="1047"/>
      <c r="BV24" s="1047"/>
      <c r="BW24" s="1047"/>
      <c r="BX24" s="1047"/>
      <c r="BY24" s="1047"/>
      <c r="BZ24" s="1047"/>
      <c r="CA24" s="1047"/>
      <c r="CB24" s="1047"/>
      <c r="CC24" s="1047"/>
      <c r="CD24" s="1047"/>
      <c r="CE24" s="1047"/>
      <c r="CF24" s="1047"/>
      <c r="CG24" s="1047"/>
      <c r="CH24" s="1047"/>
      <c r="CI24" s="1047"/>
      <c r="CJ24" s="1047"/>
      <c r="CK24" s="1047"/>
      <c r="CL24" s="1048"/>
      <c r="CM24" s="774"/>
      <c r="CN24" s="774"/>
      <c r="CO24" s="774"/>
      <c r="CP24" s="774"/>
    </row>
    <row r="25" spans="1:99" x14ac:dyDescent="0.25">
      <c r="H25" s="9"/>
      <c r="I25" s="9"/>
      <c r="J25" s="9"/>
      <c r="K25" s="9"/>
      <c r="L25" s="9"/>
      <c r="M25" s="9"/>
      <c r="N25" s="9"/>
      <c r="O25" s="9"/>
      <c r="P25" s="9"/>
      <c r="Q25" s="774"/>
      <c r="R25" s="774"/>
      <c r="S25" s="774"/>
      <c r="T25" s="774"/>
      <c r="U25" s="774"/>
      <c r="V25" s="1043" t="s">
        <v>875</v>
      </c>
      <c r="W25" s="1043"/>
      <c r="X25" s="1043"/>
      <c r="Y25" s="1043"/>
      <c r="Z25" s="1043"/>
      <c r="AA25" s="1043"/>
      <c r="AB25" s="1043"/>
      <c r="AC25" s="1043"/>
      <c r="AD25" s="1043"/>
      <c r="AE25" s="1043"/>
      <c r="AF25" s="1043"/>
      <c r="AG25" s="1043"/>
      <c r="AH25" s="1043"/>
      <c r="AI25" s="1043"/>
      <c r="AJ25" s="1043"/>
      <c r="AK25" s="774"/>
      <c r="AL25" s="1046" t="s">
        <v>876</v>
      </c>
      <c r="AM25" s="1047"/>
      <c r="AN25" s="1047"/>
      <c r="AO25" s="1047"/>
      <c r="AP25" s="1047"/>
      <c r="AQ25" s="1047"/>
      <c r="AR25" s="1047"/>
      <c r="AS25" s="1047"/>
      <c r="AT25" s="1047"/>
      <c r="AU25" s="1047"/>
      <c r="AV25" s="1047"/>
      <c r="AW25" s="1047"/>
      <c r="AX25" s="1047"/>
      <c r="AY25" s="1047"/>
      <c r="AZ25" s="1047"/>
      <c r="BA25" s="975"/>
      <c r="BB25" s="975"/>
      <c r="BC25" s="975"/>
      <c r="BD25" s="975"/>
      <c r="BE25" s="975"/>
      <c r="BF25" s="975"/>
      <c r="BG25" s="975"/>
      <c r="BH25" s="774"/>
      <c r="BI25" s="1043" t="s">
        <v>875</v>
      </c>
      <c r="BJ25" s="1043"/>
      <c r="BK25" s="1043"/>
      <c r="BL25" s="1043"/>
      <c r="BM25" s="1043"/>
      <c r="BN25" s="1043"/>
      <c r="BO25" s="1043"/>
      <c r="BP25" s="796"/>
      <c r="BQ25" s="1046"/>
      <c r="BR25" s="1047"/>
      <c r="BS25" s="1047"/>
      <c r="BT25" s="1047"/>
      <c r="BU25" s="1047"/>
      <c r="BV25" s="1047"/>
      <c r="BW25" s="1047"/>
      <c r="BX25" s="1047"/>
      <c r="BY25" s="1047"/>
      <c r="BZ25" s="1047"/>
      <c r="CA25" s="1047"/>
      <c r="CB25" s="1047"/>
      <c r="CC25" s="1047"/>
      <c r="CD25" s="1047"/>
      <c r="CE25" s="1047"/>
      <c r="CF25" s="975"/>
      <c r="CG25" s="975"/>
      <c r="CH25" s="975"/>
      <c r="CI25" s="975"/>
      <c r="CJ25" s="975"/>
      <c r="CK25" s="975"/>
      <c r="CL25" s="975"/>
      <c r="CM25" s="774"/>
      <c r="CN25" s="774"/>
      <c r="CO25" s="774"/>
      <c r="CP25" s="774"/>
    </row>
    <row r="26" spans="1:99" x14ac:dyDescent="0.25">
      <c r="H26" s="9"/>
      <c r="I26" s="9"/>
      <c r="J26" s="9"/>
      <c r="K26" s="9"/>
      <c r="L26" s="9"/>
      <c r="M26" s="9"/>
      <c r="N26" s="9"/>
      <c r="O26" s="9"/>
      <c r="P26" s="9"/>
      <c r="Q26" s="774"/>
      <c r="R26" s="774"/>
      <c r="S26" s="774"/>
      <c r="T26" s="774"/>
      <c r="U26" s="774"/>
      <c r="V26" s="1043" t="s">
        <v>877</v>
      </c>
      <c r="W26" s="1043"/>
      <c r="X26" s="1043"/>
      <c r="Y26" s="1043"/>
      <c r="Z26" s="1043"/>
      <c r="AA26" s="1043"/>
      <c r="AB26" s="1043"/>
      <c r="AC26" s="1043"/>
      <c r="AD26" s="1043"/>
      <c r="AE26" s="1043"/>
      <c r="AF26" s="1043"/>
      <c r="AG26" s="1043"/>
      <c r="AH26" s="1043"/>
      <c r="AI26" s="1043"/>
      <c r="AJ26" s="1043"/>
      <c r="AK26" s="774"/>
      <c r="AL26" s="1046" t="s">
        <v>351</v>
      </c>
      <c r="AM26" s="1047"/>
      <c r="AN26" s="1047"/>
      <c r="AO26" s="1047"/>
      <c r="AP26" s="774"/>
      <c r="AQ26" s="799"/>
      <c r="AR26" s="774"/>
      <c r="AS26" s="774"/>
      <c r="AT26" s="774"/>
      <c r="AU26" s="774"/>
      <c r="AV26" s="799" t="s">
        <v>878</v>
      </c>
      <c r="AW26" s="799"/>
      <c r="AX26" s="1049">
        <v>5000</v>
      </c>
      <c r="AY26" s="1049"/>
      <c r="AZ26" s="1049"/>
      <c r="BA26" s="774"/>
      <c r="BB26" s="774"/>
      <c r="BC26" s="774"/>
      <c r="BD26" s="774"/>
      <c r="BE26" s="774"/>
      <c r="BF26" s="774"/>
      <c r="BG26" s="774"/>
      <c r="BH26" s="774"/>
      <c r="BI26" s="1043" t="s">
        <v>877</v>
      </c>
      <c r="BJ26" s="1043"/>
      <c r="BK26" s="1043"/>
      <c r="BL26" s="1043"/>
      <c r="BM26" s="1043"/>
      <c r="BN26" s="1043"/>
      <c r="BO26" s="1043"/>
      <c r="BP26" s="796"/>
      <c r="BQ26" s="1046"/>
      <c r="BR26" s="1047"/>
      <c r="BS26" s="1047"/>
      <c r="BT26" s="1047"/>
      <c r="BU26" s="774"/>
      <c r="BV26" s="774"/>
      <c r="BW26" s="796"/>
      <c r="BX26" s="774"/>
      <c r="BY26" s="774"/>
      <c r="BZ26" s="774"/>
      <c r="CA26" s="799" t="s">
        <v>878</v>
      </c>
      <c r="CB26" s="774"/>
      <c r="CC26" s="1049"/>
      <c r="CD26" s="1049"/>
      <c r="CE26" s="1049"/>
      <c r="CF26" s="774"/>
      <c r="CG26" s="774"/>
      <c r="CH26" s="774"/>
      <c r="CI26" s="774"/>
      <c r="CJ26" s="774"/>
      <c r="CK26" s="774"/>
      <c r="CL26" s="774"/>
      <c r="CM26" s="774"/>
      <c r="CN26" s="774"/>
      <c r="CO26" s="774"/>
      <c r="CP26" s="774"/>
    </row>
    <row r="27" spans="1:99" x14ac:dyDescent="0.25">
      <c r="H27" s="9"/>
      <c r="I27" s="9"/>
      <c r="J27" s="9"/>
      <c r="K27" s="9"/>
      <c r="L27" s="9"/>
      <c r="M27" s="9"/>
      <c r="N27" s="9"/>
      <c r="O27" s="9"/>
      <c r="P27" s="9"/>
      <c r="Q27" s="774"/>
      <c r="R27" s="774"/>
      <c r="S27" s="774"/>
      <c r="T27" s="774"/>
      <c r="U27" s="774"/>
      <c r="V27" s="774"/>
      <c r="W27" s="774"/>
      <c r="X27" s="774"/>
      <c r="Y27" s="774"/>
      <c r="Z27" s="774"/>
      <c r="AA27" s="774"/>
      <c r="AB27" s="774"/>
      <c r="AC27" s="774"/>
      <c r="AD27" s="774"/>
      <c r="AE27" s="774"/>
      <c r="AF27" s="774"/>
      <c r="AG27" s="774"/>
      <c r="AH27" s="774"/>
      <c r="AI27" s="774"/>
      <c r="AJ27" s="774"/>
      <c r="AK27" s="774"/>
      <c r="AL27" s="774"/>
      <c r="AM27" s="774"/>
      <c r="AN27" s="774"/>
      <c r="AO27" s="774"/>
      <c r="AP27" s="774"/>
      <c r="AQ27" s="774"/>
      <c r="AR27" s="774"/>
      <c r="AS27" s="774"/>
      <c r="AT27" s="774"/>
      <c r="AU27" s="774"/>
      <c r="AV27" s="774"/>
      <c r="AW27" s="774"/>
      <c r="AX27" s="774"/>
      <c r="AY27" s="774"/>
      <c r="AZ27" s="774"/>
      <c r="BA27" s="774"/>
      <c r="BB27" s="774"/>
      <c r="BC27" s="774"/>
      <c r="BD27" s="774"/>
      <c r="BE27" s="774"/>
      <c r="BF27" s="774"/>
      <c r="BG27" s="774"/>
      <c r="BH27" s="774"/>
      <c r="BI27" s="774"/>
      <c r="BJ27" s="774"/>
      <c r="BK27" s="774"/>
      <c r="BL27" s="774"/>
      <c r="BM27" s="774"/>
      <c r="BN27" s="774"/>
      <c r="BO27" s="774"/>
      <c r="BP27" s="774"/>
      <c r="BQ27" s="774"/>
      <c r="BR27" s="774"/>
      <c r="BS27" s="774"/>
      <c r="BT27" s="774"/>
      <c r="BU27" s="774"/>
      <c r="BV27" s="774"/>
      <c r="BW27" s="774"/>
      <c r="BX27" s="774"/>
      <c r="BY27" s="774"/>
      <c r="BZ27" s="774"/>
      <c r="CA27" s="774"/>
      <c r="CB27" s="774"/>
      <c r="CC27" s="774"/>
      <c r="CD27" s="774"/>
      <c r="CE27" s="774"/>
      <c r="CF27" s="774"/>
      <c r="CG27" s="774"/>
      <c r="CH27" s="774"/>
      <c r="CI27" s="774"/>
      <c r="CJ27" s="774"/>
      <c r="CK27" s="774"/>
      <c r="CL27" s="774"/>
      <c r="CM27" s="774"/>
      <c r="CN27" s="774"/>
      <c r="CO27" s="774"/>
      <c r="CP27" s="774"/>
      <c r="CU27" s="19"/>
    </row>
    <row r="28" spans="1:99" x14ac:dyDescent="0.25">
      <c r="H28" s="9"/>
      <c r="I28" s="9"/>
      <c r="J28" s="9"/>
      <c r="K28" s="9"/>
      <c r="L28" s="9"/>
      <c r="M28" s="9"/>
      <c r="N28" s="9"/>
      <c r="O28" s="9"/>
      <c r="P28" s="9"/>
      <c r="Q28" s="774"/>
      <c r="R28" s="774"/>
      <c r="S28" s="774"/>
      <c r="T28" s="774"/>
      <c r="U28" s="774"/>
      <c r="V28" s="774"/>
      <c r="W28" s="774"/>
      <c r="X28" s="774"/>
      <c r="Y28" s="774"/>
      <c r="Z28" s="774"/>
      <c r="AA28" s="774"/>
      <c r="AB28" s="774"/>
      <c r="AC28" s="774"/>
      <c r="AD28" s="774"/>
      <c r="AE28" s="774"/>
      <c r="AF28" s="774"/>
      <c r="AG28" s="774"/>
      <c r="AH28" s="774"/>
      <c r="AI28" s="774"/>
      <c r="AJ28" s="774"/>
      <c r="AK28" s="774"/>
      <c r="AL28" s="774"/>
      <c r="AM28" s="774"/>
      <c r="AN28" s="774"/>
      <c r="AO28" s="774"/>
      <c r="AP28" s="774"/>
      <c r="AQ28" s="774"/>
      <c r="AR28" s="774"/>
      <c r="AS28" s="774"/>
      <c r="AT28" s="774"/>
      <c r="AU28" s="774"/>
      <c r="AV28" s="774"/>
      <c r="AW28" s="774"/>
      <c r="AX28" s="774"/>
      <c r="AY28" s="774"/>
      <c r="AZ28" s="774"/>
      <c r="BA28" s="774" t="s">
        <v>879</v>
      </c>
      <c r="BB28" s="774"/>
      <c r="BC28" s="774"/>
      <c r="BD28" s="774"/>
      <c r="BE28" s="774"/>
      <c r="BF28" s="774"/>
      <c r="BG28" s="774"/>
      <c r="BH28" s="774"/>
      <c r="BI28" s="774"/>
      <c r="BJ28" s="774"/>
      <c r="BK28" s="774"/>
      <c r="BL28" s="774"/>
      <c r="BM28" s="774"/>
      <c r="BN28" s="774"/>
      <c r="BO28" s="774"/>
      <c r="BP28" s="774"/>
      <c r="BQ28" s="774"/>
      <c r="BR28" s="774"/>
      <c r="BS28" s="774"/>
      <c r="BT28" s="774"/>
      <c r="BU28" s="774"/>
      <c r="BV28" s="774"/>
      <c r="BW28" s="774"/>
      <c r="BX28" s="774"/>
      <c r="BY28" s="774"/>
      <c r="BZ28" s="774"/>
      <c r="CA28" s="774"/>
      <c r="CB28" s="774"/>
      <c r="CC28" s="774"/>
      <c r="CD28" s="774"/>
      <c r="CE28" s="774"/>
      <c r="CF28" s="774"/>
      <c r="CG28" s="774"/>
      <c r="CH28" s="774"/>
      <c r="CI28" s="774"/>
      <c r="CJ28" s="774"/>
      <c r="CK28" s="774"/>
      <c r="CL28" s="774"/>
      <c r="CM28" s="774"/>
      <c r="CN28" s="774"/>
      <c r="CO28" s="774"/>
      <c r="CP28" s="774"/>
    </row>
    <row r="29" spans="1:99" hidden="1" x14ac:dyDescent="0.25">
      <c r="H29" s="9"/>
      <c r="I29" s="9"/>
      <c r="J29" s="9"/>
      <c r="K29" s="9"/>
      <c r="L29" s="9"/>
      <c r="M29" s="9"/>
      <c r="N29" s="9"/>
      <c r="O29" s="9"/>
      <c r="P29" s="9"/>
      <c r="Q29" s="774"/>
      <c r="R29" s="774"/>
      <c r="S29" s="774"/>
      <c r="T29" s="774"/>
      <c r="U29" s="774"/>
      <c r="V29" s="774"/>
      <c r="W29" s="774"/>
      <c r="X29" s="774"/>
      <c r="Y29" s="774"/>
      <c r="Z29" s="774"/>
      <c r="AA29" s="774"/>
      <c r="AB29" s="774"/>
      <c r="AC29" s="774"/>
      <c r="AD29" s="774"/>
      <c r="AE29" s="774"/>
      <c r="AF29" s="774"/>
      <c r="AG29" s="774"/>
      <c r="AH29" s="774"/>
      <c r="AI29" s="774"/>
      <c r="AJ29" s="774"/>
      <c r="AK29" s="774"/>
      <c r="AL29" s="774"/>
      <c r="AM29" s="774"/>
      <c r="AN29" s="774"/>
      <c r="AO29" s="774"/>
      <c r="AP29" s="774"/>
      <c r="AQ29" s="774"/>
      <c r="AR29" s="774"/>
      <c r="AS29" s="774"/>
      <c r="AT29" s="774"/>
      <c r="AU29" s="774"/>
      <c r="AV29" s="774"/>
      <c r="AW29" s="774"/>
      <c r="AX29" s="774"/>
      <c r="AY29" s="774"/>
      <c r="AZ29" s="774"/>
      <c r="BA29" s="774"/>
      <c r="BB29" s="774"/>
      <c r="BC29" s="774"/>
      <c r="BD29" s="774"/>
      <c r="BE29" s="774"/>
      <c r="BF29" s="774"/>
      <c r="BG29" s="774"/>
      <c r="BH29" s="774"/>
      <c r="BI29" s="774"/>
      <c r="BJ29" s="774"/>
      <c r="BK29" s="774"/>
      <c r="BL29" s="774"/>
      <c r="BM29" s="774"/>
      <c r="BN29" s="774"/>
      <c r="BO29" s="774"/>
      <c r="BP29" s="774"/>
      <c r="BQ29" s="774"/>
      <c r="BR29" s="774"/>
      <c r="BS29" s="774"/>
      <c r="BT29" s="774"/>
      <c r="BU29" s="774"/>
      <c r="BV29" s="774"/>
      <c r="BW29" s="774"/>
      <c r="BX29" s="774"/>
      <c r="BY29" s="774"/>
      <c r="BZ29" s="774"/>
      <c r="CA29" s="774"/>
      <c r="CB29" s="774"/>
      <c r="CC29" s="774"/>
      <c r="CD29" s="774"/>
      <c r="CE29" s="774"/>
      <c r="CF29" s="774"/>
      <c r="CG29" s="774"/>
      <c r="CH29" s="774"/>
      <c r="CI29" s="774"/>
      <c r="CJ29" s="774"/>
      <c r="CK29" s="774"/>
      <c r="CL29" s="774"/>
      <c r="CM29" s="774"/>
      <c r="CN29" s="774"/>
      <c r="CO29" s="774"/>
      <c r="CP29" s="774"/>
    </row>
    <row r="30" spans="1:99" ht="18" hidden="1" x14ac:dyDescent="0.25">
      <c r="H30" s="9"/>
      <c r="I30" s="9"/>
      <c r="J30" s="9"/>
      <c r="K30" s="9"/>
      <c r="L30" s="9"/>
      <c r="M30" s="9"/>
      <c r="N30" s="9"/>
      <c r="O30" s="9"/>
      <c r="P30" s="9"/>
      <c r="Q30" s="774"/>
      <c r="R30" s="774"/>
      <c r="S30" s="774"/>
      <c r="T30" s="774"/>
      <c r="U30" s="774"/>
      <c r="V30" s="798" t="s">
        <v>880</v>
      </c>
      <c r="W30" s="798"/>
      <c r="X30" s="798"/>
      <c r="Y30" s="798"/>
      <c r="Z30" s="798"/>
      <c r="AA30" s="798"/>
      <c r="AB30" s="798"/>
      <c r="AC30" s="798"/>
      <c r="AD30" s="798"/>
      <c r="AE30" s="798"/>
      <c r="AF30" s="798"/>
      <c r="AG30" s="798"/>
      <c r="AH30" s="798"/>
      <c r="AI30" s="798"/>
      <c r="AJ30" s="798"/>
      <c r="AK30" s="798"/>
      <c r="AL30" s="798"/>
      <c r="AM30" s="798"/>
      <c r="AN30" s="798"/>
      <c r="AO30" s="798"/>
      <c r="AP30" s="798"/>
      <c r="AQ30" s="798"/>
      <c r="AR30" s="798"/>
      <c r="AS30" s="798"/>
      <c r="AT30" s="798"/>
      <c r="AU30" s="798"/>
      <c r="AV30" s="798"/>
      <c r="AW30" s="798"/>
      <c r="AX30" s="798"/>
      <c r="AY30" s="798"/>
      <c r="AZ30" s="798"/>
      <c r="BA30" s="798"/>
      <c r="BB30" s="798"/>
      <c r="BC30" s="798"/>
      <c r="BD30" s="798"/>
      <c r="BE30" s="798"/>
      <c r="BF30" s="798"/>
      <c r="BG30" s="798"/>
      <c r="BH30" s="774"/>
      <c r="BI30" s="774"/>
      <c r="BJ30" s="774"/>
      <c r="BK30" s="774"/>
      <c r="BL30" s="774"/>
      <c r="BM30" s="774"/>
      <c r="BN30" s="774"/>
      <c r="BO30" s="774"/>
      <c r="BP30" s="774"/>
      <c r="BQ30" s="774"/>
      <c r="BR30" s="774"/>
      <c r="BS30" s="774"/>
      <c r="BT30" s="774"/>
      <c r="BU30" s="774"/>
      <c r="BV30" s="774"/>
      <c r="BW30" s="774"/>
      <c r="BX30" s="774"/>
      <c r="BY30" s="774"/>
      <c r="BZ30" s="774"/>
      <c r="CA30" s="774"/>
      <c r="CB30" s="774"/>
      <c r="CC30" s="774"/>
      <c r="CD30" s="774"/>
      <c r="CE30" s="774"/>
      <c r="CF30" s="774"/>
      <c r="CG30" s="774"/>
      <c r="CH30" s="774"/>
      <c r="CI30" s="774"/>
      <c r="CJ30" s="774"/>
      <c r="CK30" s="774"/>
      <c r="CL30" s="774"/>
      <c r="CM30" s="774"/>
      <c r="CN30" s="774"/>
      <c r="CO30" s="774"/>
      <c r="CP30" s="774"/>
    </row>
    <row r="31" spans="1:99" hidden="1" x14ac:dyDescent="0.25">
      <c r="H31" s="9"/>
      <c r="I31" s="9"/>
      <c r="J31" s="9"/>
      <c r="K31" s="9"/>
      <c r="L31" s="9"/>
      <c r="M31" s="9"/>
      <c r="N31" s="9"/>
      <c r="O31" s="9"/>
      <c r="P31" s="9"/>
      <c r="Q31" s="774"/>
      <c r="R31" s="774"/>
      <c r="S31" s="774"/>
      <c r="T31" s="774"/>
      <c r="U31" s="774"/>
      <c r="V31" s="774"/>
      <c r="W31" s="774"/>
      <c r="X31" s="774"/>
      <c r="Y31" s="774"/>
      <c r="Z31" s="774"/>
      <c r="AA31" s="774"/>
      <c r="AB31" s="774"/>
      <c r="AC31" s="774"/>
      <c r="AD31" s="774"/>
      <c r="AE31" s="774"/>
      <c r="AF31" s="774"/>
      <c r="AG31" s="774"/>
      <c r="AH31" s="774"/>
      <c r="AI31" s="774"/>
      <c r="AJ31" s="774"/>
      <c r="AK31" s="774"/>
      <c r="AL31" s="774"/>
      <c r="AM31" s="774"/>
      <c r="AN31" s="774"/>
      <c r="AO31" s="774"/>
      <c r="AP31" s="774"/>
      <c r="AQ31" s="774"/>
      <c r="AR31" s="774"/>
      <c r="AS31" s="774"/>
      <c r="AT31" s="774"/>
      <c r="AU31" s="774"/>
      <c r="AV31" s="774"/>
      <c r="AW31" s="774"/>
      <c r="AX31" s="774"/>
      <c r="AY31" s="774"/>
      <c r="AZ31" s="774"/>
      <c r="BA31" s="774"/>
      <c r="BB31" s="774"/>
      <c r="BC31" s="774"/>
      <c r="BD31" s="774"/>
      <c r="BE31" s="774"/>
      <c r="BF31" s="774"/>
      <c r="BG31" s="774"/>
      <c r="BH31" s="774"/>
      <c r="BI31" s="774"/>
      <c r="BJ31" s="774"/>
      <c r="BK31" s="774"/>
      <c r="BL31" s="774"/>
      <c r="BM31" s="774"/>
      <c r="BN31" s="774"/>
      <c r="BO31" s="774"/>
      <c r="BP31" s="774"/>
      <c r="BQ31" s="774"/>
      <c r="BR31" s="774"/>
      <c r="BS31" s="774"/>
      <c r="BT31" s="774"/>
      <c r="BU31" s="774"/>
      <c r="BV31" s="774"/>
      <c r="BW31" s="774"/>
      <c r="BX31" s="774"/>
      <c r="BY31" s="774"/>
      <c r="BZ31" s="774"/>
      <c r="CA31" s="774"/>
      <c r="CB31" s="774"/>
      <c r="CC31" s="774"/>
      <c r="CD31" s="774"/>
      <c r="CE31" s="774"/>
      <c r="CF31" s="774"/>
      <c r="CG31" s="774"/>
      <c r="CH31" s="774"/>
      <c r="CI31" s="774"/>
      <c r="CJ31" s="774"/>
      <c r="CK31" s="774"/>
      <c r="CL31" s="774"/>
      <c r="CM31" s="774"/>
      <c r="CN31" s="774"/>
      <c r="CO31" s="774"/>
      <c r="CP31" s="774"/>
    </row>
    <row r="32" spans="1:99" hidden="1" x14ac:dyDescent="0.25">
      <c r="H32" s="9"/>
      <c r="I32" s="9"/>
      <c r="J32" s="9"/>
      <c r="K32" s="9"/>
      <c r="L32" s="9"/>
      <c r="M32" s="9"/>
      <c r="N32" s="9"/>
      <c r="O32" s="9"/>
      <c r="P32" s="9"/>
      <c r="Q32" s="774"/>
      <c r="R32" s="774"/>
      <c r="S32" s="774"/>
      <c r="T32" s="774"/>
      <c r="U32" s="774"/>
      <c r="V32" s="1043" t="s">
        <v>331</v>
      </c>
      <c r="W32" s="1043"/>
      <c r="X32" s="1043"/>
      <c r="Y32" s="1043"/>
      <c r="Z32" s="1043"/>
      <c r="AA32" s="1043"/>
      <c r="AB32" s="1043"/>
      <c r="AC32" s="1043"/>
      <c r="AD32" s="1043"/>
      <c r="AE32" s="1043"/>
      <c r="AF32" s="1043"/>
      <c r="AG32" s="1043"/>
      <c r="AH32" s="1043"/>
      <c r="AI32" s="1043"/>
      <c r="AJ32" s="1043"/>
      <c r="AK32" s="774"/>
      <c r="AL32" s="1044"/>
      <c r="AM32" s="1044"/>
      <c r="AN32" s="1044"/>
      <c r="AO32" s="1044"/>
      <c r="AP32" s="1044"/>
      <c r="AQ32" s="1044"/>
      <c r="AR32" s="1044"/>
      <c r="AS32" s="1044"/>
      <c r="AT32" s="1044"/>
      <c r="AU32" s="1044"/>
      <c r="AV32" s="1044"/>
      <c r="AW32" s="1044"/>
      <c r="AX32" s="1044"/>
      <c r="AY32" s="1044"/>
      <c r="AZ32" s="1044"/>
      <c r="BA32" s="1044"/>
      <c r="BB32" s="1044"/>
      <c r="BC32" s="1044"/>
      <c r="BD32" s="1044"/>
      <c r="BE32" s="1044"/>
      <c r="BF32" s="1044"/>
      <c r="BG32" s="1044"/>
      <c r="BH32" s="774"/>
      <c r="BI32" s="1043" t="s">
        <v>331</v>
      </c>
      <c r="BJ32" s="1043"/>
      <c r="BK32" s="1043"/>
      <c r="BL32" s="1043"/>
      <c r="BM32" s="1043"/>
      <c r="BN32" s="1043"/>
      <c r="BO32" s="1043"/>
      <c r="BP32" s="796"/>
      <c r="BQ32" s="1044"/>
      <c r="BR32" s="1044"/>
      <c r="BS32" s="1044"/>
      <c r="BT32" s="1044"/>
      <c r="BU32" s="1044"/>
      <c r="BV32" s="1044"/>
      <c r="BW32" s="1044"/>
      <c r="BX32" s="1044"/>
      <c r="BY32" s="1044"/>
      <c r="BZ32" s="1044"/>
      <c r="CA32" s="1044"/>
      <c r="CB32" s="1044"/>
      <c r="CC32" s="1044"/>
      <c r="CD32" s="1044"/>
      <c r="CE32" s="1044"/>
      <c r="CF32" s="1044"/>
      <c r="CG32" s="1044"/>
      <c r="CH32" s="1044"/>
      <c r="CI32" s="1044"/>
      <c r="CJ32" s="1044"/>
      <c r="CK32" s="1044"/>
      <c r="CL32" s="1044"/>
      <c r="CM32" s="774"/>
      <c r="CN32" s="774"/>
      <c r="CO32" s="774"/>
      <c r="CP32" s="774"/>
    </row>
    <row r="33" spans="2:94" hidden="1" x14ac:dyDescent="0.25">
      <c r="H33" s="9"/>
      <c r="I33" s="9"/>
      <c r="J33" s="9"/>
      <c r="K33" s="9"/>
      <c r="L33" s="9"/>
      <c r="M33" s="9"/>
      <c r="N33" s="9"/>
      <c r="O33" s="9"/>
      <c r="P33" s="9"/>
      <c r="Q33" s="774"/>
      <c r="R33" s="774"/>
      <c r="S33" s="774"/>
      <c r="T33" s="774"/>
      <c r="U33" s="774"/>
      <c r="V33" s="1043" t="s">
        <v>881</v>
      </c>
      <c r="W33" s="1043"/>
      <c r="X33" s="1043"/>
      <c r="Y33" s="1043"/>
      <c r="Z33" s="1043"/>
      <c r="AA33" s="1043"/>
      <c r="AB33" s="1043"/>
      <c r="AC33" s="1043"/>
      <c r="AD33" s="1043"/>
      <c r="AE33" s="1043"/>
      <c r="AF33" s="1043"/>
      <c r="AG33" s="1043"/>
      <c r="AH33" s="1043"/>
      <c r="AI33" s="1043"/>
      <c r="AJ33" s="1043"/>
      <c r="AK33" s="774"/>
      <c r="AL33" s="1045"/>
      <c r="AM33" s="1045"/>
      <c r="AN33" s="1045"/>
      <c r="AO33" s="1045"/>
      <c r="AP33" s="1045"/>
      <c r="AQ33" s="1045"/>
      <c r="AR33" s="1045"/>
      <c r="AS33" s="1045"/>
      <c r="AT33" s="1045"/>
      <c r="AU33" s="1045"/>
      <c r="AV33" s="1045"/>
      <c r="AW33" s="1045"/>
      <c r="AX33" s="1045"/>
      <c r="AY33" s="1045"/>
      <c r="AZ33" s="1045"/>
      <c r="BA33" s="1045"/>
      <c r="BB33" s="1045"/>
      <c r="BC33" s="1045"/>
      <c r="BD33" s="1045"/>
      <c r="BE33" s="1045"/>
      <c r="BF33" s="1045"/>
      <c r="BG33" s="1045"/>
      <c r="BH33" s="797"/>
      <c r="BI33" s="1043" t="s">
        <v>881</v>
      </c>
      <c r="BJ33" s="1043"/>
      <c r="BK33" s="1043"/>
      <c r="BL33" s="1043"/>
      <c r="BM33" s="1043"/>
      <c r="BN33" s="1043"/>
      <c r="BO33" s="1043"/>
      <c r="BP33" s="796"/>
      <c r="BQ33" s="1045"/>
      <c r="BR33" s="1045"/>
      <c r="BS33" s="1045"/>
      <c r="BT33" s="1045"/>
      <c r="BU33" s="1045"/>
      <c r="BV33" s="1045"/>
      <c r="BW33" s="1045"/>
      <c r="BX33" s="1045"/>
      <c r="BY33" s="1045"/>
      <c r="BZ33" s="1045"/>
      <c r="CA33" s="1045"/>
      <c r="CB33" s="1045"/>
      <c r="CC33" s="1045"/>
      <c r="CD33" s="1045"/>
      <c r="CE33" s="1045"/>
      <c r="CF33" s="1045"/>
      <c r="CG33" s="1045"/>
      <c r="CH33" s="1045"/>
      <c r="CI33" s="1045"/>
      <c r="CJ33" s="1045"/>
      <c r="CK33" s="1045"/>
      <c r="CL33" s="1045"/>
      <c r="CM33" s="774"/>
      <c r="CN33" s="774"/>
      <c r="CO33" s="774"/>
      <c r="CP33" s="774"/>
    </row>
    <row r="34" spans="2:94" hidden="1" x14ac:dyDescent="0.25">
      <c r="H34" s="9"/>
      <c r="I34" s="9"/>
      <c r="J34" s="9"/>
      <c r="K34" s="9"/>
      <c r="L34" s="9"/>
      <c r="M34" s="9"/>
      <c r="N34" s="9"/>
      <c r="O34" s="9"/>
      <c r="P34" s="9"/>
      <c r="Q34" s="774"/>
      <c r="R34" s="774"/>
      <c r="S34" s="774"/>
      <c r="T34" s="774"/>
      <c r="U34" s="774"/>
      <c r="V34" s="1043" t="s">
        <v>882</v>
      </c>
      <c r="W34" s="1043"/>
      <c r="X34" s="1043"/>
      <c r="Y34" s="1043"/>
      <c r="Z34" s="1043"/>
      <c r="AA34" s="1043"/>
      <c r="AB34" s="1043"/>
      <c r="AC34" s="1043"/>
      <c r="AD34" s="1043"/>
      <c r="AE34" s="1043"/>
      <c r="AF34" s="1043"/>
      <c r="AG34" s="1043"/>
      <c r="AH34" s="1043"/>
      <c r="AI34" s="1043"/>
      <c r="AJ34" s="1043"/>
      <c r="AK34" s="774"/>
      <c r="AL34" s="1044"/>
      <c r="AM34" s="1044"/>
      <c r="AN34" s="1044"/>
      <c r="AO34" s="1044"/>
      <c r="AP34" s="1044"/>
      <c r="AQ34" s="1044"/>
      <c r="AR34" s="1044"/>
      <c r="AS34" s="1044"/>
      <c r="AT34" s="1044"/>
      <c r="AU34" s="1044"/>
      <c r="AV34" s="1044"/>
      <c r="AW34" s="1044"/>
      <c r="AX34" s="1044"/>
      <c r="AY34" s="1044"/>
      <c r="AZ34" s="1044"/>
      <c r="BA34" s="1044"/>
      <c r="BB34" s="1044"/>
      <c r="BC34" s="1044"/>
      <c r="BD34" s="1044"/>
      <c r="BE34" s="1044"/>
      <c r="BF34" s="1044"/>
      <c r="BG34" s="1044"/>
      <c r="BH34" s="774"/>
      <c r="BI34" s="1043" t="s">
        <v>882</v>
      </c>
      <c r="BJ34" s="1043"/>
      <c r="BK34" s="1043"/>
      <c r="BL34" s="1043"/>
      <c r="BM34" s="1043"/>
      <c r="BN34" s="1043"/>
      <c r="BO34" s="1043"/>
      <c r="BP34" s="796"/>
      <c r="BQ34" s="1044"/>
      <c r="BR34" s="1044"/>
      <c r="BS34" s="1044"/>
      <c r="BT34" s="1044"/>
      <c r="BU34" s="1044"/>
      <c r="BV34" s="1044"/>
      <c r="BW34" s="1044"/>
      <c r="BX34" s="1044"/>
      <c r="BY34" s="1044"/>
      <c r="BZ34" s="1044"/>
      <c r="CA34" s="1044"/>
      <c r="CB34" s="1044"/>
      <c r="CC34" s="1044"/>
      <c r="CD34" s="1044"/>
      <c r="CE34" s="1044"/>
      <c r="CF34" s="1044"/>
      <c r="CG34" s="1044"/>
      <c r="CH34" s="1044"/>
      <c r="CI34" s="1044"/>
      <c r="CJ34" s="1044"/>
      <c r="CK34" s="1044"/>
      <c r="CL34" s="1044"/>
      <c r="CM34" s="774"/>
      <c r="CN34" s="774"/>
      <c r="CO34" s="774"/>
      <c r="CP34" s="774"/>
    </row>
    <row r="35" spans="2:94" hidden="1" x14ac:dyDescent="0.25">
      <c r="H35" s="9"/>
      <c r="I35" s="9"/>
      <c r="J35" s="9"/>
      <c r="K35" s="9"/>
      <c r="L35" s="9"/>
      <c r="M35" s="9"/>
      <c r="N35" s="9"/>
      <c r="O35" s="9"/>
      <c r="P35" s="9"/>
      <c r="Q35" s="774"/>
      <c r="R35" s="774"/>
      <c r="S35" s="774"/>
      <c r="T35" s="774"/>
      <c r="U35" s="774"/>
      <c r="V35" s="774"/>
      <c r="W35" s="774"/>
      <c r="X35" s="774"/>
      <c r="Y35" s="774"/>
      <c r="Z35" s="774"/>
      <c r="AA35" s="774"/>
      <c r="AB35" s="774"/>
      <c r="AC35" s="774"/>
      <c r="AD35" s="774"/>
      <c r="AE35" s="774"/>
      <c r="AF35" s="774"/>
      <c r="AG35" s="774"/>
      <c r="AH35" s="774"/>
      <c r="AI35" s="774"/>
      <c r="AJ35" s="774"/>
      <c r="AK35" s="774"/>
      <c r="AL35" s="774"/>
      <c r="AM35" s="774"/>
      <c r="AN35" s="774"/>
      <c r="AO35" s="774"/>
      <c r="AP35" s="774"/>
      <c r="AQ35" s="774"/>
      <c r="AR35" s="774"/>
      <c r="AS35" s="774"/>
      <c r="AT35" s="774"/>
      <c r="AU35" s="774"/>
      <c r="AV35" s="774"/>
      <c r="AW35" s="774"/>
      <c r="AX35" s="774"/>
      <c r="AY35" s="774"/>
      <c r="AZ35" s="774"/>
      <c r="BA35" s="774"/>
      <c r="BB35" s="774"/>
      <c r="BC35" s="774"/>
      <c r="BD35" s="774"/>
      <c r="BE35" s="774"/>
      <c r="BF35" s="774"/>
      <c r="BG35" s="774"/>
      <c r="BH35" s="774"/>
      <c r="BI35" s="774"/>
      <c r="BJ35" s="774"/>
      <c r="BK35" s="774"/>
      <c r="BL35" s="774"/>
      <c r="BM35" s="774"/>
      <c r="BN35" s="774"/>
      <c r="BO35" s="774"/>
      <c r="BP35" s="774"/>
      <c r="BQ35" s="774"/>
      <c r="BR35" s="774"/>
      <c r="BS35" s="774"/>
      <c r="BT35" s="774"/>
      <c r="BU35" s="774"/>
      <c r="BV35" s="774"/>
      <c r="BW35" s="774"/>
      <c r="BX35" s="774"/>
      <c r="BY35" s="774"/>
      <c r="BZ35" s="774"/>
      <c r="CA35" s="774"/>
      <c r="CB35" s="774"/>
      <c r="CC35" s="774"/>
      <c r="CD35" s="774"/>
      <c r="CE35" s="774"/>
      <c r="CF35" s="774"/>
      <c r="CG35" s="774"/>
      <c r="CH35" s="774"/>
      <c r="CI35" s="774"/>
      <c r="CJ35" s="774"/>
      <c r="CK35" s="774"/>
      <c r="CL35" s="774"/>
      <c r="CM35" s="774"/>
      <c r="CN35" s="774"/>
      <c r="CO35" s="774"/>
      <c r="CP35" s="774"/>
    </row>
    <row r="36" spans="2:94" hidden="1" x14ac:dyDescent="0.25">
      <c r="H36" s="9"/>
      <c r="I36" s="9"/>
      <c r="J36" s="9"/>
      <c r="K36" s="9"/>
      <c r="L36" s="9"/>
      <c r="M36" s="9"/>
      <c r="N36" s="9"/>
      <c r="O36" s="9"/>
      <c r="P36" s="9"/>
      <c r="Q36" s="774"/>
      <c r="R36" s="774"/>
      <c r="S36" s="774"/>
      <c r="T36" s="774"/>
      <c r="U36" s="774"/>
      <c r="V36" s="774"/>
      <c r="W36" s="774"/>
      <c r="X36" s="774"/>
      <c r="Y36" s="774"/>
      <c r="Z36" s="774"/>
      <c r="AA36" s="774"/>
      <c r="AB36" s="774"/>
      <c r="AC36" s="774"/>
      <c r="AD36" s="774"/>
      <c r="AE36" s="774"/>
      <c r="AF36" s="774"/>
      <c r="AG36" s="774"/>
      <c r="AH36" s="774"/>
      <c r="AI36" s="774"/>
      <c r="AJ36" s="774"/>
      <c r="AK36" s="774"/>
      <c r="AL36" s="774"/>
      <c r="AM36" s="774"/>
      <c r="AN36" s="774"/>
      <c r="AO36" s="774"/>
      <c r="AP36" s="774"/>
      <c r="AQ36" s="774"/>
      <c r="AR36" s="774"/>
      <c r="AS36" s="774"/>
      <c r="AT36" s="774"/>
      <c r="AU36" s="774"/>
      <c r="AV36" s="774"/>
      <c r="AW36" s="774"/>
      <c r="AX36" s="774"/>
      <c r="AY36" s="774"/>
      <c r="AZ36" s="774"/>
      <c r="BA36" s="774"/>
      <c r="BB36" s="774"/>
      <c r="BC36" s="774"/>
      <c r="BD36" s="774"/>
      <c r="BE36" s="774"/>
      <c r="BF36" s="774"/>
      <c r="BG36" s="774"/>
      <c r="BH36" s="774"/>
      <c r="BI36" s="774"/>
      <c r="BJ36" s="774"/>
      <c r="BK36" s="774"/>
      <c r="BL36" s="774"/>
      <c r="BM36" s="774"/>
      <c r="BN36" s="774"/>
      <c r="BO36" s="774"/>
      <c r="BP36" s="774"/>
      <c r="BQ36" s="774"/>
      <c r="BR36" s="774"/>
      <c r="BS36" s="774"/>
      <c r="BT36" s="774"/>
      <c r="BU36" s="774"/>
      <c r="BV36" s="774"/>
      <c r="BW36" s="774"/>
      <c r="BX36" s="774"/>
      <c r="BY36" s="774"/>
      <c r="BZ36" s="774"/>
      <c r="CA36" s="774"/>
      <c r="CB36" s="774"/>
      <c r="CC36" s="774"/>
      <c r="CD36" s="774"/>
      <c r="CE36" s="774"/>
      <c r="CF36" s="774"/>
      <c r="CG36" s="774"/>
      <c r="CH36" s="774"/>
      <c r="CI36" s="774"/>
      <c r="CJ36" s="774"/>
      <c r="CK36" s="774"/>
      <c r="CL36" s="774"/>
      <c r="CM36" s="774"/>
      <c r="CN36" s="774"/>
      <c r="CO36" s="774"/>
      <c r="CP36" s="774"/>
    </row>
    <row r="37" spans="2:94" x14ac:dyDescent="0.25">
      <c r="H37" s="777"/>
      <c r="I37" s="777"/>
      <c r="J37" s="777"/>
      <c r="K37" s="777"/>
      <c r="L37" s="777"/>
      <c r="M37" s="777"/>
      <c r="N37" s="777"/>
      <c r="O37" s="777"/>
      <c r="P37" s="777"/>
      <c r="Q37" s="777"/>
      <c r="R37" s="777"/>
      <c r="S37" s="777"/>
      <c r="T37" s="777"/>
      <c r="U37" s="777"/>
      <c r="V37" s="777"/>
      <c r="W37" s="777"/>
      <c r="X37" s="777"/>
      <c r="Y37" s="777"/>
      <c r="Z37" s="777"/>
      <c r="AA37" s="777"/>
      <c r="AB37" s="777"/>
      <c r="AC37" s="777"/>
      <c r="AD37" s="777"/>
      <c r="AE37" s="777"/>
      <c r="AF37" s="783"/>
      <c r="AG37" s="783"/>
      <c r="AH37" s="783"/>
      <c r="AI37" s="783"/>
      <c r="AJ37" s="783"/>
      <c r="AK37" s="783"/>
      <c r="AL37" s="783"/>
      <c r="AM37" s="783"/>
      <c r="AN37" s="783"/>
      <c r="AO37" s="783"/>
      <c r="AP37" s="783"/>
      <c r="AQ37" s="783"/>
      <c r="AR37" s="783"/>
      <c r="AS37" s="783"/>
      <c r="AT37" s="783"/>
      <c r="AU37" s="783"/>
      <c r="AV37" s="783"/>
      <c r="AW37" s="783"/>
      <c r="AX37" s="783"/>
      <c r="AY37" s="777"/>
      <c r="AZ37" s="777"/>
      <c r="BA37" s="777"/>
      <c r="BB37" s="777"/>
      <c r="BC37" s="777"/>
      <c r="BD37" s="777"/>
      <c r="BE37" s="777"/>
      <c r="BF37" s="777"/>
      <c r="BG37" s="777"/>
      <c r="BH37" s="777"/>
      <c r="BI37" s="777"/>
      <c r="BJ37" s="777"/>
      <c r="BK37" s="777"/>
      <c r="BL37" s="777"/>
      <c r="BM37" s="777"/>
      <c r="BN37" s="777"/>
      <c r="BO37" s="777"/>
      <c r="BP37" s="777"/>
      <c r="BQ37" s="777"/>
      <c r="BR37" s="777"/>
      <c r="BS37" s="777"/>
      <c r="BT37" s="777"/>
      <c r="BU37" s="777"/>
      <c r="BV37" s="777"/>
      <c r="BW37" s="777"/>
      <c r="BX37" s="777"/>
      <c r="BY37" s="777"/>
      <c r="BZ37" s="777"/>
      <c r="CA37" s="777"/>
      <c r="CB37" s="777"/>
      <c r="CC37" s="777"/>
      <c r="CD37" s="777"/>
      <c r="CE37" s="777"/>
      <c r="CF37" s="777"/>
      <c r="CG37" s="777"/>
      <c r="CH37" s="777"/>
      <c r="CI37" s="777"/>
      <c r="CJ37" s="777"/>
      <c r="CK37" s="777"/>
      <c r="CL37" s="777"/>
      <c r="CM37" s="777"/>
      <c r="CN37" s="777"/>
      <c r="CO37" s="777"/>
      <c r="CP37" s="777"/>
    </row>
    <row r="38" spans="2:94" x14ac:dyDescent="0.25">
      <c r="H38" s="9"/>
      <c r="I38" s="9"/>
      <c r="J38" s="9"/>
      <c r="Q38" s="774"/>
      <c r="R38" s="774"/>
      <c r="S38" s="774"/>
      <c r="T38" s="774"/>
      <c r="U38" s="774"/>
      <c r="V38" s="774"/>
      <c r="W38" s="774"/>
      <c r="X38" s="774"/>
      <c r="Y38" s="774"/>
      <c r="Z38" s="774"/>
      <c r="AA38" s="774"/>
      <c r="AB38" s="774"/>
      <c r="AC38" s="774"/>
      <c r="AD38" s="774"/>
      <c r="AE38" s="774"/>
      <c r="AF38" s="774"/>
      <c r="AG38" s="774"/>
      <c r="AH38" s="774"/>
      <c r="AI38" s="774"/>
      <c r="AJ38" s="774"/>
      <c r="AK38" s="774"/>
      <c r="AL38" s="774"/>
      <c r="AM38" s="774"/>
      <c r="AN38" s="774"/>
      <c r="AO38" s="774"/>
      <c r="AP38" s="774"/>
      <c r="AQ38" s="774"/>
      <c r="AR38" s="774"/>
      <c r="AS38" s="774"/>
      <c r="AT38" s="774"/>
      <c r="AU38" s="774"/>
      <c r="AV38" s="774"/>
      <c r="AW38" s="774"/>
      <c r="AX38" s="774"/>
      <c r="AY38" s="774"/>
      <c r="AZ38" s="774"/>
      <c r="BA38" s="774"/>
      <c r="BB38" s="774"/>
      <c r="BC38" s="774"/>
      <c r="BD38" s="774"/>
      <c r="BE38" s="774"/>
      <c r="BF38" s="774"/>
      <c r="BG38" s="774"/>
      <c r="BH38" s="774"/>
      <c r="BI38" s="774"/>
      <c r="BJ38" s="774"/>
      <c r="BK38" s="774"/>
      <c r="BL38" s="774"/>
      <c r="BM38" s="774"/>
      <c r="BN38" s="774"/>
      <c r="BO38" s="774"/>
      <c r="BP38" s="774"/>
      <c r="BQ38" s="774"/>
      <c r="BR38" s="774"/>
      <c r="BS38" s="774"/>
      <c r="BT38" s="774"/>
      <c r="BU38" s="774"/>
      <c r="BV38" s="774"/>
      <c r="BW38" s="774"/>
      <c r="BX38" s="774"/>
      <c r="BY38" s="774"/>
      <c r="BZ38" s="774"/>
      <c r="CA38" s="774"/>
      <c r="CB38" s="774"/>
      <c r="CC38" s="774"/>
      <c r="CD38" s="774"/>
      <c r="CE38" s="774"/>
      <c r="CF38" s="774"/>
      <c r="CG38" s="774"/>
      <c r="CH38" s="774"/>
      <c r="CI38" s="774"/>
      <c r="CJ38" s="774"/>
      <c r="CK38" s="774"/>
      <c r="CL38" s="774"/>
      <c r="CM38" s="774"/>
      <c r="CN38" s="774"/>
      <c r="CO38" s="774"/>
      <c r="CP38" s="774"/>
    </row>
    <row r="39" spans="2:94" ht="30" x14ac:dyDescent="0.25">
      <c r="H39" s="782"/>
      <c r="I39" s="782"/>
      <c r="J39" s="782"/>
      <c r="Q39" s="781" t="s">
        <v>883</v>
      </c>
      <c r="R39" s="781"/>
      <c r="S39" s="781"/>
      <c r="T39" s="781"/>
      <c r="U39" s="781"/>
      <c r="V39" s="781"/>
      <c r="W39" s="781"/>
      <c r="X39" s="781"/>
      <c r="Y39" s="781"/>
      <c r="Z39" s="781"/>
      <c r="AA39" s="781"/>
      <c r="AB39" s="781"/>
      <c r="AC39" s="781"/>
      <c r="AD39" s="781"/>
      <c r="AE39" s="781"/>
      <c r="AF39" s="781"/>
      <c r="AG39" s="781"/>
      <c r="AH39" s="781"/>
      <c r="AI39" s="781"/>
      <c r="AJ39" s="781"/>
      <c r="AK39" s="781"/>
      <c r="AL39" s="781"/>
      <c r="AM39" s="781"/>
      <c r="AN39" s="781"/>
      <c r="AO39" s="781"/>
      <c r="AP39" s="781"/>
      <c r="AQ39" s="781"/>
      <c r="AR39" s="781"/>
      <c r="AS39" s="781"/>
      <c r="AT39" s="781"/>
      <c r="AU39" s="781"/>
      <c r="AV39" s="781"/>
      <c r="AW39" s="781"/>
      <c r="AX39" s="781"/>
      <c r="AY39" s="781"/>
      <c r="AZ39" s="781"/>
      <c r="BA39" s="781"/>
      <c r="BB39" s="781"/>
      <c r="BC39" s="781"/>
      <c r="BD39" s="781"/>
      <c r="BE39" s="781"/>
      <c r="BF39" s="781"/>
      <c r="BG39" s="781"/>
      <c r="BH39" s="781"/>
      <c r="BI39" s="781"/>
      <c r="BJ39" s="781"/>
      <c r="BK39" s="781"/>
      <c r="BL39" s="781"/>
      <c r="BM39" s="781"/>
      <c r="BN39" s="781"/>
      <c r="BO39" s="781"/>
      <c r="BP39" s="781"/>
      <c r="BQ39" s="781"/>
      <c r="BR39" s="781"/>
      <c r="BS39" s="781"/>
      <c r="BT39" s="781"/>
      <c r="BU39" s="781"/>
      <c r="BV39" s="781"/>
      <c r="BW39" s="781"/>
      <c r="BX39" s="781"/>
      <c r="BY39" s="781"/>
      <c r="BZ39" s="781"/>
      <c r="CA39" s="781"/>
      <c r="CB39" s="781"/>
      <c r="CC39" s="781"/>
      <c r="CD39" s="781"/>
      <c r="CE39" s="781"/>
      <c r="CF39" s="781"/>
      <c r="CG39" s="781"/>
      <c r="CH39" s="781"/>
      <c r="CI39" s="781"/>
      <c r="CJ39" s="781"/>
      <c r="CK39" s="781"/>
      <c r="CL39" s="781"/>
      <c r="CM39" s="781"/>
      <c r="CN39" s="781"/>
      <c r="CO39" s="781"/>
      <c r="CP39" s="781"/>
    </row>
    <row r="40" spans="2:94" x14ac:dyDescent="0.25">
      <c r="H40" s="777"/>
      <c r="I40" s="777"/>
      <c r="J40" s="777"/>
      <c r="Q40" s="776"/>
      <c r="R40" s="776"/>
      <c r="S40" s="776"/>
      <c r="T40" s="776"/>
      <c r="U40" s="776"/>
      <c r="V40" s="776"/>
      <c r="W40" s="776"/>
      <c r="X40" s="776"/>
      <c r="Y40" s="776"/>
      <c r="Z40" s="776"/>
      <c r="AA40" s="776"/>
      <c r="AB40" s="776"/>
      <c r="AC40" s="776"/>
      <c r="AD40" s="776"/>
      <c r="AE40" s="776"/>
      <c r="AF40" s="776"/>
      <c r="AG40" s="776"/>
      <c r="AH40" s="776"/>
      <c r="AI40" s="776"/>
      <c r="AJ40" s="776"/>
      <c r="AK40" s="776"/>
      <c r="AL40" s="776"/>
      <c r="AM40" s="776"/>
      <c r="AN40" s="776"/>
      <c r="AO40" s="776"/>
      <c r="AP40" s="776"/>
      <c r="AQ40" s="776"/>
      <c r="AR40" s="776"/>
      <c r="AS40" s="776"/>
      <c r="AT40" s="776"/>
      <c r="AU40" s="776"/>
      <c r="AV40" s="776"/>
      <c r="AW40" s="776"/>
      <c r="AX40" s="776"/>
      <c r="AY40" s="776"/>
      <c r="AZ40" s="776"/>
      <c r="BA40" s="776"/>
      <c r="BB40" s="776"/>
      <c r="BC40" s="776"/>
      <c r="BD40" s="776"/>
      <c r="BE40" s="776"/>
      <c r="BF40" s="776"/>
      <c r="BG40" s="776"/>
      <c r="BH40" s="776"/>
      <c r="BI40" s="776"/>
      <c r="BJ40" s="776"/>
      <c r="BK40" s="776"/>
      <c r="BL40" s="776"/>
      <c r="BM40" s="776"/>
      <c r="BN40" s="776"/>
      <c r="BO40" s="776"/>
      <c r="BP40" s="776"/>
      <c r="BQ40" s="776"/>
      <c r="BR40" s="776"/>
      <c r="BS40" s="776"/>
      <c r="BT40" s="776"/>
      <c r="BU40" s="776"/>
      <c r="BV40" s="776"/>
      <c r="BW40" s="776"/>
      <c r="BX40" s="776"/>
      <c r="BY40" s="776"/>
      <c r="BZ40" s="776"/>
      <c r="CA40" s="776"/>
      <c r="CB40" s="776"/>
      <c r="CC40" s="776"/>
      <c r="CD40" s="776"/>
      <c r="CE40" s="776"/>
      <c r="CF40" s="776"/>
      <c r="CG40" s="776"/>
      <c r="CH40" s="776"/>
      <c r="CI40" s="776"/>
      <c r="CJ40" s="776"/>
      <c r="CK40" s="776"/>
      <c r="CL40" s="776"/>
      <c r="CM40" s="776"/>
      <c r="CN40" s="776"/>
      <c r="CO40" s="776"/>
      <c r="CP40" s="776"/>
    </row>
    <row r="41" spans="2:94" x14ac:dyDescent="0.25">
      <c r="H41" s="777"/>
      <c r="I41" s="777"/>
      <c r="J41" s="777"/>
      <c r="Q41" s="776"/>
      <c r="R41" s="776"/>
      <c r="S41" s="776"/>
      <c r="T41" s="776"/>
      <c r="U41" s="776"/>
      <c r="V41" s="776"/>
      <c r="W41" s="776"/>
      <c r="X41" s="776"/>
      <c r="Y41" s="776"/>
      <c r="Z41" s="776"/>
      <c r="AA41" s="776"/>
      <c r="AB41" s="776"/>
      <c r="AC41" s="776"/>
      <c r="AD41" s="776"/>
      <c r="AE41" s="776"/>
      <c r="AF41" s="776"/>
      <c r="AG41" s="776"/>
      <c r="AH41" s="776"/>
      <c r="AI41" s="776"/>
      <c r="AJ41" s="776"/>
      <c r="AK41" s="776"/>
      <c r="AL41" s="795"/>
      <c r="AM41" s="794"/>
      <c r="AN41" s="794"/>
      <c r="AO41" s="794"/>
      <c r="AP41" s="794"/>
      <c r="AQ41" s="794"/>
      <c r="AR41" s="794"/>
      <c r="AS41" s="794"/>
      <c r="AT41" s="794"/>
      <c r="AU41" s="795"/>
      <c r="AV41" s="794"/>
      <c r="AW41" s="794"/>
      <c r="AX41" s="794"/>
      <c r="AY41" s="794"/>
      <c r="AZ41" s="794"/>
      <c r="BA41" s="794"/>
      <c r="BB41" s="794"/>
      <c r="BC41" s="794"/>
      <c r="BD41" s="795"/>
      <c r="BE41" s="794"/>
      <c r="BF41" s="794"/>
      <c r="BG41" s="794"/>
      <c r="BH41" s="794"/>
      <c r="BI41" s="794"/>
      <c r="BJ41" s="794"/>
      <c r="BK41" s="794"/>
      <c r="BL41" s="794"/>
      <c r="BM41" s="795"/>
      <c r="BN41" s="794"/>
      <c r="BO41" s="794"/>
      <c r="BP41" s="794"/>
      <c r="BQ41" s="794"/>
      <c r="BR41" s="794"/>
      <c r="BS41" s="794"/>
      <c r="BT41" s="794"/>
      <c r="BU41" s="794"/>
      <c r="BV41" s="795"/>
      <c r="BW41" s="794"/>
      <c r="BX41" s="794"/>
      <c r="BY41" s="794"/>
      <c r="BZ41" s="794"/>
      <c r="CA41" s="794"/>
      <c r="CB41" s="794"/>
      <c r="CC41" s="794"/>
      <c r="CD41" s="794"/>
      <c r="CE41" s="776"/>
      <c r="CF41" s="776"/>
      <c r="CG41" s="776"/>
      <c r="CH41" s="776"/>
      <c r="CI41" s="776"/>
      <c r="CJ41" s="776"/>
      <c r="CK41" s="776"/>
      <c r="CL41" s="776"/>
      <c r="CM41" s="776"/>
      <c r="CN41" s="776"/>
      <c r="CO41" s="776"/>
      <c r="CP41" s="776"/>
    </row>
    <row r="42" spans="2:94" ht="15.75" customHeight="1" x14ac:dyDescent="0.25">
      <c r="B42" s="19"/>
      <c r="H42" s="777"/>
      <c r="I42" s="777"/>
      <c r="J42" s="777"/>
      <c r="Q42" s="778"/>
      <c r="R42" s="778"/>
      <c r="S42" s="778"/>
      <c r="T42" s="778"/>
      <c r="U42" s="778"/>
      <c r="V42" s="778"/>
      <c r="W42" s="776"/>
      <c r="X42" s="776"/>
      <c r="Y42" s="776"/>
      <c r="Z42" s="1033" t="s">
        <v>884</v>
      </c>
      <c r="AA42" s="1033"/>
      <c r="AB42" s="1033"/>
      <c r="AC42" s="1033"/>
      <c r="AD42" s="1033"/>
      <c r="AE42" s="1033"/>
      <c r="AF42" s="1033"/>
      <c r="AG42" s="1033"/>
      <c r="AH42" s="1033"/>
      <c r="AI42" s="1033"/>
      <c r="AJ42" s="775"/>
      <c r="AK42" s="775"/>
      <c r="AL42" s="1041" t="s">
        <v>547</v>
      </c>
      <c r="AM42" s="1041"/>
      <c r="AN42" s="1041"/>
      <c r="AO42" s="1041"/>
      <c r="AP42" s="1041"/>
      <c r="AQ42" s="1041"/>
      <c r="AR42" s="1041"/>
      <c r="AS42" s="1041"/>
      <c r="AT42" s="787"/>
      <c r="AU42" s="1042" t="str">
        <f ca="1">FRCP_y2</f>
        <v>2027-28</v>
      </c>
      <c r="AV42" s="1042"/>
      <c r="AW42" s="1042"/>
      <c r="AX42" s="1042"/>
      <c r="AY42" s="1042"/>
      <c r="AZ42" s="1042"/>
      <c r="BA42" s="1042"/>
      <c r="BB42" s="1042"/>
      <c r="BC42" s="787"/>
      <c r="BD42" s="1042" t="str">
        <f ca="1">FRCP_y3</f>
        <v>2028-29</v>
      </c>
      <c r="BE42" s="1042"/>
      <c r="BF42" s="1042"/>
      <c r="BG42" s="1042"/>
      <c r="BH42" s="1042"/>
      <c r="BI42" s="1042"/>
      <c r="BJ42" s="1042"/>
      <c r="BK42" s="1042"/>
      <c r="BL42" s="787"/>
      <c r="BM42" s="1042" t="str">
        <f ca="1">FRCP_y4</f>
        <v>2029-30</v>
      </c>
      <c r="BN42" s="1042"/>
      <c r="BO42" s="1042"/>
      <c r="BP42" s="1042"/>
      <c r="BQ42" s="1042"/>
      <c r="BR42" s="1042"/>
      <c r="BS42" s="1042"/>
      <c r="BT42" s="1042"/>
      <c r="BU42" s="787"/>
      <c r="BV42" s="1040" t="str">
        <f ca="1">FRCP_y5</f>
        <v>2030-31</v>
      </c>
      <c r="BW42" s="1040"/>
      <c r="BX42" s="1040"/>
      <c r="BY42" s="1040"/>
      <c r="BZ42" s="1040"/>
      <c r="CA42" s="1040"/>
      <c r="CB42" s="1040"/>
      <c r="CC42" s="1040"/>
      <c r="CD42" s="776"/>
      <c r="CE42" s="776"/>
      <c r="CF42" s="776"/>
      <c r="CG42" s="776"/>
      <c r="CH42" s="776"/>
      <c r="CI42" s="776"/>
      <c r="CJ42" s="776"/>
      <c r="CK42" s="776"/>
      <c r="CL42" s="776"/>
      <c r="CM42" s="776"/>
      <c r="CN42" s="776"/>
      <c r="CO42" s="776"/>
      <c r="CP42" s="776"/>
    </row>
    <row r="43" spans="2:94" ht="18" x14ac:dyDescent="0.25">
      <c r="B43" s="19"/>
      <c r="H43" s="777"/>
      <c r="I43" s="777"/>
      <c r="J43" s="777"/>
      <c r="Q43" s="778"/>
      <c r="R43" s="778"/>
      <c r="S43" s="778"/>
      <c r="T43" s="778"/>
      <c r="U43" s="778"/>
      <c r="V43" s="778"/>
      <c r="W43" s="776"/>
      <c r="X43" s="776"/>
      <c r="Y43" s="776"/>
      <c r="Z43" s="775"/>
      <c r="AA43" s="793"/>
      <c r="AB43" s="793"/>
      <c r="AC43" s="793"/>
      <c r="AD43" s="793"/>
      <c r="AE43" s="793"/>
      <c r="AF43" s="793"/>
      <c r="AG43" s="793"/>
      <c r="AH43" s="793"/>
      <c r="AI43" s="793"/>
      <c r="AJ43" s="793"/>
      <c r="AK43" s="793"/>
      <c r="AL43" s="1040" t="str">
        <f ca="1">FRCP_y6</f>
        <v>2031-32</v>
      </c>
      <c r="AM43" s="1040"/>
      <c r="AN43" s="1040"/>
      <c r="AO43" s="1040"/>
      <c r="AP43" s="1040"/>
      <c r="AQ43" s="1040"/>
      <c r="AR43" s="1040"/>
      <c r="AS43" s="1040"/>
      <c r="AT43" s="792"/>
      <c r="AU43" s="1040" t="str">
        <f ca="1">FRCP_y7</f>
        <v>2032-33</v>
      </c>
      <c r="AV43" s="1040"/>
      <c r="AW43" s="1040"/>
      <c r="AX43" s="1040"/>
      <c r="AY43" s="1040"/>
      <c r="AZ43" s="1040"/>
      <c r="BA43" s="1040"/>
      <c r="BB43" s="1040"/>
      <c r="BC43" s="792"/>
      <c r="BD43" s="1040" t="str">
        <f ca="1">FRCP_y8</f>
        <v>2033-34</v>
      </c>
      <c r="BE43" s="1040"/>
      <c r="BF43" s="1040"/>
      <c r="BG43" s="1040"/>
      <c r="BH43" s="1040"/>
      <c r="BI43" s="1040"/>
      <c r="BJ43" s="1040"/>
      <c r="BK43" s="1040"/>
      <c r="BL43" s="789"/>
      <c r="BM43" s="1040" t="str">
        <f ca="1">FRCP_y9</f>
        <v>2034-35</v>
      </c>
      <c r="BN43" s="1040"/>
      <c r="BO43" s="1040"/>
      <c r="BP43" s="1040"/>
      <c r="BQ43" s="1040"/>
      <c r="BR43" s="1040"/>
      <c r="BS43" s="1040"/>
      <c r="BT43" s="1040"/>
      <c r="BU43" s="789"/>
      <c r="BV43" s="1040" t="str">
        <f ca="1">FRCP_y10</f>
        <v>2035-36</v>
      </c>
      <c r="BW43" s="1040"/>
      <c r="BX43" s="1040"/>
      <c r="BY43" s="1040"/>
      <c r="BZ43" s="1040"/>
      <c r="CA43" s="1040"/>
      <c r="CB43" s="1040"/>
      <c r="CC43" s="1040"/>
      <c r="CD43" s="776"/>
      <c r="CE43" s="776"/>
      <c r="CF43" s="776"/>
      <c r="CG43" s="776"/>
      <c r="CH43" s="776"/>
      <c r="CI43" s="776"/>
      <c r="CJ43" s="776"/>
      <c r="CK43" s="776"/>
      <c r="CL43" s="776"/>
      <c r="CM43" s="776"/>
      <c r="CN43" s="776"/>
      <c r="CO43" s="776"/>
      <c r="CP43" s="776"/>
    </row>
    <row r="44" spans="2:94" ht="15" customHeight="1" x14ac:dyDescent="0.25">
      <c r="H44" s="777"/>
      <c r="I44" s="777"/>
      <c r="J44" s="777"/>
      <c r="Q44" s="778"/>
      <c r="R44" s="778"/>
      <c r="S44" s="778"/>
      <c r="T44" s="778"/>
      <c r="U44" s="778"/>
      <c r="V44" s="778"/>
      <c r="W44" s="776"/>
      <c r="X44" s="776"/>
      <c r="Y44" s="776"/>
      <c r="Z44" s="775"/>
      <c r="AA44" s="775"/>
      <c r="AB44" s="775"/>
      <c r="AC44" s="775"/>
      <c r="AD44" s="775"/>
      <c r="AE44" s="775"/>
      <c r="AF44" s="775"/>
      <c r="AG44" s="775"/>
      <c r="AH44" s="775"/>
      <c r="AI44" s="775"/>
      <c r="AJ44" s="775"/>
      <c r="AK44" s="775"/>
      <c r="AL44" s="1040" t="str">
        <f ca="1">FRCP_y11</f>
        <v>2036-37</v>
      </c>
      <c r="AM44" s="1040"/>
      <c r="AN44" s="1040"/>
      <c r="AO44" s="1040"/>
      <c r="AP44" s="1040"/>
      <c r="AQ44" s="1040"/>
      <c r="AR44" s="1040"/>
      <c r="AS44" s="1040"/>
      <c r="AT44" s="790"/>
      <c r="AU44" s="1040" t="str">
        <f ca="1">FRCP_y12</f>
        <v>2037-38</v>
      </c>
      <c r="AV44" s="1040"/>
      <c r="AW44" s="1040"/>
      <c r="AX44" s="1040"/>
      <c r="AY44" s="1040"/>
      <c r="AZ44" s="1040"/>
      <c r="BA44" s="1040"/>
      <c r="BB44" s="1040"/>
      <c r="BC44" s="790"/>
      <c r="BD44" s="1040" t="str">
        <f ca="1">FRCP_y13</f>
        <v>2038-39</v>
      </c>
      <c r="BE44" s="1040"/>
      <c r="BF44" s="1040"/>
      <c r="BG44" s="1040"/>
      <c r="BH44" s="1040"/>
      <c r="BI44" s="1040"/>
      <c r="BJ44" s="1040"/>
      <c r="BK44" s="1040"/>
      <c r="BL44" s="790"/>
      <c r="BM44" s="1040" t="str">
        <f ca="1">FRCP_y14</f>
        <v>2039-40</v>
      </c>
      <c r="BN44" s="1040"/>
      <c r="BO44" s="1040"/>
      <c r="BP44" s="1040"/>
      <c r="BQ44" s="1040"/>
      <c r="BR44" s="1040"/>
      <c r="BS44" s="1040"/>
      <c r="BT44" s="1040"/>
      <c r="BU44" s="790"/>
      <c r="BV44" s="1040" t="str">
        <f ca="1">FRCP_y15</f>
        <v>2040-41</v>
      </c>
      <c r="BW44" s="1040"/>
      <c r="BX44" s="1040"/>
      <c r="BY44" s="1040"/>
      <c r="BZ44" s="1040"/>
      <c r="CA44" s="1040"/>
      <c r="CB44" s="1040"/>
      <c r="CC44" s="1040"/>
      <c r="CD44" s="776"/>
      <c r="CE44" s="776"/>
      <c r="CF44" s="776"/>
      <c r="CG44" s="776"/>
      <c r="CH44" s="776"/>
      <c r="CI44" s="776"/>
      <c r="CJ44" s="776"/>
      <c r="CK44" s="776"/>
      <c r="CL44" s="776"/>
      <c r="CM44" s="776"/>
      <c r="CN44" s="776"/>
      <c r="CO44" s="776"/>
      <c r="CP44" s="778"/>
    </row>
    <row r="45" spans="2:94" ht="15" customHeight="1" x14ac:dyDescent="0.25">
      <c r="B45" s="19"/>
      <c r="H45" s="777"/>
      <c r="I45" s="777"/>
      <c r="J45" s="777"/>
      <c r="Q45" s="778"/>
      <c r="R45" s="778"/>
      <c r="S45" s="778"/>
      <c r="T45" s="778"/>
      <c r="U45" s="778"/>
      <c r="V45" s="778"/>
      <c r="W45" s="776"/>
      <c r="X45" s="776"/>
      <c r="Y45" s="776"/>
      <c r="Z45" s="775"/>
      <c r="AA45" s="775"/>
      <c r="AB45" s="775"/>
      <c r="AC45" s="775"/>
      <c r="AD45" s="775"/>
      <c r="AE45" s="775"/>
      <c r="AF45" s="775"/>
      <c r="AG45" s="775"/>
      <c r="AH45" s="775"/>
      <c r="AI45" s="775"/>
      <c r="AJ45" s="775"/>
      <c r="AK45" s="775"/>
      <c r="AL45" s="791"/>
      <c r="AM45" s="790"/>
      <c r="AN45" s="790"/>
      <c r="AO45" s="790"/>
      <c r="AP45" s="790"/>
      <c r="AQ45" s="790"/>
      <c r="AR45" s="790"/>
      <c r="AS45" s="790"/>
      <c r="AT45" s="790"/>
      <c r="AU45" s="791"/>
      <c r="AV45" s="790"/>
      <c r="AW45" s="790"/>
      <c r="AX45" s="790"/>
      <c r="AY45" s="790"/>
      <c r="AZ45" s="790"/>
      <c r="BA45" s="790"/>
      <c r="BB45" s="790"/>
      <c r="BC45" s="790"/>
      <c r="BD45" s="791"/>
      <c r="BE45" s="790"/>
      <c r="BF45" s="790"/>
      <c r="BG45" s="790"/>
      <c r="BH45" s="790"/>
      <c r="BI45" s="790"/>
      <c r="BJ45" s="790"/>
      <c r="BK45" s="790"/>
      <c r="BL45" s="790"/>
      <c r="BM45" s="791"/>
      <c r="BN45" s="790"/>
      <c r="BO45" s="790"/>
      <c r="BP45" s="790"/>
      <c r="BQ45" s="790"/>
      <c r="BR45" s="790"/>
      <c r="BS45" s="790"/>
      <c r="BT45" s="790"/>
      <c r="BU45" s="790"/>
      <c r="BV45" s="791"/>
      <c r="BW45" s="790"/>
      <c r="BX45" s="790"/>
      <c r="BY45" s="790"/>
      <c r="BZ45" s="790"/>
      <c r="CA45" s="790"/>
      <c r="CB45" s="790"/>
      <c r="CC45" s="790"/>
      <c r="CD45" s="776"/>
      <c r="CE45" s="776"/>
      <c r="CF45" s="776"/>
      <c r="CG45" s="776"/>
      <c r="CH45" s="776"/>
      <c r="CI45" s="776"/>
      <c r="CJ45" s="776"/>
      <c r="CK45" s="776"/>
      <c r="CL45" s="776"/>
      <c r="CM45" s="776"/>
      <c r="CN45" s="776"/>
      <c r="CO45" s="776"/>
      <c r="CP45" s="778"/>
    </row>
    <row r="46" spans="2:94" ht="15.75" customHeight="1" x14ac:dyDescent="0.25">
      <c r="B46" s="19"/>
      <c r="H46" s="777"/>
      <c r="I46" s="777"/>
      <c r="J46" s="777"/>
      <c r="Q46" s="778"/>
      <c r="R46" s="778"/>
      <c r="S46" s="778"/>
      <c r="T46" s="778"/>
      <c r="U46" s="778"/>
      <c r="V46" s="778"/>
      <c r="W46" s="776"/>
      <c r="X46" s="778" t="s">
        <v>885</v>
      </c>
      <c r="Y46" s="776"/>
      <c r="Z46" s="1033" t="s">
        <v>886</v>
      </c>
      <c r="AA46" s="1033"/>
      <c r="AB46" s="1033"/>
      <c r="AC46" s="1033"/>
      <c r="AD46" s="1033"/>
      <c r="AE46" s="1033"/>
      <c r="AF46" s="1033"/>
      <c r="AG46" s="1033"/>
      <c r="AH46" s="1033"/>
      <c r="AI46" s="1033"/>
      <c r="AJ46" s="775"/>
      <c r="AK46" s="775"/>
      <c r="AL46" s="1042" t="str">
        <f ca="1">CRCP_y1</f>
        <v>2021-22</v>
      </c>
      <c r="AM46" s="1042"/>
      <c r="AN46" s="1042"/>
      <c r="AO46" s="1042"/>
      <c r="AP46" s="1042"/>
      <c r="AQ46" s="1042"/>
      <c r="AR46" s="1042"/>
      <c r="AS46" s="1042"/>
      <c r="AT46" s="787"/>
      <c r="AU46" s="1042" t="str">
        <f ca="1">CRCP_y2</f>
        <v>2022-23</v>
      </c>
      <c r="AV46" s="1042"/>
      <c r="AW46" s="1042"/>
      <c r="AX46" s="1042"/>
      <c r="AY46" s="1042"/>
      <c r="AZ46" s="1042"/>
      <c r="BA46" s="1042"/>
      <c r="BB46" s="1042"/>
      <c r="BC46" s="787"/>
      <c r="BD46" s="1042" t="str">
        <f ca="1">CRCP_y3</f>
        <v>2023-24</v>
      </c>
      <c r="BE46" s="1042"/>
      <c r="BF46" s="1042"/>
      <c r="BG46" s="1042"/>
      <c r="BH46" s="1042"/>
      <c r="BI46" s="1042"/>
      <c r="BJ46" s="1042"/>
      <c r="BK46" s="1042"/>
      <c r="BL46" s="787"/>
      <c r="BM46" s="1042" t="str">
        <f ca="1">CRCP_y4</f>
        <v>2024-25</v>
      </c>
      <c r="BN46" s="1042"/>
      <c r="BO46" s="1042"/>
      <c r="BP46" s="1042"/>
      <c r="BQ46" s="1042"/>
      <c r="BR46" s="1042"/>
      <c r="BS46" s="1042"/>
      <c r="BT46" s="1042"/>
      <c r="BU46" s="787"/>
      <c r="BV46" s="1042" t="str">
        <f ca="1">CRCP_y5</f>
        <v>2025-26</v>
      </c>
      <c r="BW46" s="1042"/>
      <c r="BX46" s="1042"/>
      <c r="BY46" s="1042"/>
      <c r="BZ46" s="1042"/>
      <c r="CA46" s="1042"/>
      <c r="CB46" s="1042"/>
      <c r="CC46" s="1042"/>
      <c r="CD46" s="776"/>
      <c r="CE46" s="776"/>
      <c r="CF46" s="776"/>
      <c r="CG46" s="776"/>
      <c r="CH46" s="776"/>
      <c r="CI46" s="776"/>
      <c r="CJ46" s="776"/>
      <c r="CK46" s="776"/>
      <c r="CL46" s="776"/>
      <c r="CM46" s="776"/>
      <c r="CN46" s="776"/>
      <c r="CO46" s="776"/>
      <c r="CP46" s="778"/>
    </row>
    <row r="47" spans="2:94" ht="15" customHeight="1" x14ac:dyDescent="0.25">
      <c r="H47" s="777"/>
      <c r="I47" s="777"/>
      <c r="J47" s="777"/>
      <c r="Q47" s="778"/>
      <c r="R47" s="778"/>
      <c r="S47" s="778"/>
      <c r="T47" s="778"/>
      <c r="U47" s="778"/>
      <c r="V47" s="778"/>
      <c r="W47" s="776"/>
      <c r="X47" s="776"/>
      <c r="Y47" s="776"/>
      <c r="Z47" s="775"/>
      <c r="AA47" s="775"/>
      <c r="AB47" s="775"/>
      <c r="AC47" s="775"/>
      <c r="AD47" s="775"/>
      <c r="AE47" s="775"/>
      <c r="AF47" s="775"/>
      <c r="AG47" s="775"/>
      <c r="AH47" s="775"/>
      <c r="AI47" s="775"/>
      <c r="AJ47" s="775"/>
      <c r="AK47" s="775"/>
      <c r="AL47" s="1040" t="str">
        <f ca="1">CRCP_y6</f>
        <v>2026-27</v>
      </c>
      <c r="AM47" s="1040"/>
      <c r="AN47" s="1040"/>
      <c r="AO47" s="1040"/>
      <c r="AP47" s="1040"/>
      <c r="AQ47" s="1040"/>
      <c r="AR47" s="1040"/>
      <c r="AS47" s="1040"/>
      <c r="AT47" s="786"/>
      <c r="AU47" s="1040" t="str">
        <f ca="1">CRCP_y7</f>
        <v>2027-28</v>
      </c>
      <c r="AV47" s="1040"/>
      <c r="AW47" s="1040"/>
      <c r="AX47" s="1040"/>
      <c r="AY47" s="1040"/>
      <c r="AZ47" s="1040"/>
      <c r="BA47" s="1040"/>
      <c r="BB47" s="1040"/>
      <c r="BC47" s="785"/>
      <c r="BD47" s="1040" t="str">
        <f ca="1">CRCP_y8</f>
        <v>2028-29</v>
      </c>
      <c r="BE47" s="1040"/>
      <c r="BF47" s="1040"/>
      <c r="BG47" s="1040"/>
      <c r="BH47" s="1040"/>
      <c r="BI47" s="1040"/>
      <c r="BJ47" s="1040"/>
      <c r="BK47" s="1040"/>
      <c r="BL47" s="785"/>
      <c r="BM47" s="1040" t="str">
        <f ca="1">CRCP_y9</f>
        <v>2029-30</v>
      </c>
      <c r="BN47" s="1040"/>
      <c r="BO47" s="1040"/>
      <c r="BP47" s="1040"/>
      <c r="BQ47" s="1040"/>
      <c r="BR47" s="1040"/>
      <c r="BS47" s="1040"/>
      <c r="BT47" s="1040"/>
      <c r="BU47" s="785"/>
      <c r="BV47" s="1040" t="str">
        <f ca="1">CRCP_y10</f>
        <v>2030-31</v>
      </c>
      <c r="BW47" s="1040"/>
      <c r="BX47" s="1040"/>
      <c r="BY47" s="1040"/>
      <c r="BZ47" s="1040"/>
      <c r="CA47" s="1040"/>
      <c r="CB47" s="1040"/>
      <c r="CC47" s="1040"/>
      <c r="CD47" s="776"/>
      <c r="CE47" s="776"/>
      <c r="CF47" s="776"/>
      <c r="CG47" s="776"/>
      <c r="CH47" s="776"/>
      <c r="CI47" s="776"/>
      <c r="CJ47" s="776"/>
      <c r="CK47" s="776"/>
      <c r="CL47" s="776"/>
      <c r="CM47" s="776"/>
      <c r="CN47" s="776"/>
      <c r="CO47" s="776"/>
      <c r="CP47" s="778"/>
    </row>
    <row r="48" spans="2:94" ht="15" customHeight="1" x14ac:dyDescent="0.25">
      <c r="H48" s="777"/>
      <c r="I48" s="777"/>
      <c r="J48" s="777"/>
      <c r="Q48" s="778"/>
      <c r="R48" s="778"/>
      <c r="S48" s="778"/>
      <c r="T48" s="778"/>
      <c r="U48" s="778"/>
      <c r="V48" s="778"/>
      <c r="W48" s="776"/>
      <c r="X48" s="776"/>
      <c r="Y48" s="776"/>
      <c r="Z48" s="775"/>
      <c r="AA48" s="775"/>
      <c r="AB48" s="775"/>
      <c r="AC48" s="775"/>
      <c r="AD48" s="775"/>
      <c r="AE48" s="775"/>
      <c r="AF48" s="775"/>
      <c r="AG48" s="775"/>
      <c r="AH48" s="775"/>
      <c r="AI48" s="775"/>
      <c r="AJ48" s="775"/>
      <c r="AK48" s="775"/>
      <c r="AL48" s="1040" t="str">
        <f ca="1">CRCP_y11</f>
        <v>2031-32</v>
      </c>
      <c r="AM48" s="1040"/>
      <c r="AN48" s="1040"/>
      <c r="AO48" s="1040"/>
      <c r="AP48" s="1040"/>
      <c r="AQ48" s="1040"/>
      <c r="AR48" s="1040"/>
      <c r="AS48" s="1040"/>
      <c r="AT48" s="786"/>
      <c r="AU48" s="1040" t="str">
        <f ca="1">CRCP_y12</f>
        <v>2032-33</v>
      </c>
      <c r="AV48" s="1040"/>
      <c r="AW48" s="1040"/>
      <c r="AX48" s="1040"/>
      <c r="AY48" s="1040"/>
      <c r="AZ48" s="1040"/>
      <c r="BA48" s="1040"/>
      <c r="BB48" s="1040"/>
      <c r="BC48" s="785"/>
      <c r="BD48" s="1040" t="str">
        <f ca="1">CRCP_y13</f>
        <v>2033-34</v>
      </c>
      <c r="BE48" s="1040"/>
      <c r="BF48" s="1040"/>
      <c r="BG48" s="1040"/>
      <c r="BH48" s="1040"/>
      <c r="BI48" s="1040"/>
      <c r="BJ48" s="1040"/>
      <c r="BK48" s="1040"/>
      <c r="BL48" s="785"/>
      <c r="BM48" s="1040" t="str">
        <f ca="1">CRCP_y14</f>
        <v>2034-35</v>
      </c>
      <c r="BN48" s="1040"/>
      <c r="BO48" s="1040"/>
      <c r="BP48" s="1040"/>
      <c r="BQ48" s="1040"/>
      <c r="BR48" s="1040"/>
      <c r="BS48" s="1040"/>
      <c r="BT48" s="1040"/>
      <c r="BU48" s="785"/>
      <c r="BV48" s="1040" t="str">
        <f ca="1">CRCP_y15</f>
        <v>2035-36</v>
      </c>
      <c r="BW48" s="1040"/>
      <c r="BX48" s="1040"/>
      <c r="BY48" s="1040"/>
      <c r="BZ48" s="1040"/>
      <c r="CA48" s="1040"/>
      <c r="CB48" s="1040"/>
      <c r="CC48" s="1040"/>
      <c r="CD48" s="776"/>
      <c r="CE48" s="776"/>
      <c r="CF48" s="776"/>
      <c r="CG48" s="776"/>
      <c r="CH48" s="776"/>
      <c r="CI48" s="776"/>
      <c r="CJ48" s="776"/>
      <c r="CK48" s="776"/>
      <c r="CL48" s="776"/>
      <c r="CM48" s="776"/>
      <c r="CN48" s="776"/>
      <c r="CO48" s="776"/>
      <c r="CP48" s="778"/>
    </row>
    <row r="49" spans="5:94" ht="15" customHeight="1" x14ac:dyDescent="0.25">
      <c r="H49" s="777"/>
      <c r="I49" s="777"/>
      <c r="J49" s="777"/>
      <c r="Q49" s="778"/>
      <c r="R49" s="778"/>
      <c r="S49" s="778"/>
      <c r="T49" s="778"/>
      <c r="U49" s="778"/>
      <c r="V49" s="778"/>
      <c r="W49" s="776"/>
      <c r="X49" s="776"/>
      <c r="Y49" s="776"/>
      <c r="Z49" s="775"/>
      <c r="AA49" s="775"/>
      <c r="AB49" s="775"/>
      <c r="AC49" s="775"/>
      <c r="AD49" s="775"/>
      <c r="AE49" s="775"/>
      <c r="AF49" s="775"/>
      <c r="AG49" s="775"/>
      <c r="AH49" s="775"/>
      <c r="AI49" s="775"/>
      <c r="AJ49" s="775"/>
      <c r="AK49" s="775"/>
      <c r="AL49" s="789"/>
      <c r="AM49" s="789"/>
      <c r="AN49" s="789"/>
      <c r="AO49" s="789"/>
      <c r="AP49" s="789"/>
      <c r="AQ49" s="789"/>
      <c r="AR49" s="789"/>
      <c r="AS49" s="789"/>
      <c r="AT49" s="789"/>
      <c r="AU49" s="789"/>
      <c r="AV49" s="789"/>
      <c r="AW49" s="789"/>
      <c r="AX49" s="789"/>
      <c r="AY49" s="789"/>
      <c r="AZ49" s="789"/>
      <c r="BA49" s="789"/>
      <c r="BB49" s="789"/>
      <c r="BC49" s="789"/>
      <c r="BD49" s="789"/>
      <c r="BE49" s="789"/>
      <c r="BF49" s="789"/>
      <c r="BG49" s="789"/>
      <c r="BH49" s="789"/>
      <c r="BI49" s="789"/>
      <c r="BJ49" s="789"/>
      <c r="BK49" s="789"/>
      <c r="BL49" s="789"/>
      <c r="BM49" s="789"/>
      <c r="BN49" s="789"/>
      <c r="BO49" s="789"/>
      <c r="BP49" s="789"/>
      <c r="BQ49" s="789"/>
      <c r="BR49" s="789"/>
      <c r="BS49" s="789"/>
      <c r="BT49" s="789"/>
      <c r="BU49" s="789"/>
      <c r="BV49" s="789"/>
      <c r="BW49" s="789"/>
      <c r="BX49" s="789"/>
      <c r="BY49" s="789"/>
      <c r="BZ49" s="789"/>
      <c r="CA49" s="789"/>
      <c r="CB49" s="789"/>
      <c r="CC49" s="788"/>
      <c r="CD49" s="776"/>
      <c r="CE49" s="776"/>
      <c r="CF49" s="776"/>
      <c r="CG49" s="776"/>
      <c r="CH49" s="776"/>
      <c r="CI49" s="776"/>
      <c r="CJ49" s="776"/>
      <c r="CK49" s="776"/>
      <c r="CL49" s="776"/>
      <c r="CM49" s="776"/>
      <c r="CN49" s="776"/>
      <c r="CO49" s="776"/>
      <c r="CP49" s="778"/>
    </row>
    <row r="50" spans="5:94" ht="15.75" customHeight="1" x14ac:dyDescent="0.25">
      <c r="H50" s="777"/>
      <c r="I50" s="777"/>
      <c r="J50" s="777"/>
      <c r="Q50" s="778"/>
      <c r="R50" s="778"/>
      <c r="S50" s="778"/>
      <c r="T50" s="778"/>
      <c r="U50" s="778"/>
      <c r="V50" s="778"/>
      <c r="W50" s="776"/>
      <c r="X50" s="776"/>
      <c r="Y50" s="776"/>
      <c r="Z50" s="1033" t="s">
        <v>887</v>
      </c>
      <c r="AA50" s="1033"/>
      <c r="AB50" s="1033"/>
      <c r="AC50" s="1033"/>
      <c r="AD50" s="1033"/>
      <c r="AE50" s="1033"/>
      <c r="AF50" s="1033"/>
      <c r="AG50" s="1033"/>
      <c r="AH50" s="1033"/>
      <c r="AI50" s="1033"/>
      <c r="AJ50" s="775"/>
      <c r="AK50" s="775"/>
      <c r="AL50" s="1042" t="str">
        <f ca="1">PRCP_y1</f>
        <v>2016-17</v>
      </c>
      <c r="AM50" s="1042"/>
      <c r="AN50" s="1042"/>
      <c r="AO50" s="1042"/>
      <c r="AP50" s="1042"/>
      <c r="AQ50" s="1042"/>
      <c r="AR50" s="1042"/>
      <c r="AS50" s="1042"/>
      <c r="AT50" s="787"/>
      <c r="AU50" s="1042" t="str">
        <f ca="1">PRCP_y2</f>
        <v>2017-18</v>
      </c>
      <c r="AV50" s="1042"/>
      <c r="AW50" s="1042"/>
      <c r="AX50" s="1042"/>
      <c r="AY50" s="1042"/>
      <c r="AZ50" s="1042"/>
      <c r="BA50" s="1042"/>
      <c r="BB50" s="1042"/>
      <c r="BC50" s="787"/>
      <c r="BD50" s="1042" t="str">
        <f ca="1">PRCP_y3</f>
        <v>2018-19</v>
      </c>
      <c r="BE50" s="1042"/>
      <c r="BF50" s="1042"/>
      <c r="BG50" s="1042"/>
      <c r="BH50" s="1042"/>
      <c r="BI50" s="1042"/>
      <c r="BJ50" s="1042"/>
      <c r="BK50" s="1042"/>
      <c r="BL50" s="787"/>
      <c r="BM50" s="1042" t="str">
        <f ca="1">PRCP_y4</f>
        <v>2019-20</v>
      </c>
      <c r="BN50" s="1042"/>
      <c r="BO50" s="1042"/>
      <c r="BP50" s="1042"/>
      <c r="BQ50" s="1042"/>
      <c r="BR50" s="1042"/>
      <c r="BS50" s="1042"/>
      <c r="BT50" s="1042"/>
      <c r="BU50" s="787"/>
      <c r="BV50" s="1042" t="str">
        <f ca="1">PRCP_y5</f>
        <v>2020-21</v>
      </c>
      <c r="BW50" s="1042"/>
      <c r="BX50" s="1042"/>
      <c r="BY50" s="1042"/>
      <c r="BZ50" s="1042"/>
      <c r="CA50" s="1042"/>
      <c r="CB50" s="1042"/>
      <c r="CC50" s="1042"/>
      <c r="CD50" s="776"/>
      <c r="CE50" s="776"/>
      <c r="CF50" s="776"/>
      <c r="CG50" s="776"/>
      <c r="CH50" s="776"/>
      <c r="CI50" s="776"/>
      <c r="CJ50" s="776"/>
      <c r="CK50" s="776"/>
      <c r="CL50" s="776"/>
      <c r="CM50" s="776"/>
      <c r="CN50" s="776"/>
      <c r="CO50" s="776"/>
      <c r="CP50" s="778"/>
    </row>
    <row r="51" spans="5:94" ht="15.75" x14ac:dyDescent="0.25">
      <c r="H51" s="777"/>
      <c r="I51" s="777"/>
      <c r="J51" s="777"/>
      <c r="Q51" s="776"/>
      <c r="R51" s="776"/>
      <c r="S51" s="776"/>
      <c r="T51" s="776"/>
      <c r="U51" s="776"/>
      <c r="V51" s="776"/>
      <c r="W51" s="776"/>
      <c r="X51" s="776"/>
      <c r="Y51" s="776"/>
      <c r="Z51" s="775"/>
      <c r="AA51" s="775"/>
      <c r="AB51" s="775"/>
      <c r="AC51" s="775"/>
      <c r="AD51" s="775"/>
      <c r="AE51" s="775"/>
      <c r="AF51" s="775"/>
      <c r="AG51" s="775"/>
      <c r="AH51" s="775"/>
      <c r="AI51" s="775"/>
      <c r="AJ51" s="775"/>
      <c r="AK51" s="775"/>
      <c r="AL51" s="1040" t="str">
        <f ca="1">PRCP_y6</f>
        <v>2021-22</v>
      </c>
      <c r="AM51" s="1040"/>
      <c r="AN51" s="1040"/>
      <c r="AO51" s="1040"/>
      <c r="AP51" s="1040"/>
      <c r="AQ51" s="1040"/>
      <c r="AR51" s="1040"/>
      <c r="AS51" s="1040"/>
      <c r="AT51" s="786"/>
      <c r="AU51" s="1040" t="str">
        <f ca="1">PRCP_y7</f>
        <v>2022-23</v>
      </c>
      <c r="AV51" s="1040"/>
      <c r="AW51" s="1040"/>
      <c r="AX51" s="1040"/>
      <c r="AY51" s="1040"/>
      <c r="AZ51" s="1040"/>
      <c r="BA51" s="1040"/>
      <c r="BB51" s="1040"/>
      <c r="BC51" s="785"/>
      <c r="BD51" s="1040" t="str">
        <f ca="1">PRCP_y8</f>
        <v>2023-24</v>
      </c>
      <c r="BE51" s="1040"/>
      <c r="BF51" s="1040"/>
      <c r="BG51" s="1040"/>
      <c r="BH51" s="1040"/>
      <c r="BI51" s="1040"/>
      <c r="BJ51" s="1040"/>
      <c r="BK51" s="1040"/>
      <c r="BL51" s="785"/>
      <c r="BM51" s="1040" t="str">
        <f ca="1">PRCP_y9</f>
        <v>2024-25</v>
      </c>
      <c r="BN51" s="1040"/>
      <c r="BO51" s="1040"/>
      <c r="BP51" s="1040"/>
      <c r="BQ51" s="1040"/>
      <c r="BR51" s="1040"/>
      <c r="BS51" s="1040"/>
      <c r="BT51" s="1040"/>
      <c r="BU51" s="785"/>
      <c r="BV51" s="1040" t="str">
        <f ca="1">PRCP_y10</f>
        <v>2025-26</v>
      </c>
      <c r="BW51" s="1040"/>
      <c r="BX51" s="1040"/>
      <c r="BY51" s="1040"/>
      <c r="BZ51" s="1040"/>
      <c r="CA51" s="1040"/>
      <c r="CB51" s="1040"/>
      <c r="CC51" s="1040"/>
      <c r="CD51" s="776"/>
      <c r="CE51" s="776"/>
      <c r="CF51" s="776"/>
      <c r="CG51" s="776"/>
      <c r="CH51" s="776"/>
      <c r="CI51" s="776"/>
      <c r="CJ51" s="776"/>
      <c r="CK51" s="776"/>
      <c r="CL51" s="776"/>
      <c r="CM51" s="776"/>
      <c r="CN51" s="776"/>
      <c r="CO51" s="776"/>
      <c r="CP51" s="776"/>
    </row>
    <row r="52" spans="5:94" ht="15.75" hidden="1" x14ac:dyDescent="0.25">
      <c r="H52" s="777"/>
      <c r="I52" s="777"/>
      <c r="J52" s="777"/>
      <c r="Q52" s="776"/>
      <c r="R52" s="776"/>
      <c r="S52" s="776"/>
      <c r="T52" s="776"/>
      <c r="U52" s="776"/>
      <c r="V52" s="776"/>
      <c r="W52" s="776"/>
      <c r="X52" s="776"/>
      <c r="Y52" s="776"/>
      <c r="Z52" s="775"/>
      <c r="AA52" s="775"/>
      <c r="AB52" s="775"/>
      <c r="AC52" s="775"/>
      <c r="AD52" s="775"/>
      <c r="AE52" s="775"/>
      <c r="AF52" s="775"/>
      <c r="AG52" s="775"/>
      <c r="AH52" s="775"/>
      <c r="AI52" s="775"/>
      <c r="AJ52" s="775"/>
      <c r="AK52" s="775"/>
      <c r="AL52" s="1040" t="str">
        <f ca="1">PRCP_y11</f>
        <v>2026-27</v>
      </c>
      <c r="AM52" s="1040"/>
      <c r="AN52" s="1040"/>
      <c r="AO52" s="1040"/>
      <c r="AP52" s="1040"/>
      <c r="AQ52" s="1040"/>
      <c r="AR52" s="1040"/>
      <c r="AS52" s="1040"/>
      <c r="AT52" s="786"/>
      <c r="AU52" s="1040" t="str">
        <f ca="1">PRCP_y12</f>
        <v>2027-28</v>
      </c>
      <c r="AV52" s="1040"/>
      <c r="AW52" s="1040"/>
      <c r="AX52" s="1040"/>
      <c r="AY52" s="1040"/>
      <c r="AZ52" s="1040"/>
      <c r="BA52" s="1040"/>
      <c r="BB52" s="1040"/>
      <c r="BC52" s="785"/>
      <c r="BD52" s="1040" t="str">
        <f ca="1">PRCP_y13</f>
        <v>2028-29</v>
      </c>
      <c r="BE52" s="1040"/>
      <c r="BF52" s="1040"/>
      <c r="BG52" s="1040"/>
      <c r="BH52" s="1040"/>
      <c r="BI52" s="1040"/>
      <c r="BJ52" s="1040"/>
      <c r="BK52" s="1040"/>
      <c r="BL52" s="785"/>
      <c r="BM52" s="1040" t="str">
        <f ca="1">PRCP_y14</f>
        <v>2029-30</v>
      </c>
      <c r="BN52" s="1040"/>
      <c r="BO52" s="1040"/>
      <c r="BP52" s="1040"/>
      <c r="BQ52" s="1040"/>
      <c r="BR52" s="1040"/>
      <c r="BS52" s="1040"/>
      <c r="BT52" s="1040"/>
      <c r="BU52" s="785"/>
      <c r="BV52" s="1040" t="str">
        <f ca="1">PRCP_y15</f>
        <v>2030-31</v>
      </c>
      <c r="BW52" s="1040"/>
      <c r="BX52" s="1040"/>
      <c r="BY52" s="1040"/>
      <c r="BZ52" s="1040"/>
      <c r="CA52" s="1040"/>
      <c r="CB52" s="1040"/>
      <c r="CC52" s="1040"/>
      <c r="CD52" s="776"/>
      <c r="CE52" s="776"/>
      <c r="CF52" s="776"/>
      <c r="CG52" s="776"/>
      <c r="CH52" s="776"/>
      <c r="CI52" s="776"/>
      <c r="CJ52" s="776"/>
      <c r="CK52" s="776"/>
      <c r="CL52" s="776"/>
      <c r="CM52" s="776"/>
      <c r="CN52" s="776"/>
      <c r="CO52" s="776"/>
      <c r="CP52" s="776"/>
    </row>
    <row r="53" spans="5:94" hidden="1" x14ac:dyDescent="0.25">
      <c r="E53" s="784"/>
      <c r="H53" s="777"/>
      <c r="I53" s="777"/>
      <c r="J53" s="777"/>
      <c r="Q53" s="776"/>
      <c r="R53" s="776"/>
      <c r="S53" s="776"/>
      <c r="T53" s="776"/>
      <c r="U53" s="776"/>
      <c r="V53" s="776"/>
      <c r="W53" s="776"/>
      <c r="X53" s="776"/>
      <c r="Y53" s="776"/>
      <c r="Z53" s="775"/>
      <c r="AA53" s="775"/>
      <c r="AB53" s="775"/>
      <c r="AC53" s="775"/>
      <c r="AD53" s="775"/>
      <c r="AE53" s="775"/>
      <c r="AF53" s="775"/>
      <c r="AG53" s="775"/>
      <c r="AH53" s="775"/>
      <c r="AI53" s="775"/>
      <c r="AJ53" s="775"/>
      <c r="AK53" s="775"/>
      <c r="AL53" s="775"/>
      <c r="AM53" s="775"/>
      <c r="AN53" s="775"/>
      <c r="AO53" s="775"/>
      <c r="AP53" s="775"/>
      <c r="AQ53" s="775"/>
      <c r="AR53" s="775"/>
      <c r="AS53" s="776"/>
      <c r="AT53" s="776"/>
      <c r="AU53" s="776"/>
      <c r="AV53" s="776"/>
      <c r="AW53" s="776"/>
      <c r="AX53" s="776"/>
      <c r="AY53" s="776"/>
      <c r="AZ53" s="776"/>
      <c r="BA53" s="776"/>
      <c r="BB53" s="776"/>
      <c r="BC53" s="776"/>
      <c r="BD53" s="776"/>
      <c r="BE53" s="776"/>
      <c r="BF53" s="776"/>
      <c r="BG53" s="776"/>
      <c r="BH53" s="776"/>
      <c r="BI53" s="776"/>
      <c r="BJ53" s="776"/>
      <c r="BK53" s="776"/>
      <c r="BL53" s="776"/>
      <c r="BM53" s="776"/>
      <c r="BN53" s="776"/>
      <c r="BO53" s="776"/>
      <c r="BP53" s="776"/>
      <c r="BQ53" s="776"/>
      <c r="BR53" s="776"/>
      <c r="BS53" s="776"/>
      <c r="BT53" s="776"/>
      <c r="BU53" s="776"/>
      <c r="BV53" s="776"/>
      <c r="BW53" s="776"/>
      <c r="BX53" s="776"/>
      <c r="BY53" s="776"/>
      <c r="BZ53" s="776"/>
      <c r="CA53" s="776"/>
      <c r="CB53" s="776"/>
      <c r="CC53" s="776"/>
      <c r="CD53" s="776"/>
      <c r="CE53" s="776"/>
      <c r="CF53" s="776"/>
      <c r="CG53" s="776"/>
      <c r="CH53" s="776"/>
      <c r="CI53" s="776"/>
      <c r="CJ53" s="776"/>
      <c r="CK53" s="776"/>
      <c r="CL53" s="776"/>
      <c r="CM53" s="776"/>
      <c r="CN53" s="776"/>
      <c r="CO53" s="776"/>
      <c r="CP53" s="776"/>
    </row>
    <row r="54" spans="5:94" ht="15.75" hidden="1" customHeight="1" x14ac:dyDescent="0.25">
      <c r="H54" s="777"/>
      <c r="I54" s="777"/>
      <c r="J54" s="777"/>
      <c r="Q54" s="778"/>
      <c r="R54" s="778"/>
      <c r="S54" s="778"/>
      <c r="T54" s="778"/>
      <c r="U54" s="778"/>
      <c r="V54" s="778"/>
      <c r="W54" s="780"/>
      <c r="X54" s="778"/>
      <c r="Y54" s="776"/>
      <c r="Z54" s="1033" t="s">
        <v>888</v>
      </c>
      <c r="AA54" s="1033"/>
      <c r="AB54" s="1033"/>
      <c r="AC54" s="1033"/>
      <c r="AD54" s="1033"/>
      <c r="AE54" s="1033"/>
      <c r="AF54" s="1033"/>
      <c r="AG54" s="1033"/>
      <c r="AH54" s="1033"/>
      <c r="AI54" s="1033"/>
      <c r="AJ54" s="775"/>
      <c r="AK54" s="775"/>
      <c r="AL54" s="1041" t="s">
        <v>546</v>
      </c>
      <c r="AM54" s="1041"/>
      <c r="AN54" s="1041"/>
      <c r="AO54" s="1041"/>
      <c r="AP54" s="1041"/>
      <c r="AQ54" s="1041"/>
      <c r="AR54" s="1041"/>
      <c r="AS54" s="1041"/>
      <c r="AT54" s="776"/>
      <c r="AU54" s="776"/>
      <c r="AV54" s="776"/>
      <c r="AW54" s="776"/>
      <c r="AX54" s="776"/>
      <c r="AY54" s="776"/>
      <c r="AZ54" s="776"/>
      <c r="BA54" s="776"/>
      <c r="BB54" s="776"/>
      <c r="BC54" s="776"/>
      <c r="BD54" s="776"/>
      <c r="BE54" s="776"/>
      <c r="BF54" s="776"/>
      <c r="BG54" s="776"/>
      <c r="BH54" s="776"/>
      <c r="BI54" s="776"/>
      <c r="BJ54" s="776"/>
      <c r="BK54" s="776"/>
      <c r="BL54" s="776"/>
      <c r="BM54" s="776"/>
      <c r="BN54" s="776"/>
      <c r="BO54" s="776"/>
      <c r="BP54" s="776"/>
      <c r="BQ54" s="776"/>
      <c r="BR54" s="776"/>
      <c r="BS54" s="776"/>
      <c r="BT54" s="776"/>
      <c r="BU54" s="776"/>
      <c r="BV54" s="776"/>
      <c r="BW54" s="776"/>
      <c r="BX54" s="776"/>
      <c r="BY54" s="776"/>
      <c r="BZ54" s="776"/>
      <c r="CA54" s="776"/>
      <c r="CB54" s="776"/>
      <c r="CC54" s="776"/>
      <c r="CD54" s="776"/>
      <c r="CE54" s="776"/>
      <c r="CF54" s="776"/>
      <c r="CG54" s="776"/>
      <c r="CH54" s="776"/>
      <c r="CI54" s="776"/>
      <c r="CJ54" s="776"/>
      <c r="CK54" s="776"/>
      <c r="CL54" s="776"/>
      <c r="CM54" s="776"/>
      <c r="CN54" s="776"/>
      <c r="CO54" s="776"/>
      <c r="CP54" s="776"/>
    </row>
    <row r="55" spans="5:94" ht="15.75" hidden="1" customHeight="1" x14ac:dyDescent="0.25">
      <c r="H55" s="777"/>
      <c r="I55" s="777"/>
      <c r="J55" s="777"/>
      <c r="Q55" s="778"/>
      <c r="R55" s="778"/>
      <c r="S55" s="778"/>
      <c r="T55" s="778"/>
      <c r="U55" s="778"/>
      <c r="V55" s="778"/>
      <c r="W55" s="780"/>
      <c r="X55" s="778" t="s">
        <v>889</v>
      </c>
      <c r="Y55" s="776"/>
      <c r="Z55" s="775"/>
      <c r="AA55" s="775"/>
      <c r="AB55" s="775"/>
      <c r="AC55" s="775"/>
      <c r="AD55" s="775"/>
      <c r="AE55" s="775"/>
      <c r="AF55" s="775"/>
      <c r="AG55" s="775"/>
      <c r="AH55" s="775"/>
      <c r="AI55" s="775"/>
      <c r="AJ55" s="775"/>
      <c r="AK55" s="775"/>
      <c r="AL55" s="775"/>
      <c r="AM55" s="775"/>
      <c r="AN55" s="775"/>
      <c r="AO55" s="775"/>
      <c r="AP55" s="775"/>
      <c r="AQ55" s="775"/>
      <c r="AR55" s="775"/>
      <c r="AS55" s="776"/>
      <c r="AT55" s="776"/>
      <c r="AU55" s="776"/>
      <c r="AV55" s="776"/>
      <c r="AW55" s="776"/>
      <c r="AX55" s="776"/>
      <c r="AY55" s="776"/>
      <c r="AZ55" s="776"/>
      <c r="BA55" s="776"/>
      <c r="BB55" s="776"/>
      <c r="BC55" s="776"/>
      <c r="BD55" s="776"/>
      <c r="BE55" s="776"/>
      <c r="BF55" s="776"/>
      <c r="BG55" s="776"/>
      <c r="BH55" s="776"/>
      <c r="BI55" s="776"/>
      <c r="BJ55" s="776"/>
      <c r="BK55" s="776"/>
      <c r="BL55" s="776"/>
      <c r="BM55" s="776"/>
      <c r="BN55" s="776"/>
      <c r="BO55" s="776"/>
      <c r="BP55" s="776"/>
      <c r="BQ55" s="776"/>
      <c r="BR55" s="776"/>
      <c r="BS55" s="776"/>
      <c r="BT55" s="776"/>
      <c r="BU55" s="776"/>
      <c r="BV55" s="776"/>
      <c r="BW55" s="776"/>
      <c r="BX55" s="776"/>
      <c r="BY55" s="776"/>
      <c r="BZ55" s="776"/>
      <c r="CA55" s="776"/>
      <c r="CB55" s="776"/>
      <c r="CC55" s="776"/>
      <c r="CD55" s="776"/>
      <c r="CE55" s="776"/>
      <c r="CF55" s="776"/>
      <c r="CG55" s="776"/>
      <c r="CH55" s="776"/>
      <c r="CI55" s="776"/>
      <c r="CJ55" s="776"/>
      <c r="CK55" s="776"/>
      <c r="CL55" s="776"/>
      <c r="CM55" s="776"/>
      <c r="CN55" s="776"/>
      <c r="CO55" s="776"/>
      <c r="CP55" s="776"/>
    </row>
    <row r="56" spans="5:94" ht="15.75" hidden="1" customHeight="1" x14ac:dyDescent="0.25">
      <c r="H56" s="777"/>
      <c r="I56" s="777"/>
      <c r="J56" s="777"/>
      <c r="Q56" s="778"/>
      <c r="R56" s="778"/>
      <c r="S56" s="778"/>
      <c r="T56" s="778"/>
      <c r="U56" s="778"/>
      <c r="V56" s="778"/>
      <c r="W56" s="780"/>
      <c r="X56" s="780"/>
      <c r="Y56" s="776"/>
      <c r="Z56" s="1033" t="s">
        <v>890</v>
      </c>
      <c r="AA56" s="1033"/>
      <c r="AB56" s="1033"/>
      <c r="AC56" s="1033"/>
      <c r="AD56" s="1033"/>
      <c r="AE56" s="1033"/>
      <c r="AF56" s="1033"/>
      <c r="AG56" s="1033"/>
      <c r="AH56" s="1033"/>
      <c r="AI56" s="1033"/>
      <c r="AJ56" s="775"/>
      <c r="AK56" s="775"/>
      <c r="AL56" s="1041" t="s">
        <v>550</v>
      </c>
      <c r="AM56" s="1041"/>
      <c r="AN56" s="1041"/>
      <c r="AO56" s="1041"/>
      <c r="AP56" s="1041"/>
      <c r="AQ56" s="1041"/>
      <c r="AR56" s="1041"/>
      <c r="AS56" s="1041"/>
      <c r="AT56" s="776"/>
      <c r="AU56" s="776"/>
      <c r="AV56" s="776"/>
      <c r="AW56" s="776"/>
      <c r="AX56" s="776"/>
      <c r="AY56" s="776"/>
      <c r="AZ56" s="776"/>
      <c r="BA56" s="776"/>
      <c r="BB56" s="776"/>
      <c r="BC56" s="776"/>
      <c r="BD56" s="776"/>
      <c r="BE56" s="776"/>
      <c r="BF56" s="776"/>
      <c r="BG56" s="776"/>
      <c r="BH56" s="776"/>
      <c r="BI56" s="776"/>
      <c r="BJ56" s="776"/>
      <c r="BK56" s="776"/>
      <c r="BL56" s="776"/>
      <c r="BM56" s="776"/>
      <c r="BN56" s="776"/>
      <c r="BO56" s="776"/>
      <c r="BP56" s="776"/>
      <c r="BQ56" s="776"/>
      <c r="BR56" s="776"/>
      <c r="BS56" s="776"/>
      <c r="BT56" s="776"/>
      <c r="BU56" s="776"/>
      <c r="BV56" s="776"/>
      <c r="BW56" s="776"/>
      <c r="BX56" s="776"/>
      <c r="BY56" s="776"/>
      <c r="BZ56" s="776"/>
      <c r="CA56" s="776"/>
      <c r="CB56" s="776"/>
      <c r="CC56" s="776"/>
      <c r="CD56" s="776"/>
      <c r="CE56" s="776"/>
      <c r="CF56" s="776"/>
      <c r="CG56" s="776"/>
      <c r="CH56" s="776"/>
      <c r="CI56" s="776"/>
      <c r="CJ56" s="776"/>
      <c r="CK56" s="776"/>
      <c r="CL56" s="776"/>
      <c r="CM56" s="776"/>
      <c r="CN56" s="776"/>
      <c r="CO56" s="776"/>
      <c r="CP56" s="778"/>
    </row>
    <row r="57" spans="5:94" hidden="1" x14ac:dyDescent="0.25">
      <c r="H57" s="777"/>
      <c r="I57" s="777"/>
      <c r="J57" s="777"/>
      <c r="Q57" s="776"/>
      <c r="R57" s="776"/>
      <c r="S57" s="776"/>
      <c r="T57" s="776"/>
      <c r="U57" s="776"/>
      <c r="V57" s="776"/>
      <c r="W57" s="776"/>
      <c r="X57" s="776"/>
      <c r="Y57" s="776"/>
      <c r="Z57" s="775"/>
      <c r="AA57" s="775"/>
      <c r="AB57" s="775"/>
      <c r="AC57" s="775"/>
      <c r="AD57" s="775"/>
      <c r="AE57" s="775"/>
      <c r="AF57" s="775"/>
      <c r="AG57" s="775"/>
      <c r="AH57" s="775"/>
      <c r="AI57" s="775"/>
      <c r="AJ57" s="775"/>
      <c r="AK57" s="775"/>
      <c r="AL57" s="775"/>
      <c r="AM57" s="775"/>
      <c r="AN57" s="775"/>
      <c r="AO57" s="775"/>
      <c r="AP57" s="775"/>
      <c r="AQ57" s="775"/>
      <c r="AR57" s="775"/>
      <c r="AS57" s="776"/>
      <c r="AT57" s="776"/>
      <c r="AU57" s="776"/>
      <c r="AV57" s="776"/>
      <c r="AW57" s="776"/>
      <c r="AX57" s="776"/>
      <c r="AY57" s="776"/>
      <c r="AZ57" s="776"/>
      <c r="BA57" s="776"/>
      <c r="BB57" s="776"/>
      <c r="BC57" s="776"/>
      <c r="BD57" s="776"/>
      <c r="BE57" s="776"/>
      <c r="BF57" s="776"/>
      <c r="BG57" s="776"/>
      <c r="BH57" s="776"/>
      <c r="BI57" s="776"/>
      <c r="BJ57" s="776"/>
      <c r="BK57" s="776"/>
      <c r="BL57" s="776"/>
      <c r="BM57" s="776"/>
      <c r="BN57" s="776"/>
      <c r="BO57" s="776"/>
      <c r="BP57" s="776"/>
      <c r="BQ57" s="776"/>
      <c r="BR57" s="776"/>
      <c r="BS57" s="776"/>
      <c r="BT57" s="776"/>
      <c r="BU57" s="776"/>
      <c r="BV57" s="776"/>
      <c r="BW57" s="776"/>
      <c r="BX57" s="776"/>
      <c r="BY57" s="776"/>
      <c r="BZ57" s="776"/>
      <c r="CA57" s="776"/>
      <c r="CB57" s="776"/>
      <c r="CC57" s="776"/>
      <c r="CD57" s="776"/>
      <c r="CE57" s="776"/>
      <c r="CF57" s="776"/>
      <c r="CG57" s="776"/>
      <c r="CH57" s="776"/>
      <c r="CI57" s="776"/>
      <c r="CJ57" s="776"/>
      <c r="CK57" s="776"/>
      <c r="CL57" s="776"/>
      <c r="CM57" s="776"/>
      <c r="CN57" s="776"/>
      <c r="CO57" s="776"/>
      <c r="CP57" s="776"/>
    </row>
    <row r="58" spans="5:94" x14ac:dyDescent="0.25">
      <c r="H58" s="777"/>
      <c r="I58" s="777"/>
      <c r="J58" s="777"/>
      <c r="Q58" s="777"/>
      <c r="R58" s="777"/>
      <c r="S58" s="777"/>
      <c r="T58" s="777"/>
      <c r="U58" s="777"/>
      <c r="V58" s="777"/>
      <c r="W58" s="777"/>
      <c r="X58" s="777"/>
      <c r="Y58" s="777"/>
      <c r="Z58" s="783"/>
      <c r="AA58" s="783"/>
      <c r="AB58" s="783"/>
      <c r="AC58" s="783"/>
      <c r="AD58" s="783"/>
      <c r="AE58" s="783"/>
      <c r="AF58" s="783"/>
      <c r="AG58" s="783"/>
      <c r="AH58" s="783"/>
      <c r="AI58" s="783"/>
      <c r="AJ58" s="783"/>
      <c r="AK58" s="783"/>
      <c r="AL58" s="783"/>
      <c r="AM58" s="783"/>
      <c r="AN58" s="783"/>
      <c r="AO58" s="783"/>
      <c r="AP58" s="783"/>
      <c r="AQ58" s="783"/>
      <c r="AR58" s="783"/>
      <c r="AS58" s="777"/>
      <c r="AT58" s="777"/>
      <c r="AU58" s="777"/>
      <c r="AV58" s="777"/>
      <c r="AW58" s="777"/>
      <c r="AX58" s="777"/>
      <c r="AY58" s="777"/>
      <c r="AZ58" s="777"/>
      <c r="BA58" s="777"/>
      <c r="BB58" s="777"/>
      <c r="BC58" s="777"/>
      <c r="BD58" s="777"/>
      <c r="BE58" s="777"/>
      <c r="BF58" s="777"/>
      <c r="BG58" s="777"/>
      <c r="BH58" s="777"/>
      <c r="BI58" s="777"/>
      <c r="BJ58" s="777"/>
      <c r="BK58" s="777"/>
      <c r="BL58" s="777"/>
      <c r="BM58" s="777"/>
      <c r="BN58" s="777"/>
      <c r="BO58" s="777"/>
      <c r="BP58" s="777"/>
      <c r="BQ58" s="777"/>
      <c r="BR58" s="777"/>
      <c r="BS58" s="777"/>
      <c r="BT58" s="777"/>
      <c r="BU58" s="777"/>
      <c r="BV58" s="777"/>
      <c r="BW58" s="777"/>
      <c r="BX58" s="777"/>
      <c r="BY58" s="777"/>
      <c r="BZ58" s="777"/>
      <c r="CA58" s="777"/>
      <c r="CB58" s="777"/>
      <c r="CC58" s="777"/>
      <c r="CD58" s="777"/>
      <c r="CE58" s="777"/>
      <c r="CF58" s="777"/>
      <c r="CG58" s="777"/>
      <c r="CH58" s="777"/>
      <c r="CI58" s="777"/>
      <c r="CJ58" s="777"/>
      <c r="CK58" s="777"/>
      <c r="CL58" s="777"/>
      <c r="CM58" s="777"/>
      <c r="CN58" s="777"/>
      <c r="CO58" s="777"/>
      <c r="CP58" s="777"/>
    </row>
    <row r="59" spans="5:94" ht="15.75" customHeight="1" x14ac:dyDescent="0.25">
      <c r="H59" s="777"/>
      <c r="I59" s="777"/>
      <c r="J59" s="777"/>
      <c r="Q59" s="776"/>
      <c r="R59" s="776"/>
      <c r="S59" s="776"/>
      <c r="T59" s="776"/>
      <c r="U59" s="780"/>
      <c r="V59" s="780"/>
      <c r="W59" s="780"/>
      <c r="X59" s="780"/>
      <c r="Y59" s="776"/>
      <c r="Z59" s="775"/>
      <c r="AA59" s="775"/>
      <c r="AB59" s="775"/>
      <c r="AC59" s="775"/>
      <c r="AD59" s="775"/>
      <c r="AE59" s="775"/>
      <c r="AF59" s="775"/>
      <c r="AG59" s="775"/>
      <c r="AH59" s="775"/>
      <c r="AI59" s="775"/>
      <c r="AJ59" s="775"/>
      <c r="AK59" s="775"/>
      <c r="AL59" s="775"/>
      <c r="AM59" s="775"/>
      <c r="AN59" s="775"/>
      <c r="AO59" s="775"/>
      <c r="AP59" s="775"/>
      <c r="AQ59" s="775"/>
      <c r="AR59" s="775"/>
      <c r="AS59" s="776"/>
      <c r="AT59" s="776"/>
      <c r="AU59" s="776"/>
      <c r="AV59" s="776"/>
      <c r="AW59" s="776"/>
      <c r="AX59" s="776"/>
      <c r="AY59" s="776"/>
      <c r="AZ59" s="776"/>
      <c r="BA59" s="776"/>
      <c r="BB59" s="776"/>
      <c r="BC59" s="776"/>
      <c r="BD59" s="776"/>
      <c r="BE59" s="776"/>
      <c r="BF59" s="776"/>
      <c r="BG59" s="776"/>
      <c r="BH59" s="776"/>
      <c r="BI59" s="776"/>
      <c r="BJ59" s="776"/>
      <c r="BK59" s="776"/>
      <c r="BL59" s="776"/>
      <c r="BM59" s="776"/>
      <c r="BN59" s="776"/>
      <c r="BO59" s="776"/>
      <c r="BP59" s="776"/>
      <c r="BQ59" s="776"/>
      <c r="BR59" s="776"/>
      <c r="BS59" s="776"/>
      <c r="BT59" s="776"/>
      <c r="BU59" s="776"/>
      <c r="BV59" s="776"/>
      <c r="BW59" s="776"/>
      <c r="BX59" s="776"/>
      <c r="BY59" s="776"/>
      <c r="BZ59" s="776"/>
      <c r="CA59" s="776"/>
      <c r="CB59" s="776"/>
      <c r="CC59" s="776"/>
      <c r="CD59" s="776"/>
      <c r="CE59" s="776"/>
      <c r="CF59" s="776"/>
      <c r="CG59" s="776"/>
      <c r="CH59" s="776"/>
      <c r="CI59" s="776"/>
      <c r="CJ59" s="776"/>
      <c r="CK59" s="776"/>
      <c r="CL59" s="776"/>
      <c r="CM59" s="776"/>
      <c r="CN59" s="776"/>
      <c r="CO59" s="776"/>
      <c r="CP59" s="776"/>
    </row>
    <row r="60" spans="5:94" ht="30" x14ac:dyDescent="0.25">
      <c r="H60" s="782"/>
      <c r="I60" s="782"/>
      <c r="J60" s="782"/>
      <c r="Q60" s="781" t="s">
        <v>891</v>
      </c>
      <c r="R60" s="781"/>
      <c r="S60" s="781"/>
      <c r="T60" s="781"/>
      <c r="U60" s="781"/>
      <c r="V60" s="781"/>
      <c r="W60" s="781"/>
      <c r="X60" s="781"/>
      <c r="Y60" s="781"/>
      <c r="Z60" s="781"/>
      <c r="AA60" s="781"/>
      <c r="AB60" s="781"/>
      <c r="AC60" s="781"/>
      <c r="AD60" s="781"/>
      <c r="AE60" s="781"/>
      <c r="AF60" s="781"/>
      <c r="AG60" s="781"/>
      <c r="AH60" s="781"/>
      <c r="AI60" s="781"/>
      <c r="AJ60" s="781"/>
      <c r="AK60" s="781"/>
      <c r="AL60" s="781"/>
      <c r="AM60" s="781"/>
      <c r="AN60" s="781"/>
      <c r="AO60" s="781"/>
      <c r="AP60" s="781"/>
      <c r="AQ60" s="781"/>
      <c r="AR60" s="781"/>
      <c r="AS60" s="781"/>
      <c r="AT60" s="781"/>
      <c r="AU60" s="781"/>
      <c r="AV60" s="781"/>
      <c r="AW60" s="781"/>
      <c r="AX60" s="781"/>
      <c r="AY60" s="781"/>
      <c r="AZ60" s="781"/>
      <c r="BA60" s="781"/>
      <c r="BB60" s="781"/>
      <c r="BC60" s="781"/>
      <c r="BD60" s="781"/>
      <c r="BE60" s="781"/>
      <c r="BF60" s="781"/>
      <c r="BG60" s="781"/>
      <c r="BH60" s="781"/>
      <c r="BI60" s="781"/>
      <c r="BJ60" s="781"/>
      <c r="BK60" s="781"/>
      <c r="BL60" s="781"/>
      <c r="BM60" s="781"/>
      <c r="BN60" s="781"/>
      <c r="BO60" s="781"/>
      <c r="BP60" s="781"/>
      <c r="BQ60" s="781"/>
      <c r="BR60" s="781"/>
      <c r="BS60" s="781"/>
      <c r="BT60" s="781"/>
      <c r="BU60" s="781"/>
      <c r="BV60" s="781"/>
      <c r="BW60" s="781"/>
      <c r="BX60" s="781"/>
      <c r="BY60" s="781"/>
      <c r="BZ60" s="781"/>
      <c r="CA60" s="781"/>
      <c r="CB60" s="781"/>
      <c r="CC60" s="781"/>
      <c r="CD60" s="781"/>
      <c r="CE60" s="781"/>
      <c r="CF60" s="781"/>
      <c r="CG60" s="781"/>
      <c r="CH60" s="781"/>
      <c r="CI60" s="781"/>
      <c r="CJ60" s="781"/>
      <c r="CK60" s="781"/>
      <c r="CL60" s="781"/>
      <c r="CM60" s="781"/>
      <c r="CN60" s="781"/>
      <c r="CO60" s="781"/>
      <c r="CP60" s="781"/>
    </row>
    <row r="61" spans="5:94" ht="18" x14ac:dyDescent="0.25">
      <c r="Q61" s="776"/>
      <c r="R61" s="776"/>
      <c r="S61" s="776"/>
      <c r="T61" s="776"/>
      <c r="U61" s="780"/>
      <c r="V61" s="780"/>
      <c r="W61" s="780"/>
      <c r="X61" s="780"/>
      <c r="Y61" s="776"/>
      <c r="Z61" s="775"/>
      <c r="AA61" s="775"/>
      <c r="AB61" s="775"/>
      <c r="AC61" s="775"/>
      <c r="AD61" s="775"/>
      <c r="AE61" s="775"/>
      <c r="AF61" s="775"/>
      <c r="AG61" s="775"/>
      <c r="AH61" s="775"/>
      <c r="AI61" s="775"/>
      <c r="AJ61" s="775"/>
      <c r="AK61" s="775"/>
      <c r="AL61" s="775"/>
      <c r="AM61" s="775"/>
      <c r="AN61" s="775"/>
      <c r="AO61" s="775"/>
      <c r="AP61" s="775"/>
      <c r="AQ61" s="775"/>
      <c r="AR61" s="775"/>
      <c r="AS61" s="776"/>
      <c r="AT61" s="776"/>
      <c r="AU61" s="776"/>
      <c r="AV61" s="776"/>
      <c r="AW61" s="776"/>
      <c r="AX61" s="776"/>
      <c r="AY61" s="776"/>
      <c r="AZ61" s="776"/>
      <c r="BA61" s="776"/>
      <c r="BB61" s="776"/>
      <c r="BC61" s="776"/>
      <c r="BD61" s="776"/>
      <c r="BE61" s="776"/>
      <c r="BF61" s="776"/>
      <c r="BG61" s="776"/>
      <c r="BH61" s="776"/>
      <c r="BI61" s="776"/>
      <c r="BJ61" s="776"/>
      <c r="BK61" s="776"/>
      <c r="BL61" s="776"/>
      <c r="BM61" s="776"/>
      <c r="BN61" s="776"/>
      <c r="BO61" s="776"/>
      <c r="BP61" s="776"/>
      <c r="BQ61" s="776"/>
      <c r="BR61" s="776"/>
      <c r="BS61" s="776"/>
      <c r="BT61" s="776"/>
      <c r="BU61" s="776"/>
      <c r="BV61" s="776"/>
      <c r="BW61" s="776"/>
      <c r="BX61" s="776"/>
      <c r="BY61" s="776"/>
      <c r="BZ61" s="776"/>
      <c r="CA61" s="776"/>
      <c r="CB61" s="776"/>
      <c r="CC61" s="776"/>
      <c r="CD61" s="776"/>
      <c r="CE61" s="776"/>
      <c r="CF61" s="776"/>
      <c r="CG61" s="776"/>
      <c r="CH61" s="776"/>
      <c r="CI61" s="776"/>
      <c r="CJ61" s="776"/>
      <c r="CK61" s="776"/>
      <c r="CL61" s="776"/>
      <c r="CM61" s="776"/>
      <c r="CN61" s="776"/>
      <c r="CO61" s="776"/>
      <c r="CP61" s="776"/>
    </row>
    <row r="62" spans="5:94" ht="18" x14ac:dyDescent="0.25">
      <c r="Q62" s="776"/>
      <c r="R62" s="776"/>
      <c r="S62" s="776"/>
      <c r="T62" s="776"/>
      <c r="U62" s="780"/>
      <c r="V62" s="780"/>
      <c r="W62" s="780"/>
      <c r="X62" s="780"/>
      <c r="Y62" s="776"/>
      <c r="Z62" s="1033" t="s">
        <v>892</v>
      </c>
      <c r="AA62" s="1033"/>
      <c r="AB62" s="1033"/>
      <c r="AC62" s="1033"/>
      <c r="AD62" s="1033"/>
      <c r="AE62" s="1033"/>
      <c r="AF62" s="1033"/>
      <c r="AG62" s="1033"/>
      <c r="AH62" s="1033"/>
      <c r="AI62" s="1033"/>
      <c r="AJ62" s="776"/>
      <c r="AK62" s="776"/>
      <c r="AL62" s="1034" t="str">
        <f ca="1">INDIRECT(dms_Model)</f>
        <v>Regulatory Reporting (Reset)</v>
      </c>
      <c r="AM62" s="1034"/>
      <c r="AN62" s="1034"/>
      <c r="AO62" s="1034"/>
      <c r="AP62" s="1034"/>
      <c r="AQ62" s="1034"/>
      <c r="AR62" s="1034"/>
      <c r="AS62" s="1034"/>
      <c r="AT62" s="1034"/>
      <c r="AU62" s="1034"/>
      <c r="AV62" s="1034"/>
      <c r="AW62" s="1034"/>
      <c r="AX62" s="1034"/>
      <c r="AY62" s="1034"/>
      <c r="AZ62" s="1034"/>
      <c r="BA62" s="1034"/>
      <c r="BB62" s="776"/>
      <c r="BC62" s="776"/>
      <c r="BD62" s="776"/>
      <c r="BE62" s="776"/>
      <c r="BF62" s="776"/>
      <c r="BG62" s="776"/>
      <c r="BH62" s="776"/>
      <c r="BI62" s="776"/>
      <c r="BJ62" s="776"/>
      <c r="BK62" s="776"/>
      <c r="BL62" s="776"/>
      <c r="BM62" s="776"/>
      <c r="BN62" s="776"/>
      <c r="BO62" s="776"/>
      <c r="BP62" s="776"/>
      <c r="BQ62" s="776"/>
      <c r="BR62" s="776"/>
      <c r="BS62" s="776"/>
      <c r="BT62" s="776"/>
      <c r="BU62" s="776"/>
      <c r="BV62" s="776"/>
      <c r="BW62" s="776"/>
      <c r="BX62" s="776"/>
      <c r="BY62" s="776"/>
      <c r="BZ62" s="776"/>
      <c r="CA62" s="776"/>
      <c r="CB62" s="776"/>
      <c r="CC62" s="776"/>
      <c r="CD62" s="776"/>
      <c r="CE62" s="776"/>
      <c r="CF62" s="776"/>
      <c r="CG62" s="776"/>
      <c r="CH62" s="776"/>
      <c r="CI62" s="776"/>
      <c r="CJ62" s="776"/>
      <c r="CK62" s="776"/>
      <c r="CL62" s="776"/>
      <c r="CM62" s="776"/>
      <c r="CN62" s="776"/>
      <c r="CO62" s="776"/>
      <c r="CP62" s="776"/>
    </row>
    <row r="63" spans="5:94" ht="18" x14ac:dyDescent="0.25">
      <c r="Q63" s="776"/>
      <c r="R63" s="776"/>
      <c r="S63" s="776"/>
      <c r="T63" s="776"/>
      <c r="U63" s="780"/>
      <c r="V63" s="780"/>
      <c r="W63" s="780"/>
      <c r="X63" s="780"/>
      <c r="Y63" s="776"/>
      <c r="Z63" s="775"/>
      <c r="AA63" s="775"/>
      <c r="AB63" s="775"/>
      <c r="AC63" s="775"/>
      <c r="AD63" s="775"/>
      <c r="AE63" s="775"/>
      <c r="AF63" s="775"/>
      <c r="AG63" s="775"/>
      <c r="AH63" s="775"/>
      <c r="AI63" s="775"/>
      <c r="AJ63" s="775"/>
      <c r="AK63" s="775"/>
      <c r="AL63" s="775"/>
      <c r="AM63" s="775"/>
      <c r="AN63" s="775"/>
      <c r="AO63" s="775"/>
      <c r="AP63" s="775"/>
      <c r="AQ63" s="775"/>
      <c r="AR63" s="775"/>
      <c r="AS63" s="776"/>
      <c r="AT63" s="776"/>
      <c r="AU63" s="776"/>
      <c r="AV63" s="776"/>
      <c r="AW63" s="776"/>
      <c r="AX63" s="776"/>
      <c r="AY63" s="776"/>
      <c r="AZ63" s="776"/>
      <c r="BA63" s="776"/>
      <c r="BB63" s="776"/>
      <c r="BC63" s="776"/>
      <c r="BD63" s="776"/>
      <c r="BE63" s="776"/>
      <c r="BF63" s="776"/>
      <c r="BG63" s="776"/>
      <c r="BH63" s="776"/>
      <c r="BI63" s="776"/>
      <c r="BJ63" s="776"/>
      <c r="BK63" s="776"/>
      <c r="BL63" s="776"/>
      <c r="BM63" s="776"/>
      <c r="BN63" s="776"/>
      <c r="BO63" s="776"/>
      <c r="BP63" s="776"/>
      <c r="BQ63" s="776"/>
      <c r="BR63" s="776"/>
      <c r="BS63" s="776"/>
      <c r="BT63" s="776"/>
      <c r="BU63" s="776"/>
      <c r="BV63" s="776"/>
      <c r="BW63" s="776"/>
      <c r="BX63" s="776"/>
      <c r="BY63" s="776"/>
      <c r="BZ63" s="776"/>
      <c r="CA63" s="776"/>
      <c r="CB63" s="776"/>
      <c r="CC63" s="776"/>
      <c r="CD63" s="776"/>
      <c r="CE63" s="776"/>
      <c r="CF63" s="776"/>
      <c r="CG63" s="776"/>
      <c r="CH63" s="776"/>
      <c r="CI63" s="776"/>
      <c r="CJ63" s="776"/>
      <c r="CK63" s="776"/>
      <c r="CL63" s="776"/>
      <c r="CM63" s="776"/>
      <c r="CN63" s="776"/>
      <c r="CO63" s="776"/>
      <c r="CP63" s="776"/>
    </row>
    <row r="64" spans="5:94" ht="15.75" customHeight="1" x14ac:dyDescent="0.25">
      <c r="H64" s="777"/>
      <c r="I64" s="777"/>
      <c r="J64" s="777"/>
      <c r="Q64" s="778"/>
      <c r="R64" s="778"/>
      <c r="S64" s="778"/>
      <c r="T64" s="778"/>
      <c r="U64" s="778"/>
      <c r="V64" s="778"/>
      <c r="W64" s="775"/>
      <c r="X64" s="775"/>
      <c r="Y64" s="775"/>
      <c r="Z64" s="1033" t="s">
        <v>576</v>
      </c>
      <c r="AA64" s="1033"/>
      <c r="AB64" s="1033"/>
      <c r="AC64" s="1033"/>
      <c r="AD64" s="1033"/>
      <c r="AE64" s="1033"/>
      <c r="AF64" s="1033"/>
      <c r="AG64" s="1033"/>
      <c r="AH64" s="1033"/>
      <c r="AI64" s="1033"/>
      <c r="AJ64" s="776"/>
      <c r="AK64" s="776"/>
      <c r="AL64" s="1039" t="s">
        <v>28</v>
      </c>
      <c r="AM64" s="1039"/>
      <c r="AN64" s="1039"/>
      <c r="AO64" s="1039"/>
      <c r="AP64" s="1039"/>
      <c r="AQ64" s="1039"/>
      <c r="AR64" s="1039"/>
      <c r="AS64" s="1039"/>
      <c r="AT64" s="1039"/>
      <c r="AU64" s="1039"/>
      <c r="AV64" s="1039"/>
      <c r="AW64" s="1039"/>
      <c r="AX64" s="1039"/>
      <c r="AY64" s="1039"/>
      <c r="AZ64" s="1039"/>
      <c r="BA64" s="1039"/>
      <c r="BB64" s="776"/>
      <c r="BC64" s="776"/>
      <c r="BD64" s="776"/>
      <c r="BE64" s="776"/>
      <c r="BF64" s="776"/>
      <c r="BG64" s="776"/>
      <c r="BH64" s="776"/>
      <c r="BI64" s="776"/>
      <c r="BJ64" s="776"/>
      <c r="BK64" s="776"/>
      <c r="BL64" s="776"/>
      <c r="BM64" s="776"/>
      <c r="BN64" s="776"/>
      <c r="BO64" s="776"/>
      <c r="BP64" s="776"/>
      <c r="BQ64" s="776"/>
      <c r="BR64" s="776"/>
      <c r="BS64" s="776"/>
      <c r="BT64" s="776"/>
      <c r="BU64" s="776"/>
      <c r="BV64" s="776"/>
      <c r="BW64" s="776"/>
      <c r="BX64" s="776"/>
      <c r="BY64" s="776"/>
      <c r="BZ64" s="776"/>
      <c r="CA64" s="776"/>
      <c r="CB64" s="776"/>
      <c r="CC64" s="776"/>
      <c r="CD64" s="776"/>
      <c r="CE64" s="776"/>
      <c r="CF64" s="776"/>
      <c r="CG64" s="776"/>
      <c r="CH64" s="776"/>
      <c r="CI64" s="776"/>
      <c r="CJ64" s="776"/>
      <c r="CK64" s="776"/>
      <c r="CL64" s="776"/>
      <c r="CM64" s="776"/>
      <c r="CN64" s="776"/>
      <c r="CO64" s="776"/>
      <c r="CP64" s="776"/>
    </row>
    <row r="65" spans="8:94" ht="15" customHeight="1" x14ac:dyDescent="0.25">
      <c r="H65" s="777"/>
      <c r="I65" s="777"/>
      <c r="J65" s="777"/>
      <c r="Q65" s="778"/>
      <c r="R65" s="778"/>
      <c r="S65" s="778"/>
      <c r="T65" s="778"/>
      <c r="U65" s="778"/>
      <c r="V65" s="778"/>
      <c r="W65" s="775"/>
      <c r="X65" s="775"/>
      <c r="Y65" s="775"/>
      <c r="Z65" s="775"/>
      <c r="AA65" s="775"/>
      <c r="AB65" s="775"/>
      <c r="AC65" s="775"/>
      <c r="AD65" s="775"/>
      <c r="AE65" s="775"/>
      <c r="AF65" s="775"/>
      <c r="AG65" s="775"/>
      <c r="AH65" s="775"/>
      <c r="AI65" s="776"/>
      <c r="AJ65" s="776"/>
      <c r="AK65" s="776"/>
      <c r="AL65" s="776"/>
      <c r="AM65" s="776"/>
      <c r="AN65" s="776"/>
      <c r="AO65" s="776"/>
      <c r="AP65" s="776"/>
      <c r="AQ65" s="776"/>
      <c r="AR65" s="776"/>
      <c r="AS65" s="776"/>
      <c r="AT65" s="776"/>
      <c r="AU65" s="776"/>
      <c r="AV65" s="776"/>
      <c r="AW65" s="776"/>
      <c r="AX65" s="776"/>
      <c r="AY65" s="776"/>
      <c r="AZ65" s="776"/>
      <c r="BA65" s="776"/>
      <c r="BB65" s="776"/>
      <c r="BC65" s="776"/>
      <c r="BD65" s="776"/>
      <c r="BE65" s="776"/>
      <c r="BF65" s="776"/>
      <c r="BG65" s="776"/>
      <c r="BH65" s="776"/>
      <c r="BI65" s="776"/>
      <c r="BJ65" s="776"/>
      <c r="BK65" s="776"/>
      <c r="BL65" s="776"/>
      <c r="BM65" s="776"/>
      <c r="BN65" s="776"/>
      <c r="BO65" s="776"/>
      <c r="BP65" s="776"/>
      <c r="BQ65" s="776"/>
      <c r="BR65" s="776"/>
      <c r="BS65" s="776"/>
      <c r="BT65" s="776"/>
      <c r="BU65" s="776"/>
      <c r="BV65" s="776"/>
      <c r="BW65" s="776"/>
      <c r="BX65" s="776"/>
      <c r="BY65" s="776"/>
      <c r="BZ65" s="776"/>
      <c r="CA65" s="776"/>
      <c r="CB65" s="776"/>
      <c r="CC65" s="776"/>
      <c r="CD65" s="776"/>
      <c r="CE65" s="776"/>
      <c r="CF65" s="776"/>
      <c r="CG65" s="776"/>
      <c r="CH65" s="776"/>
      <c r="CI65" s="776"/>
      <c r="CJ65" s="776"/>
      <c r="CK65" s="776"/>
      <c r="CL65" s="776"/>
      <c r="CM65" s="776"/>
      <c r="CN65" s="776"/>
      <c r="CO65" s="776"/>
      <c r="CP65" s="776"/>
    </row>
    <row r="66" spans="8:94" ht="15.75" customHeight="1" x14ac:dyDescent="0.25">
      <c r="H66" s="777"/>
      <c r="I66" s="777"/>
      <c r="J66" s="777"/>
      <c r="Q66" s="778"/>
      <c r="R66" s="778"/>
      <c r="S66" s="778"/>
      <c r="T66" s="778"/>
      <c r="U66" s="778"/>
      <c r="V66" s="778"/>
      <c r="W66" s="778"/>
      <c r="X66" s="778" t="s">
        <v>893</v>
      </c>
      <c r="Y66" s="775"/>
      <c r="Z66" s="1033" t="s">
        <v>894</v>
      </c>
      <c r="AA66" s="1033"/>
      <c r="AB66" s="1033"/>
      <c r="AC66" s="1033"/>
      <c r="AD66" s="1033"/>
      <c r="AE66" s="1033"/>
      <c r="AF66" s="1033"/>
      <c r="AG66" s="1033"/>
      <c r="AH66" s="1033"/>
      <c r="AI66" s="1033"/>
      <c r="AJ66" s="776"/>
      <c r="AK66" s="776"/>
      <c r="AL66" s="1039" t="s">
        <v>10</v>
      </c>
      <c r="AM66" s="1039"/>
      <c r="AN66" s="1039"/>
      <c r="AO66" s="1039"/>
      <c r="AP66" s="1039"/>
      <c r="AQ66" s="1039"/>
      <c r="AR66" s="1039"/>
      <c r="AS66" s="1039"/>
      <c r="AT66" s="1039"/>
      <c r="AU66" s="1039"/>
      <c r="AV66" s="1039"/>
      <c r="AW66" s="1039"/>
      <c r="AX66" s="1039"/>
      <c r="AY66" s="1039"/>
      <c r="AZ66" s="1039"/>
      <c r="BA66" s="1039"/>
      <c r="BB66" s="776"/>
      <c r="BC66" s="776"/>
      <c r="BD66" s="776"/>
      <c r="BE66" s="776"/>
      <c r="BF66" s="776"/>
      <c r="BG66" s="776"/>
      <c r="BH66" s="776"/>
      <c r="BI66" s="776"/>
      <c r="BJ66" s="776"/>
      <c r="BK66" s="776"/>
      <c r="BL66" s="776"/>
      <c r="BM66" s="776"/>
      <c r="BN66" s="776"/>
      <c r="BO66" s="776"/>
      <c r="BP66" s="776"/>
      <c r="BQ66" s="776"/>
      <c r="BR66" s="776"/>
      <c r="BS66" s="776"/>
      <c r="BT66" s="776"/>
      <c r="BU66" s="776"/>
      <c r="BV66" s="776"/>
      <c r="BW66" s="776"/>
      <c r="BX66" s="776"/>
      <c r="BY66" s="776"/>
      <c r="BZ66" s="776"/>
      <c r="CA66" s="776"/>
      <c r="CB66" s="776"/>
      <c r="CC66" s="776"/>
      <c r="CD66" s="776"/>
      <c r="CE66" s="776"/>
      <c r="CF66" s="776"/>
      <c r="CG66" s="776"/>
      <c r="CH66" s="776"/>
      <c r="CI66" s="776"/>
      <c r="CJ66" s="776"/>
      <c r="CK66" s="776"/>
      <c r="CL66" s="776"/>
      <c r="CM66" s="776"/>
      <c r="CN66" s="776"/>
      <c r="CO66" s="775"/>
      <c r="CP66" s="778"/>
    </row>
    <row r="67" spans="8:94" ht="15" customHeight="1" x14ac:dyDescent="0.25">
      <c r="H67" s="777"/>
      <c r="I67" s="777"/>
      <c r="J67" s="777"/>
      <c r="Q67" s="778"/>
      <c r="R67" s="778"/>
      <c r="S67" s="778"/>
      <c r="T67" s="778"/>
      <c r="U67" s="778"/>
      <c r="V67" s="778"/>
      <c r="W67" s="775"/>
      <c r="X67" s="775"/>
      <c r="Y67" s="775"/>
      <c r="Z67" s="775"/>
      <c r="AA67" s="775"/>
      <c r="AB67" s="775"/>
      <c r="AC67" s="775"/>
      <c r="AD67" s="775"/>
      <c r="AE67" s="775"/>
      <c r="AF67" s="775"/>
      <c r="AG67" s="775"/>
      <c r="AH67" s="775"/>
      <c r="AI67" s="776"/>
      <c r="AJ67" s="776"/>
      <c r="AK67" s="776"/>
      <c r="AL67" s="776"/>
      <c r="AM67" s="776"/>
      <c r="AN67" s="776"/>
      <c r="AO67" s="776"/>
      <c r="AP67" s="776"/>
      <c r="AQ67" s="776"/>
      <c r="AR67" s="776"/>
      <c r="AS67" s="776"/>
      <c r="AT67" s="776"/>
      <c r="AU67" s="776"/>
      <c r="AV67" s="776"/>
      <c r="AW67" s="776"/>
      <c r="AX67" s="776"/>
      <c r="AY67" s="776"/>
      <c r="AZ67" s="776"/>
      <c r="BA67" s="776"/>
      <c r="BB67" s="776"/>
      <c r="BC67" s="776"/>
      <c r="BD67" s="776"/>
      <c r="BE67" s="776"/>
      <c r="BF67" s="776"/>
      <c r="BG67" s="776"/>
      <c r="BH67" s="776"/>
      <c r="BI67" s="776"/>
      <c r="BJ67" s="776"/>
      <c r="BK67" s="776"/>
      <c r="BL67" s="776"/>
      <c r="BM67" s="776"/>
      <c r="BN67" s="776"/>
      <c r="BO67" s="776"/>
      <c r="BP67" s="776"/>
      <c r="BQ67" s="776"/>
      <c r="BR67" s="776"/>
      <c r="BS67" s="776"/>
      <c r="BT67" s="776"/>
      <c r="BU67" s="776"/>
      <c r="BV67" s="776"/>
      <c r="BW67" s="776"/>
      <c r="BX67" s="776"/>
      <c r="BY67" s="776"/>
      <c r="BZ67" s="776"/>
      <c r="CA67" s="776"/>
      <c r="CB67" s="776"/>
      <c r="CC67" s="776"/>
      <c r="CD67" s="776"/>
      <c r="CE67" s="776"/>
      <c r="CF67" s="776"/>
      <c r="CG67" s="776"/>
      <c r="CH67" s="776"/>
      <c r="CI67" s="776"/>
      <c r="CJ67" s="776"/>
      <c r="CK67" s="776"/>
      <c r="CL67" s="776"/>
      <c r="CM67" s="776"/>
      <c r="CN67" s="776"/>
      <c r="CO67" s="775"/>
      <c r="CP67" s="778"/>
    </row>
    <row r="68" spans="8:94" ht="15.75" customHeight="1" x14ac:dyDescent="0.25">
      <c r="H68" s="777"/>
      <c r="I68" s="777"/>
      <c r="J68" s="777"/>
      <c r="Q68" s="778"/>
      <c r="R68" s="778"/>
      <c r="S68" s="778"/>
      <c r="T68" s="778"/>
      <c r="U68" s="778"/>
      <c r="V68" s="778"/>
      <c r="W68" s="775"/>
      <c r="X68" s="775"/>
      <c r="Y68" s="775"/>
      <c r="Z68" s="1033" t="s">
        <v>895</v>
      </c>
      <c r="AA68" s="1033"/>
      <c r="AB68" s="1033"/>
      <c r="AC68" s="1033"/>
      <c r="AD68" s="1033"/>
      <c r="AE68" s="1033"/>
      <c r="AF68" s="1033"/>
      <c r="AG68" s="1033"/>
      <c r="AH68" s="1033"/>
      <c r="AI68" s="1033"/>
      <c r="AJ68" s="776"/>
      <c r="AK68" s="776"/>
      <c r="AL68" s="1039" t="s">
        <v>7</v>
      </c>
      <c r="AM68" s="1039"/>
      <c r="AN68" s="1039"/>
      <c r="AO68" s="1039"/>
      <c r="AP68" s="1039"/>
      <c r="AQ68" s="1039"/>
      <c r="AR68" s="1039"/>
      <c r="AS68" s="1039"/>
      <c r="AT68" s="1039"/>
      <c r="AU68" s="1039"/>
      <c r="AV68" s="1039"/>
      <c r="AW68" s="1039"/>
      <c r="AX68" s="1039"/>
      <c r="AY68" s="1039"/>
      <c r="AZ68" s="1039"/>
      <c r="BA68" s="1039"/>
      <c r="BB68" s="776"/>
      <c r="BC68" s="776"/>
      <c r="BD68" s="776"/>
      <c r="BE68" s="776"/>
      <c r="BF68" s="776"/>
      <c r="BG68" s="776"/>
      <c r="BH68" s="776"/>
      <c r="BI68" s="776"/>
      <c r="BJ68" s="776"/>
      <c r="BK68" s="776"/>
      <c r="BL68" s="776"/>
      <c r="BM68" s="776"/>
      <c r="BN68" s="776"/>
      <c r="BO68" s="776"/>
      <c r="BP68" s="776"/>
      <c r="BQ68" s="776"/>
      <c r="BR68" s="776"/>
      <c r="BS68" s="776"/>
      <c r="BT68" s="776"/>
      <c r="BU68" s="776"/>
      <c r="BV68" s="776"/>
      <c r="BW68" s="776"/>
      <c r="BX68" s="776"/>
      <c r="BY68" s="776"/>
      <c r="BZ68" s="776"/>
      <c r="CA68" s="776"/>
      <c r="CB68" s="776"/>
      <c r="CC68" s="776"/>
      <c r="CD68" s="776"/>
      <c r="CE68" s="776"/>
      <c r="CF68" s="776"/>
      <c r="CG68" s="776"/>
      <c r="CH68" s="776"/>
      <c r="CI68" s="776"/>
      <c r="CJ68" s="776"/>
      <c r="CK68" s="776"/>
      <c r="CL68" s="776"/>
      <c r="CM68" s="776"/>
      <c r="CN68" s="776"/>
      <c r="CO68" s="775"/>
      <c r="CP68" s="778"/>
    </row>
    <row r="69" spans="8:94" ht="15" customHeight="1" x14ac:dyDescent="0.25">
      <c r="H69" s="777"/>
      <c r="I69" s="777"/>
      <c r="J69" s="777"/>
      <c r="Q69" s="778"/>
      <c r="R69" s="778"/>
      <c r="S69" s="778"/>
      <c r="T69" s="778"/>
      <c r="U69" s="778"/>
      <c r="V69" s="778"/>
      <c r="W69" s="775"/>
      <c r="X69" s="775"/>
      <c r="Y69" s="775"/>
      <c r="Z69" s="775"/>
      <c r="AA69" s="775"/>
      <c r="AB69" s="775"/>
      <c r="AC69" s="775"/>
      <c r="AD69" s="775"/>
      <c r="AE69" s="775"/>
      <c r="AF69" s="775"/>
      <c r="AG69" s="775"/>
      <c r="AH69" s="775"/>
      <c r="AI69" s="776"/>
      <c r="AJ69" s="776"/>
      <c r="AK69" s="776"/>
      <c r="AL69" s="776"/>
      <c r="AM69" s="776"/>
      <c r="AN69" s="776"/>
      <c r="AO69" s="776"/>
      <c r="AP69" s="776"/>
      <c r="AQ69" s="776"/>
      <c r="AR69" s="776"/>
      <c r="AS69" s="776"/>
      <c r="AT69" s="776"/>
      <c r="AU69" s="776"/>
      <c r="AV69" s="776"/>
      <c r="AW69" s="776"/>
      <c r="AX69" s="776"/>
      <c r="AY69" s="776"/>
      <c r="AZ69" s="776"/>
      <c r="BA69" s="776"/>
      <c r="BB69" s="776"/>
      <c r="BC69" s="776"/>
      <c r="BD69" s="776"/>
      <c r="BE69" s="776"/>
      <c r="BF69" s="776"/>
      <c r="BG69" s="776"/>
      <c r="BH69" s="776"/>
      <c r="BI69" s="776"/>
      <c r="BJ69" s="776"/>
      <c r="BK69" s="776"/>
      <c r="BL69" s="776"/>
      <c r="BM69" s="776"/>
      <c r="BN69" s="776"/>
      <c r="BO69" s="776"/>
      <c r="BP69" s="776"/>
      <c r="BQ69" s="776"/>
      <c r="BR69" s="776"/>
      <c r="BS69" s="776"/>
      <c r="BT69" s="776"/>
      <c r="BU69" s="776"/>
      <c r="BV69" s="776"/>
      <c r="BW69" s="776"/>
      <c r="BX69" s="776"/>
      <c r="BY69" s="776"/>
      <c r="BZ69" s="776"/>
      <c r="CA69" s="776"/>
      <c r="CB69" s="776"/>
      <c r="CC69" s="776"/>
      <c r="CD69" s="776"/>
      <c r="CE69" s="776"/>
      <c r="CF69" s="776"/>
      <c r="CG69" s="776"/>
      <c r="CH69" s="776"/>
      <c r="CI69" s="776"/>
      <c r="CJ69" s="776"/>
      <c r="CK69" s="776"/>
      <c r="CL69" s="776"/>
      <c r="CM69" s="776"/>
      <c r="CN69" s="776"/>
      <c r="CO69" s="775"/>
      <c r="CP69" s="778"/>
    </row>
    <row r="70" spans="8:94" ht="15" customHeight="1" x14ac:dyDescent="0.25">
      <c r="H70" s="777"/>
      <c r="I70" s="777"/>
      <c r="J70" s="777"/>
      <c r="Q70" s="778"/>
      <c r="R70" s="778"/>
      <c r="S70" s="778"/>
      <c r="T70" s="778"/>
      <c r="U70" s="778"/>
      <c r="V70" s="778"/>
      <c r="W70" s="775"/>
      <c r="X70" s="775"/>
      <c r="Y70" s="775"/>
      <c r="Z70" s="1035" t="s">
        <v>896</v>
      </c>
      <c r="AA70" s="1035"/>
      <c r="AB70" s="1035"/>
      <c r="AC70" s="1035"/>
      <c r="AD70" s="1035"/>
      <c r="AE70" s="1035"/>
      <c r="AF70" s="1035"/>
      <c r="AG70" s="1035"/>
      <c r="AH70" s="1035"/>
      <c r="AI70" s="1035"/>
      <c r="AJ70" s="776"/>
      <c r="AK70" s="776"/>
      <c r="AL70" s="1036"/>
      <c r="AM70" s="1036"/>
      <c r="AN70" s="1036"/>
      <c r="AO70" s="1036"/>
      <c r="AP70" s="1036"/>
      <c r="AQ70" s="1036"/>
      <c r="AR70" s="1036"/>
      <c r="AS70" s="1036"/>
      <c r="AT70" s="1036"/>
      <c r="AU70" s="1036"/>
      <c r="AV70" s="1036"/>
      <c r="AW70" s="1036"/>
      <c r="AX70" s="1036"/>
      <c r="AY70" s="1036"/>
      <c r="AZ70" s="1036"/>
      <c r="BA70" s="1036"/>
      <c r="BB70" s="1036"/>
      <c r="BC70" s="1036"/>
      <c r="BD70" s="1036"/>
      <c r="BE70" s="1036"/>
      <c r="BF70" s="1036"/>
      <c r="BG70" s="1036"/>
      <c r="BH70" s="1036"/>
      <c r="BI70" s="1036"/>
      <c r="BJ70" s="1036"/>
      <c r="BK70" s="1036"/>
      <c r="BL70" s="1036"/>
      <c r="BM70" s="1036"/>
      <c r="BN70" s="1036"/>
      <c r="BO70" s="1036"/>
      <c r="BP70" s="1036"/>
      <c r="BQ70" s="1036"/>
      <c r="BR70" s="1036"/>
      <c r="BS70" s="1036"/>
      <c r="BT70" s="1036"/>
      <c r="BU70" s="1036"/>
      <c r="BV70" s="1036"/>
      <c r="BW70" s="1036"/>
      <c r="BX70" s="1036"/>
      <c r="BY70" s="1036"/>
      <c r="BZ70" s="1036"/>
      <c r="CA70" s="1036"/>
      <c r="CB70" s="1036"/>
      <c r="CC70" s="1036"/>
      <c r="CD70" s="1036"/>
      <c r="CE70" s="776"/>
      <c r="CF70" s="776"/>
      <c r="CG70" s="776"/>
      <c r="CH70" s="776"/>
      <c r="CI70" s="776"/>
      <c r="CJ70" s="776"/>
      <c r="CK70" s="776"/>
      <c r="CL70" s="776"/>
      <c r="CM70" s="776"/>
      <c r="CN70" s="776"/>
      <c r="CO70" s="775"/>
      <c r="CP70" s="778"/>
    </row>
    <row r="71" spans="8:94" ht="15" customHeight="1" x14ac:dyDescent="0.25">
      <c r="H71" s="777"/>
      <c r="I71" s="777"/>
      <c r="J71" s="777"/>
      <c r="Q71" s="778"/>
      <c r="R71" s="778"/>
      <c r="S71" s="778"/>
      <c r="T71" s="778"/>
      <c r="U71" s="778"/>
      <c r="V71" s="778"/>
      <c r="W71" s="775"/>
      <c r="X71" s="775"/>
      <c r="Y71" s="775"/>
      <c r="Z71" s="1035"/>
      <c r="AA71" s="1035"/>
      <c r="AB71" s="1035"/>
      <c r="AC71" s="1035"/>
      <c r="AD71" s="1035"/>
      <c r="AE71" s="1035"/>
      <c r="AF71" s="1035"/>
      <c r="AG71" s="1035"/>
      <c r="AH71" s="1035"/>
      <c r="AI71" s="1035"/>
      <c r="AJ71" s="776"/>
      <c r="AK71" s="776"/>
      <c r="AL71" s="1036"/>
      <c r="AM71" s="1036"/>
      <c r="AN71" s="1036"/>
      <c r="AO71" s="1036"/>
      <c r="AP71" s="1036"/>
      <c r="AQ71" s="1036"/>
      <c r="AR71" s="1036"/>
      <c r="AS71" s="1036"/>
      <c r="AT71" s="1036"/>
      <c r="AU71" s="1036"/>
      <c r="AV71" s="1036"/>
      <c r="AW71" s="1036"/>
      <c r="AX71" s="1036"/>
      <c r="AY71" s="1036"/>
      <c r="AZ71" s="1036"/>
      <c r="BA71" s="1036"/>
      <c r="BB71" s="1036"/>
      <c r="BC71" s="1036"/>
      <c r="BD71" s="1036"/>
      <c r="BE71" s="1036"/>
      <c r="BF71" s="1036"/>
      <c r="BG71" s="1036"/>
      <c r="BH71" s="1036"/>
      <c r="BI71" s="1036"/>
      <c r="BJ71" s="1036"/>
      <c r="BK71" s="1036"/>
      <c r="BL71" s="1036"/>
      <c r="BM71" s="1036"/>
      <c r="BN71" s="1036"/>
      <c r="BO71" s="1036"/>
      <c r="BP71" s="1036"/>
      <c r="BQ71" s="1036"/>
      <c r="BR71" s="1036"/>
      <c r="BS71" s="1036"/>
      <c r="BT71" s="1036"/>
      <c r="BU71" s="1036"/>
      <c r="BV71" s="1036"/>
      <c r="BW71" s="1036"/>
      <c r="BX71" s="1036"/>
      <c r="BY71" s="1036"/>
      <c r="BZ71" s="1036"/>
      <c r="CA71" s="1036"/>
      <c r="CB71" s="1036"/>
      <c r="CC71" s="1036"/>
      <c r="CD71" s="1036"/>
      <c r="CE71" s="776"/>
      <c r="CF71" s="776"/>
      <c r="CG71" s="776"/>
      <c r="CH71" s="776"/>
      <c r="CI71" s="776"/>
      <c r="CJ71" s="776"/>
      <c r="CK71" s="776"/>
      <c r="CL71" s="776"/>
      <c r="CM71" s="776"/>
      <c r="CN71" s="776"/>
      <c r="CO71" s="775"/>
      <c r="CP71" s="778"/>
    </row>
    <row r="72" spans="8:94" ht="15" customHeight="1" x14ac:dyDescent="0.25">
      <c r="H72" s="777"/>
      <c r="I72" s="777"/>
      <c r="J72" s="777"/>
      <c r="Q72" s="778"/>
      <c r="R72" s="778"/>
      <c r="S72" s="778"/>
      <c r="T72" s="778"/>
      <c r="U72" s="778"/>
      <c r="V72" s="778"/>
      <c r="W72" s="775"/>
      <c r="X72" s="775"/>
      <c r="Y72" s="775"/>
      <c r="Z72" s="1035"/>
      <c r="AA72" s="1035"/>
      <c r="AB72" s="1035"/>
      <c r="AC72" s="1035"/>
      <c r="AD72" s="1035"/>
      <c r="AE72" s="1035"/>
      <c r="AF72" s="1035"/>
      <c r="AG72" s="1035"/>
      <c r="AH72" s="1035"/>
      <c r="AI72" s="1035"/>
      <c r="AJ72" s="776"/>
      <c r="AK72" s="776"/>
      <c r="AL72" s="1036"/>
      <c r="AM72" s="1036"/>
      <c r="AN72" s="1036"/>
      <c r="AO72" s="1036"/>
      <c r="AP72" s="1036"/>
      <c r="AQ72" s="1036"/>
      <c r="AR72" s="1036"/>
      <c r="AS72" s="1036"/>
      <c r="AT72" s="1036"/>
      <c r="AU72" s="1036"/>
      <c r="AV72" s="1036"/>
      <c r="AW72" s="1036"/>
      <c r="AX72" s="1036"/>
      <c r="AY72" s="1036"/>
      <c r="AZ72" s="1036"/>
      <c r="BA72" s="1036"/>
      <c r="BB72" s="1036"/>
      <c r="BC72" s="1036"/>
      <c r="BD72" s="1036"/>
      <c r="BE72" s="1036"/>
      <c r="BF72" s="1036"/>
      <c r="BG72" s="1036"/>
      <c r="BH72" s="1036"/>
      <c r="BI72" s="1036"/>
      <c r="BJ72" s="1036"/>
      <c r="BK72" s="1036"/>
      <c r="BL72" s="1036"/>
      <c r="BM72" s="1036"/>
      <c r="BN72" s="1036"/>
      <c r="BO72" s="1036"/>
      <c r="BP72" s="1036"/>
      <c r="BQ72" s="1036"/>
      <c r="BR72" s="1036"/>
      <c r="BS72" s="1036"/>
      <c r="BT72" s="1036"/>
      <c r="BU72" s="1036"/>
      <c r="BV72" s="1036"/>
      <c r="BW72" s="1036"/>
      <c r="BX72" s="1036"/>
      <c r="BY72" s="1036"/>
      <c r="BZ72" s="1036"/>
      <c r="CA72" s="1036"/>
      <c r="CB72" s="1036"/>
      <c r="CC72" s="1036"/>
      <c r="CD72" s="1036"/>
      <c r="CE72" s="776"/>
      <c r="CF72" s="776"/>
      <c r="CG72" s="776"/>
      <c r="CH72" s="776"/>
      <c r="CI72" s="776"/>
      <c r="CJ72" s="776"/>
      <c r="CK72" s="776"/>
      <c r="CL72" s="776"/>
      <c r="CM72" s="776"/>
      <c r="CN72" s="776"/>
      <c r="CO72" s="775"/>
      <c r="CP72" s="778"/>
    </row>
    <row r="73" spans="8:94" ht="15" customHeight="1" x14ac:dyDescent="0.25">
      <c r="H73" s="777"/>
      <c r="I73" s="777"/>
      <c r="J73" s="777"/>
      <c r="Q73" s="778"/>
      <c r="R73" s="778"/>
      <c r="S73" s="778"/>
      <c r="T73" s="778"/>
      <c r="U73" s="778"/>
      <c r="V73" s="778"/>
      <c r="W73" s="775"/>
      <c r="X73" s="775"/>
      <c r="Y73" s="775"/>
      <c r="Z73" s="775"/>
      <c r="AA73" s="775"/>
      <c r="AB73" s="775"/>
      <c r="AC73" s="775"/>
      <c r="AD73" s="775"/>
      <c r="AE73" s="775"/>
      <c r="AF73" s="775"/>
      <c r="AG73" s="775"/>
      <c r="AH73" s="775"/>
      <c r="AI73" s="776"/>
      <c r="AJ73" s="776"/>
      <c r="AK73" s="776"/>
      <c r="AL73" s="776"/>
      <c r="AM73" s="776"/>
      <c r="AN73" s="776"/>
      <c r="AO73" s="776"/>
      <c r="AP73" s="776"/>
      <c r="AQ73" s="776"/>
      <c r="AR73" s="776"/>
      <c r="AS73" s="776"/>
      <c r="AT73" s="776"/>
      <c r="AU73" s="776"/>
      <c r="AV73" s="776"/>
      <c r="AW73" s="776"/>
      <c r="AX73" s="776"/>
      <c r="AY73" s="776"/>
      <c r="AZ73" s="776"/>
      <c r="BA73" s="776"/>
      <c r="BB73" s="776"/>
      <c r="BC73" s="776"/>
      <c r="BD73" s="776"/>
      <c r="BE73" s="776"/>
      <c r="BF73" s="776"/>
      <c r="BG73" s="776"/>
      <c r="BH73" s="776"/>
      <c r="BI73" s="776"/>
      <c r="BJ73" s="776"/>
      <c r="BK73" s="776"/>
      <c r="BL73" s="776"/>
      <c r="BM73" s="776"/>
      <c r="BN73" s="776"/>
      <c r="BO73" s="776"/>
      <c r="BP73" s="776"/>
      <c r="BQ73" s="776"/>
      <c r="BR73" s="776"/>
      <c r="BS73" s="776"/>
      <c r="BT73" s="776"/>
      <c r="BU73" s="776"/>
      <c r="BV73" s="776"/>
      <c r="BW73" s="776"/>
      <c r="BX73" s="776"/>
      <c r="BY73" s="776"/>
      <c r="BZ73" s="776"/>
      <c r="CA73" s="776"/>
      <c r="CB73" s="776"/>
      <c r="CC73" s="776"/>
      <c r="CD73" s="776"/>
      <c r="CE73" s="776"/>
      <c r="CF73" s="776"/>
      <c r="CG73" s="776"/>
      <c r="CH73" s="776"/>
      <c r="CI73" s="776"/>
      <c r="CJ73" s="776"/>
      <c r="CK73" s="776"/>
      <c r="CL73" s="776"/>
      <c r="CM73" s="776"/>
      <c r="CN73" s="776"/>
      <c r="CO73" s="775"/>
      <c r="CP73" s="778"/>
    </row>
    <row r="74" spans="8:94" ht="15.75" customHeight="1" x14ac:dyDescent="0.25">
      <c r="H74" s="777"/>
      <c r="I74" s="777"/>
      <c r="J74" s="777"/>
      <c r="Q74" s="778"/>
      <c r="R74" s="778"/>
      <c r="S74" s="778"/>
      <c r="T74" s="778"/>
      <c r="U74" s="778"/>
      <c r="V74" s="778"/>
      <c r="W74" s="775"/>
      <c r="X74" s="775"/>
      <c r="Y74" s="775"/>
      <c r="Z74" s="1033" t="s">
        <v>897</v>
      </c>
      <c r="AA74" s="1033"/>
      <c r="AB74" s="1033"/>
      <c r="AC74" s="1033"/>
      <c r="AD74" s="1033"/>
      <c r="AE74" s="1033"/>
      <c r="AF74" s="1033"/>
      <c r="AG74" s="1033"/>
      <c r="AH74" s="1033"/>
      <c r="AI74" s="1033"/>
      <c r="AJ74" s="776"/>
      <c r="AK74" s="776"/>
      <c r="AL74" s="1037">
        <v>45839</v>
      </c>
      <c r="AM74" s="1038"/>
      <c r="AN74" s="1038"/>
      <c r="AO74" s="1038"/>
      <c r="AP74" s="1038"/>
      <c r="AQ74" s="1038"/>
      <c r="AR74" s="1038"/>
      <c r="AS74" s="1038"/>
      <c r="AT74" s="1038"/>
      <c r="AU74" s="1038"/>
      <c r="AV74" s="1038"/>
      <c r="AW74" s="1038"/>
      <c r="AX74" s="1038"/>
      <c r="AY74" s="1038"/>
      <c r="AZ74" s="1038"/>
      <c r="BA74" s="1038"/>
      <c r="BB74" s="776"/>
      <c r="BC74" s="776"/>
      <c r="BD74" s="779" t="s">
        <v>898</v>
      </c>
      <c r="BE74" s="776"/>
      <c r="BF74" s="776"/>
      <c r="BG74" s="776"/>
      <c r="BH74" s="776"/>
      <c r="BI74" s="776"/>
      <c r="BJ74" s="776"/>
      <c r="BK74" s="776"/>
      <c r="BL74" s="776"/>
      <c r="BM74" s="776"/>
      <c r="BN74" s="776"/>
      <c r="BO74" s="776"/>
      <c r="BP74" s="776"/>
      <c r="BQ74" s="776"/>
      <c r="BR74" s="776"/>
      <c r="BS74" s="776"/>
      <c r="BT74" s="776"/>
      <c r="BU74" s="776"/>
      <c r="BV74" s="776"/>
      <c r="BW74" s="776"/>
      <c r="BX74" s="776"/>
      <c r="BY74" s="776"/>
      <c r="BZ74" s="776"/>
      <c r="CA74" s="776"/>
      <c r="CB74" s="776"/>
      <c r="CC74" s="776"/>
      <c r="CD74" s="776"/>
      <c r="CE74" s="776"/>
      <c r="CF74" s="776"/>
      <c r="CG74" s="776"/>
      <c r="CH74" s="776"/>
      <c r="CI74" s="776"/>
      <c r="CJ74" s="776"/>
      <c r="CK74" s="776"/>
      <c r="CL74" s="776"/>
      <c r="CM74" s="776"/>
      <c r="CN74" s="776"/>
      <c r="CO74" s="775"/>
      <c r="CP74" s="778"/>
    </row>
    <row r="75" spans="8:94" x14ac:dyDescent="0.25">
      <c r="H75" s="777"/>
      <c r="I75" s="777"/>
      <c r="J75" s="777"/>
      <c r="Q75" s="775"/>
      <c r="R75" s="775"/>
      <c r="S75" s="775"/>
      <c r="T75" s="775"/>
      <c r="U75" s="775"/>
      <c r="V75" s="775"/>
      <c r="W75" s="775"/>
      <c r="X75" s="775"/>
      <c r="Y75" s="775"/>
      <c r="Z75" s="775"/>
      <c r="AA75" s="775"/>
      <c r="AB75" s="775"/>
      <c r="AC75" s="775"/>
      <c r="AD75" s="775"/>
      <c r="AE75" s="775"/>
      <c r="AF75" s="775"/>
      <c r="AG75" s="775"/>
      <c r="AH75" s="775"/>
      <c r="AI75" s="776"/>
      <c r="AJ75" s="776"/>
      <c r="AK75" s="776"/>
      <c r="AL75" s="776"/>
      <c r="AM75" s="776"/>
      <c r="AN75" s="776"/>
      <c r="AO75" s="776"/>
      <c r="AP75" s="776"/>
      <c r="AQ75" s="776"/>
      <c r="AR75" s="776"/>
      <c r="AS75" s="776"/>
      <c r="AT75" s="776"/>
      <c r="AU75" s="776"/>
      <c r="AV75" s="776"/>
      <c r="AW75" s="776"/>
      <c r="AX75" s="776"/>
      <c r="AY75" s="776"/>
      <c r="AZ75" s="776"/>
      <c r="BA75" s="776"/>
      <c r="BB75" s="776"/>
      <c r="BC75" s="776"/>
      <c r="BD75" s="776"/>
      <c r="BE75" s="776"/>
      <c r="BF75" s="776"/>
      <c r="BG75" s="776"/>
      <c r="BH75" s="776"/>
      <c r="BI75" s="776"/>
      <c r="BJ75" s="776"/>
      <c r="BK75" s="776"/>
      <c r="BL75" s="776"/>
      <c r="BM75" s="776"/>
      <c r="BN75" s="776"/>
      <c r="BO75" s="776"/>
      <c r="BP75" s="776"/>
      <c r="BQ75" s="776"/>
      <c r="BR75" s="776"/>
      <c r="BS75" s="776"/>
      <c r="BT75" s="776"/>
      <c r="BU75" s="776"/>
      <c r="BV75" s="776"/>
      <c r="BW75" s="776"/>
      <c r="BX75" s="776"/>
      <c r="BY75" s="776"/>
      <c r="BZ75" s="776"/>
      <c r="CA75" s="776"/>
      <c r="CB75" s="776"/>
      <c r="CC75" s="776"/>
      <c r="CD75" s="776"/>
      <c r="CE75" s="776"/>
      <c r="CF75" s="776"/>
      <c r="CG75" s="776"/>
      <c r="CH75" s="776"/>
      <c r="CI75" s="776"/>
      <c r="CJ75" s="776"/>
      <c r="CK75" s="776"/>
      <c r="CL75" s="776"/>
      <c r="CM75" s="776"/>
      <c r="CN75" s="776"/>
      <c r="CO75" s="775"/>
      <c r="CP75" s="775"/>
    </row>
    <row r="76" spans="8:94" x14ac:dyDescent="0.25">
      <c r="H76" s="777"/>
      <c r="I76" s="777"/>
      <c r="J76" s="777"/>
      <c r="Q76" s="775"/>
      <c r="R76" s="775"/>
      <c r="S76" s="775"/>
      <c r="T76" s="775"/>
      <c r="U76" s="775"/>
      <c r="V76" s="775"/>
      <c r="W76" s="775"/>
      <c r="X76" s="775"/>
      <c r="Y76" s="775"/>
      <c r="Z76" s="775"/>
      <c r="AA76" s="775"/>
      <c r="AB76" s="775"/>
      <c r="AC76" s="775"/>
      <c r="AD76" s="775"/>
      <c r="AE76" s="775"/>
      <c r="AF76" s="775"/>
      <c r="AG76" s="775"/>
      <c r="AH76" s="775"/>
      <c r="AI76" s="776"/>
      <c r="AJ76" s="776"/>
      <c r="AK76" s="776"/>
      <c r="AL76" s="776"/>
      <c r="AM76" s="776"/>
      <c r="AN76" s="776"/>
      <c r="AO76" s="776"/>
      <c r="AP76" s="776"/>
      <c r="AQ76" s="776"/>
      <c r="AR76" s="776"/>
      <c r="AS76" s="776"/>
      <c r="AT76" s="776"/>
      <c r="AU76" s="776"/>
      <c r="AV76" s="776"/>
      <c r="AW76" s="776"/>
      <c r="AX76" s="776"/>
      <c r="AY76" s="776"/>
      <c r="AZ76" s="776"/>
      <c r="BA76" s="776"/>
      <c r="BB76" s="776"/>
      <c r="BC76" s="776"/>
      <c r="BD76" s="776"/>
      <c r="BE76" s="776"/>
      <c r="BF76" s="776"/>
      <c r="BG76" s="776"/>
      <c r="BH76" s="776"/>
      <c r="BI76" s="776"/>
      <c r="BJ76" s="776"/>
      <c r="BK76" s="776"/>
      <c r="BL76" s="776"/>
      <c r="BM76" s="776"/>
      <c r="BN76" s="776"/>
      <c r="BO76" s="776"/>
      <c r="BP76" s="776"/>
      <c r="BQ76" s="776"/>
      <c r="BR76" s="776"/>
      <c r="BS76" s="776"/>
      <c r="BT76" s="776"/>
      <c r="BU76" s="776"/>
      <c r="BV76" s="776"/>
      <c r="BW76" s="776"/>
      <c r="BX76" s="776"/>
      <c r="BY76" s="776"/>
      <c r="BZ76" s="776"/>
      <c r="CA76" s="776"/>
      <c r="CB76" s="776"/>
      <c r="CC76" s="776"/>
      <c r="CD76" s="776"/>
      <c r="CE76" s="776"/>
      <c r="CF76" s="776"/>
      <c r="CG76" s="776"/>
      <c r="CH76" s="776"/>
      <c r="CI76" s="776"/>
      <c r="CJ76" s="776"/>
      <c r="CK76" s="776"/>
      <c r="CL76" s="776"/>
      <c r="CM76" s="776"/>
      <c r="CN76" s="776"/>
      <c r="CO76" s="775"/>
      <c r="CP76" s="775"/>
    </row>
    <row r="77" spans="8:94" ht="15.75" x14ac:dyDescent="0.25">
      <c r="H77" s="9"/>
      <c r="I77" s="9"/>
      <c r="J77" s="9"/>
      <c r="Q77" s="773"/>
      <c r="R77" s="773"/>
      <c r="S77" s="773"/>
      <c r="T77" s="773"/>
      <c r="U77" s="773"/>
      <c r="V77" s="773"/>
      <c r="W77" s="773"/>
      <c r="X77" s="773"/>
      <c r="Y77" s="773"/>
      <c r="Z77" s="773"/>
      <c r="AA77" s="773"/>
      <c r="AB77" s="773"/>
      <c r="AC77" s="773"/>
      <c r="AD77" s="773"/>
      <c r="AE77" s="773"/>
      <c r="AF77" s="773"/>
      <c r="AG77" s="773"/>
      <c r="AH77" s="773"/>
      <c r="AI77" s="774"/>
      <c r="AJ77" s="774"/>
      <c r="AK77" s="774"/>
      <c r="AL77" s="774"/>
      <c r="AM77" s="774"/>
      <c r="AN77" s="774"/>
      <c r="AO77" s="774"/>
      <c r="AP77" s="774"/>
      <c r="AQ77" s="774"/>
      <c r="AR77" s="774"/>
      <c r="AS77" s="774"/>
      <c r="AT77" s="774"/>
      <c r="AU77" s="774"/>
      <c r="AV77" s="774"/>
      <c r="AW77" s="774"/>
      <c r="AX77" s="774"/>
      <c r="AY77" s="774"/>
      <c r="AZ77" s="774"/>
      <c r="BA77" s="774"/>
      <c r="BB77" s="774"/>
      <c r="BC77" s="774"/>
      <c r="BD77" s="774"/>
      <c r="BE77" s="774"/>
      <c r="BF77" s="774"/>
      <c r="BG77" s="774"/>
      <c r="BH77" s="774"/>
      <c r="BI77" s="774"/>
      <c r="BJ77" s="774"/>
      <c r="BK77" s="774"/>
      <c r="BL77" s="774"/>
      <c r="BM77" s="774"/>
      <c r="BN77" s="774"/>
      <c r="BO77" s="774"/>
      <c r="BP77" s="774"/>
      <c r="BQ77" s="774"/>
      <c r="BR77" s="774"/>
      <c r="BS77" s="774"/>
      <c r="BT77" s="774"/>
      <c r="BU77" s="774"/>
      <c r="BV77" s="774"/>
      <c r="BW77" s="774"/>
      <c r="BX77" s="774"/>
      <c r="BY77" s="774"/>
      <c r="BZ77" s="774"/>
      <c r="CA77" s="774"/>
      <c r="CB77" s="774"/>
      <c r="CC77" s="774"/>
      <c r="CD77" s="774"/>
      <c r="CE77" s="774"/>
      <c r="CF77" s="774"/>
      <c r="CG77" s="774"/>
      <c r="CH77" s="774"/>
      <c r="CI77" s="774"/>
      <c r="CJ77" s="774"/>
      <c r="CK77" s="774"/>
      <c r="CL77" s="774"/>
      <c r="CM77" s="774"/>
      <c r="CN77" s="774"/>
      <c r="CO77" s="773"/>
      <c r="CP77" s="773"/>
    </row>
  </sheetData>
  <mergeCells count="102">
    <mergeCell ref="H1:P3"/>
    <mergeCell ref="V4:BF4"/>
    <mergeCell ref="V7:BX7"/>
    <mergeCell ref="Q9:CP9"/>
    <mergeCell ref="V16:AJ16"/>
    <mergeCell ref="AL16:BG16"/>
    <mergeCell ref="V17:AJ17"/>
    <mergeCell ref="AL17:AW17"/>
    <mergeCell ref="V23:AJ23"/>
    <mergeCell ref="AL23:BG23"/>
    <mergeCell ref="BI23:BO23"/>
    <mergeCell ref="BQ23:CL23"/>
    <mergeCell ref="V24:AJ24"/>
    <mergeCell ref="AL24:BG24"/>
    <mergeCell ref="BI24:BO24"/>
    <mergeCell ref="BQ24:CL24"/>
    <mergeCell ref="V25:AJ25"/>
    <mergeCell ref="AL25:AZ25"/>
    <mergeCell ref="BI25:BO25"/>
    <mergeCell ref="BQ25:CE25"/>
    <mergeCell ref="V26:AJ26"/>
    <mergeCell ref="AL26:AO26"/>
    <mergeCell ref="AX26:AZ26"/>
    <mergeCell ref="BI26:BO26"/>
    <mergeCell ref="BQ26:BT26"/>
    <mergeCell ref="CC26:CE26"/>
    <mergeCell ref="V32:AJ32"/>
    <mergeCell ref="AL32:BG32"/>
    <mergeCell ref="BI32:BO32"/>
    <mergeCell ref="BQ32:CL32"/>
    <mergeCell ref="V33:AJ33"/>
    <mergeCell ref="AL33:BG33"/>
    <mergeCell ref="BI33:BO33"/>
    <mergeCell ref="BQ33:CL33"/>
    <mergeCell ref="V34:AJ34"/>
    <mergeCell ref="AL34:BG34"/>
    <mergeCell ref="BI34:BO34"/>
    <mergeCell ref="BQ34:CL34"/>
    <mergeCell ref="Z42:AI42"/>
    <mergeCell ref="AL42:AS42"/>
    <mergeCell ref="AU42:BB42"/>
    <mergeCell ref="BD42:BK42"/>
    <mergeCell ref="BM42:BT42"/>
    <mergeCell ref="BV42:CC42"/>
    <mergeCell ref="AL43:AS43"/>
    <mergeCell ref="AU43:BB43"/>
    <mergeCell ref="BD43:BK43"/>
    <mergeCell ref="BM43:BT43"/>
    <mergeCell ref="BV43:CC43"/>
    <mergeCell ref="AL44:AS44"/>
    <mergeCell ref="AU44:BB44"/>
    <mergeCell ref="BD44:BK44"/>
    <mergeCell ref="BM44:BT44"/>
    <mergeCell ref="BV44:CC44"/>
    <mergeCell ref="Z46:AI46"/>
    <mergeCell ref="AL46:AS46"/>
    <mergeCell ref="AU46:BB46"/>
    <mergeCell ref="BD46:BK46"/>
    <mergeCell ref="BM46:BT46"/>
    <mergeCell ref="BV46:CC46"/>
    <mergeCell ref="AL47:AS47"/>
    <mergeCell ref="AU47:BB47"/>
    <mergeCell ref="BD47:BK47"/>
    <mergeCell ref="BM47:BT47"/>
    <mergeCell ref="BV47:CC47"/>
    <mergeCell ref="AL48:AS48"/>
    <mergeCell ref="AU48:BB48"/>
    <mergeCell ref="BD48:BK48"/>
    <mergeCell ref="BM48:BT48"/>
    <mergeCell ref="BV48:CC48"/>
    <mergeCell ref="Z50:AI50"/>
    <mergeCell ref="AL50:AS50"/>
    <mergeCell ref="AU50:BB50"/>
    <mergeCell ref="BD50:BK50"/>
    <mergeCell ref="BM50:BT50"/>
    <mergeCell ref="BV50:CC50"/>
    <mergeCell ref="AL51:AS51"/>
    <mergeCell ref="AU51:BB51"/>
    <mergeCell ref="BD51:BK51"/>
    <mergeCell ref="BM51:BT51"/>
    <mergeCell ref="BV51:CC51"/>
    <mergeCell ref="AL52:AS52"/>
    <mergeCell ref="AU52:BB52"/>
    <mergeCell ref="BD52:BK52"/>
    <mergeCell ref="BM52:BT52"/>
    <mergeCell ref="BV52:CC52"/>
    <mergeCell ref="Z54:AI54"/>
    <mergeCell ref="AL54:AS54"/>
    <mergeCell ref="Z56:AI56"/>
    <mergeCell ref="AL56:AS56"/>
    <mergeCell ref="Z62:AI62"/>
    <mergeCell ref="AL62:BA62"/>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3" priority="34">
      <formula>dms_FRCPlength_Num&lt;6</formula>
    </cfRule>
  </conditionalFormatting>
  <conditionalFormatting sqref="AL44">
    <cfRule type="expression" dxfId="32" priority="26">
      <formula>dms_FRCPlength_Num&lt;11</formula>
    </cfRule>
  </conditionalFormatting>
  <conditionalFormatting sqref="AL47">
    <cfRule type="expression" dxfId="31" priority="30">
      <formula>dms_CRCPlength_Num&lt;6</formula>
    </cfRule>
  </conditionalFormatting>
  <conditionalFormatting sqref="AL48">
    <cfRule type="expression" dxfId="30" priority="20">
      <formula>dms_CRCPlength_Num&lt;11</formula>
    </cfRule>
  </conditionalFormatting>
  <conditionalFormatting sqref="AL51">
    <cfRule type="expression" dxfId="29" priority="11">
      <formula>dms_PRCPlength_Num&lt;6</formula>
    </cfRule>
  </conditionalFormatting>
  <conditionalFormatting sqref="AL52">
    <cfRule type="expression" dxfId="28" priority="10">
      <formula>dms_PRCPlength_Num&lt;11</formula>
    </cfRule>
  </conditionalFormatting>
  <conditionalFormatting sqref="AL42:AS42">
    <cfRule type="expression" dxfId="27" priority="28" stopIfTrue="1">
      <formula>(INDEX(dms_Model_Span_List,MATCH(dms_Model,dms_Model_List))&gt;1)</formula>
    </cfRule>
  </conditionalFormatting>
  <conditionalFormatting sqref="AL54:AS54">
    <cfRule type="expression" dxfId="26" priority="29" stopIfTrue="1">
      <formula>(INDEX(dms_Model_Span_List,MATCH(dms_Model,dms_Model_List))=1)</formula>
    </cfRule>
  </conditionalFormatting>
  <conditionalFormatting sqref="AL68:BA68">
    <cfRule type="cellIs" dxfId="25" priority="27" operator="equal">
      <formula>"Confidential"</formula>
    </cfRule>
  </conditionalFormatting>
  <conditionalFormatting sqref="AU43">
    <cfRule type="expression" dxfId="24" priority="33">
      <formula>dms_FRCPlength_Num&lt;7</formula>
    </cfRule>
  </conditionalFormatting>
  <conditionalFormatting sqref="AU44">
    <cfRule type="expression" dxfId="23" priority="15">
      <formula>dms_FRCPlength_Num&lt;12</formula>
    </cfRule>
  </conditionalFormatting>
  <conditionalFormatting sqref="AU47">
    <cfRule type="expression" dxfId="22" priority="24">
      <formula>dms_CRCPlength_Num&lt;7</formula>
    </cfRule>
  </conditionalFormatting>
  <conditionalFormatting sqref="AU48">
    <cfRule type="expression" dxfId="21" priority="19">
      <formula>dms_CRCPlength_Num&lt;12</formula>
    </cfRule>
  </conditionalFormatting>
  <conditionalFormatting sqref="AU51">
    <cfRule type="expression" dxfId="20" priority="9">
      <formula>dms_PRCPlength_Num&lt;7</formula>
    </cfRule>
  </conditionalFormatting>
  <conditionalFormatting sqref="AU52">
    <cfRule type="expression" dxfId="19" priority="5">
      <formula>dms_PRCPlength_Num&lt;12</formula>
    </cfRule>
  </conditionalFormatting>
  <conditionalFormatting sqref="BD43">
    <cfRule type="expression" dxfId="18" priority="32">
      <formula>dms_FRCPlength_Num&lt;8</formula>
    </cfRule>
  </conditionalFormatting>
  <conditionalFormatting sqref="BD44">
    <cfRule type="expression" dxfId="17" priority="14">
      <formula>dms_FRCPlength_Num&lt;13</formula>
    </cfRule>
  </conditionalFormatting>
  <conditionalFormatting sqref="BD47">
    <cfRule type="expression" dxfId="16" priority="23">
      <formula>dms_CRCPlength_Num&lt;8</formula>
    </cfRule>
  </conditionalFormatting>
  <conditionalFormatting sqref="BD48">
    <cfRule type="expression" dxfId="15" priority="18">
      <formula>dms_CRCPlength_Num&lt;13</formula>
    </cfRule>
  </conditionalFormatting>
  <conditionalFormatting sqref="BD51">
    <cfRule type="expression" dxfId="14" priority="8">
      <formula>dms_PRCPlength_Num&lt;8</formula>
    </cfRule>
  </conditionalFormatting>
  <conditionalFormatting sqref="BD52">
    <cfRule type="expression" dxfId="13" priority="4">
      <formula>dms_PRCPlength_Num&lt;13</formula>
    </cfRule>
  </conditionalFormatting>
  <conditionalFormatting sqref="BM43">
    <cfRule type="expression" dxfId="12" priority="25">
      <formula>dms_FRCPlength_Num&lt;9</formula>
    </cfRule>
  </conditionalFormatting>
  <conditionalFormatting sqref="BM44">
    <cfRule type="expression" dxfId="11" priority="13">
      <formula>dms_FRCPlength_Num&lt;14</formula>
    </cfRule>
  </conditionalFormatting>
  <conditionalFormatting sqref="BM47">
    <cfRule type="expression" dxfId="10" priority="22">
      <formula>dms_CRCPlength_Num&lt;9</formula>
    </cfRule>
  </conditionalFormatting>
  <conditionalFormatting sqref="BM48">
    <cfRule type="expression" dxfId="9" priority="17">
      <formula>dms_CRCPlength_Num&lt;14</formula>
    </cfRule>
  </conditionalFormatting>
  <conditionalFormatting sqref="BM51">
    <cfRule type="expression" dxfId="8" priority="7">
      <formula>dms_PRCPlength_Num&lt;9</formula>
    </cfRule>
  </conditionalFormatting>
  <conditionalFormatting sqref="BM52">
    <cfRule type="expression" dxfId="7" priority="3">
      <formula>dms_PRCPlength_Num&lt;14</formula>
    </cfRule>
  </conditionalFormatting>
  <conditionalFormatting sqref="BV42">
    <cfRule type="expression" dxfId="6" priority="1">
      <formula>dms_FRCPlength_Num&lt;5</formula>
    </cfRule>
  </conditionalFormatting>
  <conditionalFormatting sqref="BV43">
    <cfRule type="expression" dxfId="5" priority="31">
      <formula>dms_FRCPlength_Num&lt;10</formula>
    </cfRule>
  </conditionalFormatting>
  <conditionalFormatting sqref="BV44">
    <cfRule type="expression" dxfId="4" priority="12">
      <formula>dms_FRCPlength_Num&lt;15</formula>
    </cfRule>
  </conditionalFormatting>
  <conditionalFormatting sqref="BV47">
    <cfRule type="expression" dxfId="3" priority="21">
      <formula>dms_CRCPlength_Num&lt;10</formula>
    </cfRule>
  </conditionalFormatting>
  <conditionalFormatting sqref="BV48">
    <cfRule type="expression" dxfId="2" priority="16">
      <formula>dms_CRCPlength_Num&lt;15</formula>
    </cfRule>
  </conditionalFormatting>
  <conditionalFormatting sqref="BV51">
    <cfRule type="expression" dxfId="1" priority="6">
      <formula>dms_PRCPlength_Num&lt;10</formula>
    </cfRule>
  </conditionalFormatting>
  <conditionalFormatting sqref="BV52">
    <cfRule type="expression" dxfId="0" priority="2">
      <formula>dms_PRCPlength_Num&lt;15</formula>
    </cfRule>
  </conditionalFormatting>
  <dataValidations count="6">
    <dataValidation type="list" operator="lessThanOrEqual" showInputMessage="1" showErrorMessage="1" prompt="Please use drop down to select correct business name. ABN will auto populate." sqref="AL16:AN16" xr:uid="{00000000-0002-0000-0300-000000000000}">
      <formula1>dms_TradingName_List</formula1>
    </dataValidation>
    <dataValidation type="list" allowBlank="1" showInputMessage="1" showErrorMessage="1" sqref="AL64:BA64" xr:uid="{00000000-0002-0000-0300-000001000000}">
      <formula1>dms_SourceList</formula1>
    </dataValidation>
    <dataValidation type="list" allowBlank="1" showInputMessage="1" showErrorMessage="1" sqref="AL66:BA66" xr:uid="{00000000-0002-0000-0300-000002000000}">
      <formula1>dms_DataQuality_List</formula1>
    </dataValidation>
    <dataValidation type="list" allowBlank="1" showInputMessage="1" showErrorMessage="1" sqref="AL68:BA68" xr:uid="{00000000-0002-0000-0300-000003000000}">
      <formula1>dms_Confid_status_List</formula1>
    </dataValidation>
    <dataValidation allowBlank="1" showInputMessage="1" showErrorMessage="1" promptTitle="Submission Date" prompt="-- enter date file submitted to AER -- " sqref="AL74:BA74" xr:uid="{00000000-0002-0000-0300-000004000000}"/>
    <dataValidation type="list" allowBlank="1" showInputMessage="1" showErrorMessage="1" sqref="AL42:AS42 AL54:AS54 AL56:AS56" xr:uid="{00000000-0002-0000-0300-000005000000}">
      <formula1>INDIRECT(dms_RPT)</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0"/>
  <sheetViews>
    <sheetView showGridLines="0" zoomScale="85" zoomScaleNormal="85" workbookViewId="0">
      <selection activeCell="C23" sqref="C23:D23"/>
    </sheetView>
  </sheetViews>
  <sheetFormatPr defaultColWidth="9.140625" defaultRowHeight="15" x14ac:dyDescent="0.25"/>
  <cols>
    <col min="1" max="1" width="17.7109375" customWidth="1"/>
    <col min="2" max="2" width="47.7109375" customWidth="1"/>
    <col min="3" max="3" width="25.7109375" customWidth="1"/>
    <col min="4" max="12" width="18.7109375" customWidth="1"/>
  </cols>
  <sheetData>
    <row r="1" spans="1:31" s="9" customFormat="1" ht="24" customHeight="1" x14ac:dyDescent="0.25">
      <c r="B1" s="861" t="str">
        <f>IF(dms_DataQuality="backcast",INDEX(dms_Worksheet_List,MATCH(dms_Model,dms_Model_List))&amp;" BACKCAST",INDEX(dms_Worksheet_List,MATCH(dms_Model,dms_Model_List)))</f>
        <v>REGULATORY REPORTING STATEMENT</v>
      </c>
      <c r="C1" s="11"/>
      <c r="D1" s="11"/>
      <c r="E1" s="11"/>
      <c r="F1" s="11"/>
      <c r="G1" s="11"/>
      <c r="H1" s="11"/>
      <c r="I1" s="976" t="s">
        <v>899</v>
      </c>
      <c r="J1" s="977" t="s">
        <v>900</v>
      </c>
      <c r="K1" s="11"/>
      <c r="L1" s="11"/>
      <c r="M1"/>
      <c r="N1"/>
      <c r="O1"/>
      <c r="P1"/>
      <c r="Q1"/>
      <c r="R1"/>
      <c r="S1"/>
      <c r="T1"/>
      <c r="U1"/>
      <c r="V1"/>
      <c r="W1"/>
      <c r="X1"/>
      <c r="Y1"/>
      <c r="Z1"/>
      <c r="AA1"/>
      <c r="AB1"/>
      <c r="AC1"/>
      <c r="AD1"/>
      <c r="AE1"/>
    </row>
    <row r="2" spans="1:31" s="9" customFormat="1" ht="24" customHeight="1" x14ac:dyDescent="0.25">
      <c r="B2" s="10" t="str">
        <f>INDEX(dms_TradingNameFull_List,MATCH(dms_TradingName,dms_TradingName_List))</f>
        <v>Australian Gas Networks Limited (reporting data for SA)</v>
      </c>
      <c r="C2" s="10"/>
      <c r="D2" s="10"/>
      <c r="E2" s="10"/>
      <c r="F2" s="10"/>
      <c r="G2" s="10"/>
      <c r="H2" s="10"/>
      <c r="I2" s="978" t="s">
        <v>901</v>
      </c>
      <c r="J2" s="979" t="s">
        <v>9</v>
      </c>
      <c r="K2" s="10"/>
      <c r="L2" s="10"/>
      <c r="M2"/>
      <c r="N2"/>
      <c r="O2"/>
      <c r="P2"/>
      <c r="Q2"/>
      <c r="R2"/>
      <c r="S2"/>
      <c r="T2"/>
      <c r="U2"/>
      <c r="V2"/>
      <c r="W2"/>
      <c r="X2"/>
      <c r="Y2"/>
      <c r="Z2"/>
      <c r="AA2"/>
      <c r="AB2"/>
      <c r="AC2"/>
      <c r="AD2"/>
      <c r="AE2"/>
    </row>
    <row r="3" spans="1:31" s="9" customFormat="1" ht="24" customHeight="1" x14ac:dyDescent="0.25">
      <c r="B3" s="10" t="str">
        <f ca="1">IF(SUM(dms_SingleYear_Model)&gt;0,CRY,CONCATENATE(FRCP_y1," to ",dms_MultiYear_FinalYear_Result))</f>
        <v>2026-27 to 2030-31</v>
      </c>
      <c r="C3" s="11"/>
      <c r="D3" s="11"/>
      <c r="E3" s="11"/>
      <c r="F3" s="11"/>
      <c r="G3" s="11"/>
      <c r="H3" s="11"/>
      <c r="I3" s="980" t="s">
        <v>902</v>
      </c>
      <c r="J3" s="981" t="s">
        <v>903</v>
      </c>
      <c r="K3" s="11"/>
      <c r="L3" s="11"/>
      <c r="M3"/>
      <c r="N3"/>
      <c r="O3"/>
      <c r="P3"/>
      <c r="Q3"/>
      <c r="R3"/>
      <c r="S3"/>
      <c r="T3"/>
      <c r="U3"/>
      <c r="V3"/>
      <c r="W3"/>
      <c r="X3"/>
      <c r="Y3"/>
      <c r="Z3"/>
      <c r="AA3"/>
      <c r="AB3"/>
      <c r="AC3"/>
      <c r="AD3"/>
      <c r="AE3"/>
    </row>
    <row r="4" spans="1:31" s="9" customFormat="1" ht="24" customHeight="1" x14ac:dyDescent="0.25">
      <c r="B4" s="13" t="s">
        <v>904</v>
      </c>
      <c r="C4" s="13"/>
      <c r="D4" s="13"/>
      <c r="E4" s="13"/>
      <c r="F4" s="13"/>
      <c r="G4" s="13"/>
      <c r="H4" s="13"/>
      <c r="I4" s="982" t="s">
        <v>905</v>
      </c>
      <c r="J4" s="983" t="s">
        <v>906</v>
      </c>
      <c r="K4" s="13"/>
      <c r="L4" s="13"/>
      <c r="M4"/>
      <c r="N4"/>
      <c r="O4"/>
      <c r="P4"/>
      <c r="Q4"/>
      <c r="R4"/>
      <c r="S4"/>
      <c r="T4"/>
      <c r="U4"/>
      <c r="V4"/>
      <c r="W4"/>
      <c r="X4"/>
      <c r="Y4"/>
      <c r="Z4"/>
      <c r="AA4"/>
      <c r="AB4"/>
      <c r="AC4"/>
      <c r="AD4"/>
      <c r="AE4"/>
    </row>
    <row r="5" spans="1:31" ht="12.75" customHeight="1" x14ac:dyDescent="0.25">
      <c r="A5" s="12"/>
      <c r="B5" s="12"/>
      <c r="C5" s="12"/>
      <c r="D5" s="12"/>
      <c r="E5" s="12"/>
      <c r="F5" s="12"/>
      <c r="G5" s="12"/>
      <c r="H5" s="12"/>
      <c r="I5" s="12"/>
      <c r="J5" s="12"/>
      <c r="K5" s="12"/>
      <c r="L5" s="12"/>
    </row>
    <row r="6" spans="1:31" ht="18" x14ac:dyDescent="0.25">
      <c r="A6" s="12"/>
      <c r="B6" s="862" t="s">
        <v>907</v>
      </c>
      <c r="C6" s="863"/>
      <c r="D6" s="864"/>
      <c r="E6" s="864"/>
      <c r="F6" s="864"/>
      <c r="G6" s="864"/>
      <c r="H6" s="864"/>
      <c r="I6" s="864"/>
      <c r="J6" s="864"/>
      <c r="K6" s="864"/>
      <c r="L6" s="864"/>
    </row>
    <row r="7" spans="1:31" ht="15.75" thickBot="1" x14ac:dyDescent="0.3">
      <c r="A7" s="12"/>
      <c r="B7" s="12"/>
      <c r="C7" s="12"/>
      <c r="D7" s="12"/>
      <c r="E7" s="12"/>
      <c r="F7" s="12"/>
      <c r="G7" s="12"/>
      <c r="H7" s="12"/>
      <c r="I7" s="12"/>
      <c r="J7" s="12"/>
      <c r="K7" s="12"/>
      <c r="L7" s="12"/>
    </row>
    <row r="8" spans="1:31" ht="16.5" thickBot="1" x14ac:dyDescent="0.3">
      <c r="A8" s="12"/>
      <c r="B8" s="2" t="s">
        <v>908</v>
      </c>
      <c r="C8" s="3"/>
      <c r="D8" s="1"/>
      <c r="G8" s="12"/>
      <c r="H8" s="12"/>
      <c r="I8" s="12"/>
      <c r="J8" s="12"/>
      <c r="K8" s="12"/>
      <c r="L8" s="12"/>
    </row>
    <row r="9" spans="1:31" ht="15.75" thickBot="1" x14ac:dyDescent="0.3"/>
    <row r="10" spans="1:31" ht="19.5" customHeight="1" thickBot="1" x14ac:dyDescent="0.3">
      <c r="B10" s="820" t="s">
        <v>909</v>
      </c>
      <c r="C10" s="821"/>
      <c r="D10" s="865"/>
    </row>
    <row r="11" spans="1:31" x14ac:dyDescent="0.25">
      <c r="B11" s="1059"/>
      <c r="C11" s="1059"/>
      <c r="D11" s="825" t="s">
        <v>910</v>
      </c>
    </row>
    <row r="12" spans="1:31" ht="15.75" thickBot="1" x14ac:dyDescent="0.3">
      <c r="B12" s="1068"/>
      <c r="C12" s="1068"/>
      <c r="D12" s="822" t="str">
        <f ca="1">CRCP_y5</f>
        <v>2025-26</v>
      </c>
    </row>
    <row r="13" spans="1:31" x14ac:dyDescent="0.25">
      <c r="B13" s="1070" t="s">
        <v>911</v>
      </c>
      <c r="C13" s="1071"/>
      <c r="D13" s="972">
        <f>AVERAGE('[1]T5 Res History &amp; Forecast'!$U$62,'[1]T5 Res History &amp; Forecast'!$U$57)</f>
        <v>13.1077052098031</v>
      </c>
    </row>
    <row r="14" spans="1:31" x14ac:dyDescent="0.25">
      <c r="B14" s="1072" t="s">
        <v>912</v>
      </c>
      <c r="C14" s="1073"/>
      <c r="D14" s="973">
        <f>'[1]T6 Comm History &amp; Forecast'!$U$26</f>
        <v>274.30262247613553</v>
      </c>
    </row>
    <row r="15" spans="1:31" ht="48.75" customHeight="1" x14ac:dyDescent="0.25">
      <c r="B15" s="866" t="s">
        <v>913</v>
      </c>
      <c r="C15" s="1069" t="s">
        <v>914</v>
      </c>
      <c r="D15" s="1066"/>
    </row>
    <row r="17" spans="1:12" ht="15.75" thickBot="1" x14ac:dyDescent="0.3"/>
    <row r="18" spans="1:12" ht="21" customHeight="1" thickBot="1" x14ac:dyDescent="0.3">
      <c r="A18" s="12"/>
      <c r="B18" s="820" t="s">
        <v>915</v>
      </c>
      <c r="C18" s="821"/>
      <c r="D18" s="865"/>
      <c r="G18" s="12"/>
      <c r="H18" s="12"/>
      <c r="I18" s="12"/>
      <c r="J18" s="12"/>
      <c r="K18" s="12"/>
      <c r="L18" s="12"/>
    </row>
    <row r="19" spans="1:12" x14ac:dyDescent="0.25">
      <c r="A19" s="12"/>
      <c r="D19" s="827" t="str">
        <f ca="1">CRCP_y5</f>
        <v>2025-26</v>
      </c>
      <c r="H19" s="12"/>
      <c r="I19" s="12"/>
      <c r="J19" s="12"/>
      <c r="K19" s="12"/>
      <c r="L19" s="12"/>
    </row>
    <row r="20" spans="1:12" ht="15.75" thickBot="1" x14ac:dyDescent="0.3">
      <c r="A20" s="12"/>
      <c r="B20" s="867"/>
      <c r="C20" s="823" t="s">
        <v>916</v>
      </c>
      <c r="D20" s="824" t="str">
        <f ca="1">CONCATENATE("($ real, ", dms_DollarReal, ")")</f>
        <v>($ real, June 2026)</v>
      </c>
      <c r="G20" s="12"/>
      <c r="H20" s="12"/>
      <c r="I20" s="12"/>
      <c r="J20" s="12"/>
      <c r="K20" s="12"/>
      <c r="L20" s="12"/>
    </row>
    <row r="21" spans="1:12" x14ac:dyDescent="0.25">
      <c r="A21" s="12"/>
      <c r="B21" s="856" t="s">
        <v>911</v>
      </c>
      <c r="C21" s="858" t="s">
        <v>917</v>
      </c>
      <c r="D21" s="972">
        <v>1117</v>
      </c>
      <c r="E21" s="985"/>
      <c r="G21" s="12"/>
      <c r="H21" s="12"/>
      <c r="I21" s="12"/>
      <c r="J21" s="12"/>
      <c r="K21" s="12"/>
      <c r="L21" s="12"/>
    </row>
    <row r="22" spans="1:12" ht="15.75" thickBot="1" x14ac:dyDescent="0.3">
      <c r="A22" s="12"/>
      <c r="B22" s="857" t="s">
        <v>912</v>
      </c>
      <c r="C22" s="819" t="s">
        <v>918</v>
      </c>
      <c r="D22" s="973">
        <v>13621</v>
      </c>
      <c r="G22" s="12"/>
      <c r="H22" s="12"/>
      <c r="I22" s="12"/>
      <c r="J22" s="12"/>
      <c r="K22" s="12"/>
      <c r="L22" s="12"/>
    </row>
    <row r="23" spans="1:12" ht="45.75" customHeight="1" thickBot="1" x14ac:dyDescent="0.3">
      <c r="A23" s="12"/>
      <c r="B23" s="866" t="s">
        <v>913</v>
      </c>
      <c r="C23" s="1065" t="s">
        <v>919</v>
      </c>
      <c r="D23" s="1066"/>
      <c r="G23" s="12"/>
      <c r="H23" s="12"/>
      <c r="I23" s="12"/>
      <c r="J23" s="12"/>
      <c r="K23" s="12"/>
      <c r="L23" s="12"/>
    </row>
    <row r="24" spans="1:12" x14ac:dyDescent="0.25">
      <c r="A24" s="12"/>
      <c r="B24" s="12"/>
      <c r="C24" s="868"/>
      <c r="F24" s="12"/>
      <c r="G24" s="12"/>
      <c r="H24" s="12"/>
      <c r="I24" s="12"/>
      <c r="J24" s="12"/>
      <c r="K24" s="12"/>
      <c r="L24" s="12"/>
    </row>
    <row r="25" spans="1:12" ht="15.75" thickBot="1" x14ac:dyDescent="0.3">
      <c r="A25" s="12"/>
      <c r="B25" s="12"/>
      <c r="H25" s="12"/>
      <c r="I25" s="12"/>
      <c r="J25" s="12"/>
      <c r="K25" s="12"/>
      <c r="L25" s="12"/>
    </row>
    <row r="26" spans="1:12" ht="21" customHeight="1" thickBot="1" x14ac:dyDescent="0.3">
      <c r="A26" s="12"/>
      <c r="B26" s="820" t="s">
        <v>920</v>
      </c>
      <c r="C26" s="821"/>
      <c r="D26" s="865"/>
      <c r="G26" s="12"/>
      <c r="H26" s="12"/>
      <c r="I26" s="12"/>
      <c r="J26" s="12"/>
      <c r="K26" s="12"/>
      <c r="L26" s="12"/>
    </row>
    <row r="27" spans="1:12" x14ac:dyDescent="0.25">
      <c r="A27" s="12"/>
      <c r="B27" s="1067"/>
      <c r="C27" s="1067"/>
      <c r="D27" s="827" t="s">
        <v>921</v>
      </c>
      <c r="H27" s="12"/>
      <c r="I27" s="12"/>
      <c r="J27" s="12"/>
      <c r="K27" s="12"/>
      <c r="L27" s="12"/>
    </row>
    <row r="28" spans="1:12" x14ac:dyDescent="0.25">
      <c r="A28" s="12"/>
      <c r="B28" s="1060"/>
      <c r="C28" s="1060"/>
      <c r="D28" s="826" t="str">
        <f ca="1">CRCP_y5</f>
        <v>2025-26</v>
      </c>
      <c r="H28" s="12"/>
      <c r="I28" s="12"/>
      <c r="J28" s="12"/>
      <c r="K28" s="12"/>
      <c r="L28" s="12"/>
    </row>
    <row r="29" spans="1:12" x14ac:dyDescent="0.25">
      <c r="A29" s="12"/>
      <c r="B29" s="1061" t="s">
        <v>911</v>
      </c>
      <c r="C29" s="1062"/>
      <c r="D29" s="986">
        <v>0.55000000000000004</v>
      </c>
      <c r="H29" s="12"/>
      <c r="I29" s="12"/>
      <c r="J29" s="12"/>
      <c r="K29" s="12"/>
      <c r="L29" s="12"/>
    </row>
    <row r="30" spans="1:12" ht="15.75" customHeight="1" x14ac:dyDescent="0.25">
      <c r="A30" s="12"/>
      <c r="B30" s="1063" t="s">
        <v>912</v>
      </c>
      <c r="C30" s="1064"/>
      <c r="D30" s="984">
        <v>0.46528616195390776</v>
      </c>
      <c r="H30" s="12"/>
      <c r="I30" s="12"/>
      <c r="J30" s="12"/>
      <c r="K30" s="12"/>
      <c r="L30" s="12"/>
    </row>
    <row r="31" spans="1:12" ht="45.75" customHeight="1" x14ac:dyDescent="0.25">
      <c r="A31" s="12"/>
      <c r="B31" s="866" t="s">
        <v>913</v>
      </c>
      <c r="C31" s="1065" t="s">
        <v>919</v>
      </c>
      <c r="D31" s="1066"/>
      <c r="H31" s="12"/>
      <c r="I31" s="12"/>
      <c r="J31" s="12"/>
      <c r="K31" s="12"/>
      <c r="L31" s="12"/>
    </row>
    <row r="32" spans="1:12" x14ac:dyDescent="0.25">
      <c r="B32" s="12"/>
      <c r="F32" s="12"/>
      <c r="G32" s="12"/>
      <c r="H32" s="12"/>
      <c r="I32" s="12"/>
      <c r="J32" s="12"/>
      <c r="K32" s="12"/>
      <c r="L32" s="12"/>
    </row>
    <row r="33" spans="2:31" ht="15.75" thickBot="1" x14ac:dyDescent="0.3">
      <c r="B33" s="12"/>
      <c r="F33" s="12"/>
      <c r="G33" s="12"/>
      <c r="H33" s="12"/>
      <c r="I33" s="12"/>
      <c r="J33" s="12"/>
      <c r="K33" s="12"/>
      <c r="L33" s="12"/>
    </row>
    <row r="34" spans="2:31" ht="23.25" customHeight="1" thickBot="1" x14ac:dyDescent="0.3">
      <c r="B34" s="828" t="s">
        <v>922</v>
      </c>
      <c r="C34" s="829"/>
      <c r="D34" s="829"/>
      <c r="E34" s="829"/>
      <c r="F34" s="829"/>
      <c r="G34" s="829"/>
      <c r="H34" s="829"/>
      <c r="I34" s="829"/>
      <c r="J34" s="830"/>
      <c r="K34" s="12"/>
    </row>
    <row r="35" spans="2:31" ht="15.75" thickBot="1" x14ac:dyDescent="0.3">
      <c r="B35" s="6"/>
      <c r="C35" s="6"/>
      <c r="D35" s="869" t="str">
        <f ca="1">CRCP_y5</f>
        <v>2025-26</v>
      </c>
      <c r="E35" s="870" t="str">
        <f>FRCP_y1</f>
        <v>2026-27</v>
      </c>
      <c r="F35" s="871" t="str">
        <f ca="1">FRCP_y2</f>
        <v>2027-28</v>
      </c>
      <c r="G35" s="871" t="str">
        <f ca="1">FRCP_y3</f>
        <v>2028-29</v>
      </c>
      <c r="H35" s="871" t="str">
        <f ca="1">FRCP_y4</f>
        <v>2029-30</v>
      </c>
      <c r="I35" s="872" t="str">
        <f ca="1">FRCP_y5</f>
        <v>2030-31</v>
      </c>
      <c r="J35" s="873" t="s">
        <v>923</v>
      </c>
    </row>
    <row r="36" spans="2:31" x14ac:dyDescent="0.25">
      <c r="B36" s="874" t="s">
        <v>924</v>
      </c>
      <c r="C36" s="875"/>
      <c r="D36" s="876"/>
      <c r="E36" s="974">
        <v>2.6599999999999999E-2</v>
      </c>
      <c r="F36" s="877">
        <f>+$E$36</f>
        <v>2.6599999999999999E-2</v>
      </c>
      <c r="G36" s="877">
        <f t="shared" ref="G36:I36" si="0">+$E$36</f>
        <v>2.6599999999999999E-2</v>
      </c>
      <c r="H36" s="877">
        <f t="shared" si="0"/>
        <v>2.6599999999999999E-2</v>
      </c>
      <c r="I36" s="878">
        <f t="shared" si="0"/>
        <v>2.6599999999999999E-2</v>
      </c>
      <c r="J36" s="879"/>
    </row>
    <row r="37" spans="2:31" x14ac:dyDescent="0.25">
      <c r="B37" s="880"/>
      <c r="C37" s="881"/>
      <c r="D37" s="876"/>
      <c r="E37" s="882"/>
      <c r="F37" s="883"/>
      <c r="G37" s="883"/>
      <c r="H37" s="883"/>
      <c r="I37" s="884"/>
      <c r="J37" s="885"/>
    </row>
    <row r="38" spans="2:31" x14ac:dyDescent="0.25">
      <c r="B38" s="886" t="s">
        <v>925</v>
      </c>
      <c r="C38" s="887"/>
      <c r="D38" s="876"/>
      <c r="E38" s="859">
        <v>3.5640357622383788E-2</v>
      </c>
      <c r="F38" s="859">
        <v>-9.2999999999999992E-3</v>
      </c>
      <c r="G38" s="859">
        <v>-9.2999999999999992E-3</v>
      </c>
      <c r="H38" s="859">
        <v>-9.2999999999999992E-3</v>
      </c>
      <c r="I38" s="860">
        <v>-9.2999999999999992E-3</v>
      </c>
      <c r="J38" s="888"/>
    </row>
    <row r="39" spans="2:31" x14ac:dyDescent="0.25">
      <c r="B39" s="889"/>
      <c r="C39" s="890"/>
      <c r="D39" s="876"/>
      <c r="E39" s="891"/>
      <c r="F39" s="892"/>
      <c r="G39" s="892"/>
      <c r="H39" s="892"/>
      <c r="I39" s="893"/>
      <c r="J39" s="894"/>
    </row>
    <row r="40" spans="2:31" x14ac:dyDescent="0.25">
      <c r="B40" s="886" t="s">
        <v>926</v>
      </c>
      <c r="C40" s="887"/>
      <c r="D40" s="895">
        <v>1</v>
      </c>
      <c r="E40" s="896">
        <f>D40*(1+E36)*(1-E38)</f>
        <v>0.99001160886486073</v>
      </c>
      <c r="F40" s="897">
        <f>E40*(1+F36)*(1-F38)</f>
        <v>1.0257979346949102</v>
      </c>
      <c r="G40" s="897">
        <f>F40*(1+G36)*(1-G38)</f>
        <v>1.0628778424435423</v>
      </c>
      <c r="H40" s="897">
        <f>G40*(1+H36)*(1-H38)</f>
        <v>1.1012980917079294</v>
      </c>
      <c r="I40" s="898">
        <f>H40*(1+I36)*(1-I38)</f>
        <v>1.1411071323221709</v>
      </c>
      <c r="J40" s="894"/>
      <c r="AE40" s="899"/>
    </row>
    <row r="41" spans="2:31" x14ac:dyDescent="0.25">
      <c r="B41" s="886" t="s">
        <v>927</v>
      </c>
      <c r="C41" s="887"/>
      <c r="D41" s="876"/>
      <c r="E41" s="900">
        <f>E40/D40-1</f>
        <v>-9.988391135139274E-3</v>
      </c>
      <c r="F41" s="901">
        <f>F40/E40-1</f>
        <v>3.6147380000000062E-2</v>
      </c>
      <c r="G41" s="901">
        <f>G40/F40-1</f>
        <v>3.6147380000000062E-2</v>
      </c>
      <c r="H41" s="901">
        <f>H40/G40-1</f>
        <v>3.6147380000000062E-2</v>
      </c>
      <c r="I41" s="902">
        <f>I40/H40-1</f>
        <v>3.6147380000000062E-2</v>
      </c>
      <c r="J41" s="903">
        <f>(I40/D40)^(1/5)-1</f>
        <v>2.6751353372015396E-2</v>
      </c>
      <c r="M41" s="904"/>
      <c r="AE41" s="899"/>
    </row>
    <row r="42" spans="2:31" x14ac:dyDescent="0.25">
      <c r="B42" s="886"/>
      <c r="C42" s="887"/>
      <c r="D42" s="876"/>
      <c r="E42" s="905"/>
      <c r="F42" s="906"/>
      <c r="G42" s="906"/>
      <c r="H42" s="906"/>
      <c r="I42" s="907"/>
      <c r="J42" s="908"/>
    </row>
    <row r="43" spans="2:31" x14ac:dyDescent="0.25">
      <c r="B43" s="909" t="str">
        <f ca="1">CONCATENATE("Annual price path (index, real ",dms_DollarReal,")")</f>
        <v>Annual price path (index, real June 2026)</v>
      </c>
      <c r="C43" s="910"/>
      <c r="D43" s="895">
        <v>1</v>
      </c>
      <c r="E43" s="896">
        <f>D43*(1-E38)</f>
        <v>0.96435964237761618</v>
      </c>
      <c r="F43" s="897">
        <f>E43*(1-F38)</f>
        <v>0.97332818705172808</v>
      </c>
      <c r="G43" s="897">
        <f>F43*(1-G38)</f>
        <v>0.98238013919130929</v>
      </c>
      <c r="H43" s="897">
        <f>G43*(1-H38)</f>
        <v>0.9915162744857885</v>
      </c>
      <c r="I43" s="898">
        <f>H43*(1-I38)</f>
        <v>1.0007373758385063</v>
      </c>
      <c r="J43" s="911"/>
      <c r="AE43" s="899"/>
    </row>
    <row r="44" spans="2:31" ht="15.75" thickBot="1" x14ac:dyDescent="0.3">
      <c r="B44" s="912" t="str">
        <f ca="1">CONCATENATE("Annual price path (per cent, real ",dms_DollarReal,")")</f>
        <v>Annual price path (per cent, real June 2026)</v>
      </c>
      <c r="C44" s="913"/>
      <c r="D44" s="914"/>
      <c r="E44" s="915">
        <f>E43/D43-1</f>
        <v>-3.5640357622383823E-2</v>
      </c>
      <c r="F44" s="916">
        <f>F43/E43-1</f>
        <v>9.300000000000086E-3</v>
      </c>
      <c r="G44" s="916">
        <f>G43/F43-1</f>
        <v>9.300000000000086E-3</v>
      </c>
      <c r="H44" s="916">
        <f>H43/G43-1</f>
        <v>9.300000000000086E-3</v>
      </c>
      <c r="I44" s="917">
        <f>I43/H43-1</f>
        <v>9.300000000000086E-3</v>
      </c>
      <c r="J44" s="918">
        <f>(I43/D43)^(1/5)-1</f>
        <v>1.4743168908570858E-4</v>
      </c>
      <c r="AE44" s="899"/>
    </row>
    <row r="45" spans="2:31" ht="15.75" thickBot="1" x14ac:dyDescent="0.3">
      <c r="F45" s="12"/>
      <c r="G45" s="12"/>
      <c r="H45" s="12"/>
      <c r="I45" s="12"/>
      <c r="J45" s="12"/>
      <c r="K45" s="12"/>
      <c r="L45" s="12"/>
    </row>
    <row r="46" spans="2:31" ht="16.5" thickBot="1" x14ac:dyDescent="0.3">
      <c r="B46" s="828" t="s">
        <v>928</v>
      </c>
      <c r="C46" s="829"/>
      <c r="D46" s="829"/>
      <c r="E46" s="829"/>
      <c r="F46" s="829"/>
      <c r="G46" s="829"/>
      <c r="H46" s="829"/>
      <c r="I46" s="829"/>
      <c r="J46" s="829"/>
      <c r="K46" s="829"/>
      <c r="L46" s="830"/>
    </row>
    <row r="47" spans="2:31" ht="15.75" thickBot="1" x14ac:dyDescent="0.3">
      <c r="B47" s="831" t="s">
        <v>911</v>
      </c>
      <c r="C47" s="832"/>
      <c r="D47" s="919"/>
      <c r="E47" s="833"/>
      <c r="F47" s="833"/>
      <c r="G47" s="833"/>
      <c r="H47" s="833"/>
      <c r="I47" s="833"/>
      <c r="J47" s="833"/>
      <c r="K47" s="833"/>
      <c r="L47" s="834"/>
    </row>
    <row r="48" spans="2:31" ht="45.75" thickBot="1" x14ac:dyDescent="0.3">
      <c r="B48" s="6"/>
      <c r="C48" s="6"/>
      <c r="D48" s="869" t="str">
        <f ca="1">CRCP_y5</f>
        <v>2025-26</v>
      </c>
      <c r="E48" s="920" t="str">
        <f>FRCP_y1</f>
        <v>2026-27</v>
      </c>
      <c r="F48" s="921" t="str">
        <f ca="1">FRCP_y2</f>
        <v>2027-28</v>
      </c>
      <c r="G48" s="921" t="str">
        <f ca="1">FRCP_y3</f>
        <v>2028-29</v>
      </c>
      <c r="H48" s="921" t="str">
        <f ca="1">FRCP_y4</f>
        <v>2029-30</v>
      </c>
      <c r="I48" s="922" t="str">
        <f ca="1">FRCP_y5</f>
        <v>2030-31</v>
      </c>
      <c r="J48" s="923" t="str">
        <f ca="1">"Total 
"&amp;E48&amp;" to 
"&amp;I48&amp;""</f>
        <v>Total 
2026-27 to 
2030-31</v>
      </c>
      <c r="K48" s="923" t="s">
        <v>923</v>
      </c>
      <c r="L48" s="873" t="s">
        <v>929</v>
      </c>
    </row>
    <row r="49" spans="2:31" x14ac:dyDescent="0.25">
      <c r="B49" s="924" t="s">
        <v>930</v>
      </c>
      <c r="C49" s="36"/>
      <c r="D49" s="925">
        <f>D21*$D$29</f>
        <v>614.35</v>
      </c>
      <c r="E49" s="925">
        <f>D49*(1+E$41)</f>
        <v>608.21363190612726</v>
      </c>
      <c r="F49" s="926">
        <f t="shared" ref="F49" si="1">E49*(1+F$41)</f>
        <v>630.19896117981818</v>
      </c>
      <c r="G49" s="927">
        <f>F49*(1+G$41)</f>
        <v>652.97900250519035</v>
      </c>
      <c r="H49" s="927">
        <f>G49*(1+H$41)</f>
        <v>676.58248264076644</v>
      </c>
      <c r="I49" s="928">
        <f>H49*(1+I$41)</f>
        <v>701.03916674212564</v>
      </c>
      <c r="J49" s="929"/>
      <c r="K49" s="930">
        <f>+AVERAGE(E49:I49)</f>
        <v>653.80264899480551</v>
      </c>
      <c r="L49" s="931"/>
      <c r="O49" s="932"/>
      <c r="P49" s="932"/>
      <c r="Q49" s="932"/>
      <c r="AE49" s="899"/>
    </row>
    <row r="50" spans="2:31" x14ac:dyDescent="0.25">
      <c r="B50" s="924" t="s">
        <v>931</v>
      </c>
      <c r="C50" s="36"/>
      <c r="D50" s="933"/>
      <c r="E50" s="934">
        <f>+E49-D49</f>
        <v>-6.1363680938727612</v>
      </c>
      <c r="F50" s="930">
        <f>+F49-E49</f>
        <v>21.985329273690922</v>
      </c>
      <c r="G50" s="930">
        <f>+G49-F49</f>
        <v>22.780041325372167</v>
      </c>
      <c r="H50" s="930">
        <f>+H49-G49</f>
        <v>23.603480135576092</v>
      </c>
      <c r="I50" s="935">
        <f>+I49-H49</f>
        <v>24.456684101359201</v>
      </c>
      <c r="J50" s="936">
        <f>+SUM(E50:I50)</f>
        <v>86.689166742125622</v>
      </c>
      <c r="K50" s="930">
        <f>+AVERAGE(E50:I50)</f>
        <v>17.337833348425125</v>
      </c>
      <c r="L50" s="937">
        <f>K50/D21</f>
        <v>1.5521784555438787E-2</v>
      </c>
      <c r="M50" s="53"/>
      <c r="O50" s="938"/>
      <c r="AE50" s="899"/>
    </row>
    <row r="51" spans="2:31" x14ac:dyDescent="0.25">
      <c r="B51" s="924" t="str">
        <f ca="1">CONCATENATE("Distribution charges bill component ($, real ",dms_DollarReal,")")</f>
        <v>Distribution charges bill component ($, real June 2026)</v>
      </c>
      <c r="C51" s="36"/>
      <c r="D51" s="939">
        <f>D21*$D$29</f>
        <v>614.35</v>
      </c>
      <c r="E51" s="940">
        <f>D51*(1+E$44)</f>
        <v>592.45434629468855</v>
      </c>
      <c r="F51" s="941">
        <f t="shared" ref="F51:I51" si="2">E51*(1+F$44)</f>
        <v>597.96417171522921</v>
      </c>
      <c r="G51" s="941">
        <f t="shared" si="2"/>
        <v>603.52523851218086</v>
      </c>
      <c r="H51" s="941">
        <f t="shared" si="2"/>
        <v>609.13802323034417</v>
      </c>
      <c r="I51" s="935">
        <f t="shared" si="2"/>
        <v>614.80300684638644</v>
      </c>
      <c r="J51" s="942"/>
      <c r="K51" s="942">
        <f>+AVERAGE(E51:I51)</f>
        <v>603.57695731976582</v>
      </c>
      <c r="L51" s="943"/>
    </row>
    <row r="52" spans="2:31" ht="15.75" thickBot="1" x14ac:dyDescent="0.3">
      <c r="B52" s="944" t="str">
        <f ca="1">CONCATENATE("Annual change ($, real ",dms_DollarReal,")")</f>
        <v>Annual change ($, real June 2026)</v>
      </c>
      <c r="C52" s="945"/>
      <c r="D52" s="946"/>
      <c r="E52" s="947">
        <f>+E51-D51</f>
        <v>-21.895653705311474</v>
      </c>
      <c r="F52" s="948">
        <f>+F51-E51</f>
        <v>5.5098254205406647</v>
      </c>
      <c r="G52" s="948">
        <f>+G51-F51</f>
        <v>5.5610667969516498</v>
      </c>
      <c r="H52" s="948">
        <f>+H51-G51</f>
        <v>5.6127847181633115</v>
      </c>
      <c r="I52" s="949">
        <f>+I51-H51</f>
        <v>5.6649836160422637</v>
      </c>
      <c r="J52" s="950">
        <f>+SUM(E52:I52)</f>
        <v>0.45300684638641542</v>
      </c>
      <c r="K52" s="948">
        <f>+AVERAGE(E52:I52)</f>
        <v>9.0601369277283086E-2</v>
      </c>
      <c r="L52" s="951">
        <f>K52/D21</f>
        <v>8.1111342235705544E-5</v>
      </c>
    </row>
    <row r="53" spans="2:31" ht="15.75" thickBot="1" x14ac:dyDescent="0.3">
      <c r="B53" s="12"/>
      <c r="C53" s="12"/>
      <c r="D53" s="12"/>
      <c r="E53" s="12"/>
      <c r="F53" s="12"/>
      <c r="G53" s="12"/>
      <c r="H53" s="12"/>
      <c r="I53" s="12"/>
      <c r="J53" s="12"/>
      <c r="K53" s="12"/>
      <c r="L53" s="12"/>
    </row>
    <row r="54" spans="2:31" ht="15.75" thickBot="1" x14ac:dyDescent="0.3">
      <c r="B54" s="831" t="s">
        <v>932</v>
      </c>
      <c r="C54" s="832"/>
      <c r="D54" s="919"/>
      <c r="E54" s="833"/>
      <c r="F54" s="833"/>
      <c r="G54" s="833"/>
      <c r="H54" s="833"/>
      <c r="I54" s="833"/>
      <c r="J54" s="833"/>
      <c r="K54" s="833"/>
      <c r="L54" s="834"/>
    </row>
    <row r="55" spans="2:31" ht="40.5" customHeight="1" thickBot="1" x14ac:dyDescent="0.3">
      <c r="B55" s="6"/>
      <c r="C55" s="6"/>
      <c r="D55" s="952" t="str">
        <f ca="1">CRCP_y5</f>
        <v>2025-26</v>
      </c>
      <c r="E55" s="953" t="str">
        <f>FRCP_y1</f>
        <v>2026-27</v>
      </c>
      <c r="F55" s="954" t="str">
        <f ca="1">FRCP_y2</f>
        <v>2027-28</v>
      </c>
      <c r="G55" s="954" t="str">
        <f ca="1">FRCP_y3</f>
        <v>2028-29</v>
      </c>
      <c r="H55" s="954" t="str">
        <f ca="1">FRCP_y4</f>
        <v>2029-30</v>
      </c>
      <c r="I55" s="955" t="str">
        <f ca="1">FRCP_y5</f>
        <v>2030-31</v>
      </c>
      <c r="J55" s="923" t="str">
        <f ca="1">"Total 
"&amp;E55&amp;" to 
"&amp;I55&amp;""</f>
        <v>Total 
2026-27 to 
2030-31</v>
      </c>
      <c r="K55" s="956" t="s">
        <v>923</v>
      </c>
      <c r="L55" s="957" t="s">
        <v>929</v>
      </c>
    </row>
    <row r="56" spans="2:31" x14ac:dyDescent="0.25">
      <c r="B56" s="958" t="s">
        <v>930</v>
      </c>
      <c r="C56" s="959"/>
      <c r="D56" s="925">
        <f>D22*$D$30</f>
        <v>6337.6628119741772</v>
      </c>
      <c r="E56" s="925">
        <f>D56*(1+E$41)</f>
        <v>6274.3597569255526</v>
      </c>
      <c r="F56" s="926">
        <f>E56*(1+F$41)</f>
        <v>6501.1614233158489</v>
      </c>
      <c r="G56" s="927">
        <f>F56*(1+G$41)</f>
        <v>6736.1613757257883</v>
      </c>
      <c r="H56" s="927">
        <f>G56*(1+H$41)</f>
        <v>6979.6559607154713</v>
      </c>
      <c r="I56" s="928">
        <f t="shared" ref="I56" si="3">H56*(1+I$41)</f>
        <v>7231.952236996719</v>
      </c>
      <c r="J56" s="960"/>
      <c r="K56" s="927">
        <f>+AVERAGE(E56:I56)</f>
        <v>6744.658150735876</v>
      </c>
      <c r="L56" s="961"/>
      <c r="O56" s="932"/>
      <c r="P56" s="932"/>
      <c r="Q56" s="932"/>
      <c r="AE56" s="899"/>
    </row>
    <row r="57" spans="2:31" x14ac:dyDescent="0.25">
      <c r="B57" s="958" t="s">
        <v>931</v>
      </c>
      <c r="C57" s="959"/>
      <c r="D57" s="933"/>
      <c r="E57" s="939">
        <f>+E56-D56</f>
        <v>-63.303055048624628</v>
      </c>
      <c r="F57" s="942">
        <f>+F56-E56</f>
        <v>226.8016663902963</v>
      </c>
      <c r="G57" s="942">
        <f>+G56-F56</f>
        <v>234.9999524099394</v>
      </c>
      <c r="H57" s="942">
        <f>+H56-G56</f>
        <v>243.49458498968306</v>
      </c>
      <c r="I57" s="962">
        <f>+I56-H56</f>
        <v>252.29627628124763</v>
      </c>
      <c r="J57" s="963">
        <f>+SUM(E57:I57)</f>
        <v>894.28942502254176</v>
      </c>
      <c r="K57" s="942">
        <f>+AVERAGE(E57:I57)</f>
        <v>178.85788500450835</v>
      </c>
      <c r="L57" s="943">
        <f>K57/D22</f>
        <v>1.3131039204501017E-2</v>
      </c>
      <c r="M57" s="53"/>
      <c r="O57" s="938"/>
      <c r="AE57" s="899"/>
    </row>
    <row r="58" spans="2:31" x14ac:dyDescent="0.25">
      <c r="B58" s="958" t="str">
        <f ca="1">CONCATENATE("Distribution charges bill component ($, real ",dms_DollarReal,")")</f>
        <v>Distribution charges bill component ($, real June 2026)</v>
      </c>
      <c r="C58" s="959"/>
      <c r="D58" s="939">
        <f>D22*$D$30</f>
        <v>6337.6628119741772</v>
      </c>
      <c r="E58" s="939">
        <f>D58*(1+E$44)</f>
        <v>6111.7862428653352</v>
      </c>
      <c r="F58" s="942">
        <f t="shared" ref="F58:I58" si="4">E58*(1+F$44)</f>
        <v>6168.6258549239838</v>
      </c>
      <c r="G58" s="942">
        <f t="shared" si="4"/>
        <v>6225.9940753747769</v>
      </c>
      <c r="H58" s="942">
        <f>G58*(1+H$44)</f>
        <v>6283.8958202757631</v>
      </c>
      <c r="I58" s="962">
        <f t="shared" si="4"/>
        <v>6342.3360514043279</v>
      </c>
      <c r="J58" s="963"/>
      <c r="K58" s="942">
        <f>+AVERAGE(E58:I58)</f>
        <v>6226.5276089688368</v>
      </c>
      <c r="L58" s="943"/>
    </row>
    <row r="59" spans="2:31" ht="15.75" thickBot="1" x14ac:dyDescent="0.3">
      <c r="B59" s="964" t="str">
        <f ca="1">CONCATENATE("Annual change ($, real ",dms_DollarReal,")")</f>
        <v>Annual change ($, real June 2026)</v>
      </c>
      <c r="C59" s="965"/>
      <c r="D59" s="946"/>
      <c r="E59" s="966">
        <f>+E58-D58</f>
        <v>-225.87656910884198</v>
      </c>
      <c r="F59" s="967">
        <f>+F58-E58</f>
        <v>56.839612058648527</v>
      </c>
      <c r="G59" s="967">
        <f>+G58-F58</f>
        <v>57.36822045079316</v>
      </c>
      <c r="H59" s="967">
        <f>+H58-G58</f>
        <v>57.901744900986159</v>
      </c>
      <c r="I59" s="968">
        <f>+I58-H58</f>
        <v>58.440231128564847</v>
      </c>
      <c r="J59" s="969">
        <f>+SUM(E59:I59)</f>
        <v>4.6732394301507156</v>
      </c>
      <c r="K59" s="967">
        <f>+AVERAGE(E59:I59)</f>
        <v>0.93464788603014315</v>
      </c>
      <c r="L59" s="970">
        <f>K59/D22</f>
        <v>6.8618154763243751E-5</v>
      </c>
    </row>
    <row r="60" spans="2:31" x14ac:dyDescent="0.25">
      <c r="B60" s="12"/>
      <c r="K60" s="12"/>
      <c r="L60" s="12"/>
    </row>
    <row r="61" spans="2:31" x14ac:dyDescent="0.25">
      <c r="B61" s="12"/>
      <c r="K61" s="12"/>
      <c r="L61" s="12"/>
    </row>
    <row r="62" spans="2:31" x14ac:dyDescent="0.25">
      <c r="D62" s="12"/>
      <c r="E62" s="12"/>
      <c r="F62" s="12"/>
      <c r="G62" s="12"/>
      <c r="H62" s="12"/>
      <c r="I62" s="12"/>
      <c r="J62" s="12"/>
    </row>
    <row r="80" spans="2:11" x14ac:dyDescent="0.25">
      <c r="B80" s="12"/>
      <c r="C80" s="971"/>
      <c r="D80" s="12"/>
      <c r="E80" s="12"/>
      <c r="F80" s="12"/>
      <c r="G80" s="12"/>
      <c r="H80" s="12"/>
      <c r="I80" s="12"/>
      <c r="J80" s="12"/>
      <c r="K80" s="12"/>
    </row>
  </sheetData>
  <mergeCells count="11">
    <mergeCell ref="B11:C11"/>
    <mergeCell ref="B28:C28"/>
    <mergeCell ref="B29:C29"/>
    <mergeCell ref="B30:C30"/>
    <mergeCell ref="C31:D31"/>
    <mergeCell ref="B27:C27"/>
    <mergeCell ref="B12:C12"/>
    <mergeCell ref="C15:D15"/>
    <mergeCell ref="C23:D23"/>
    <mergeCell ref="B13:C13"/>
    <mergeCell ref="B14:C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F048054ACABA4B902070EE511E2BD4" ma:contentTypeVersion="15" ma:contentTypeDescription="Create a new document." ma:contentTypeScope="" ma:versionID="d749b5dc78793ef83f729c7e14ffc85a">
  <xsd:schema xmlns:xsd="http://www.w3.org/2001/XMLSchema" xmlns:xs="http://www.w3.org/2001/XMLSchema" xmlns:p="http://schemas.microsoft.com/office/2006/metadata/properties" xmlns:ns2="12fd3dd5-c654-4bca-8737-2c3d7eb702dc" xmlns:ns3="d4a19ad3-f80d-430a-a486-11f43337c9f4" targetNamespace="http://schemas.microsoft.com/office/2006/metadata/properties" ma:root="true" ma:fieldsID="7775f814b8e696590fc2d0a0a0815784" ns2:_="" ns3:_="">
    <xsd:import namespace="12fd3dd5-c654-4bca-8737-2c3d7eb702dc"/>
    <xsd:import namespace="d4a19ad3-f80d-430a-a486-11f43337c9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d3dd5-c654-4bca-8737-2c3d7eb702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b4a0c63-b107-443f-81ac-4a77d015a5b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a19ad3-f80d-430a-a486-11f43337c9f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fd9f7d5e-20db-4547-b6c8-a8838601563e}" ma:internalName="TaxCatchAll" ma:showField="CatchAllData" ma:web="d4a19ad3-f80d-430a-a486-11f43337c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fd3dd5-c654-4bca-8737-2c3d7eb702dc">
      <Terms xmlns="http://schemas.microsoft.com/office/infopath/2007/PartnerControls"/>
    </lcf76f155ced4ddcb4097134ff3c332f>
    <TaxCatchAll xmlns="d4a19ad3-f80d-430a-a486-11f43337c9f4" xsi:nil="true"/>
  </documentManagement>
</p:properties>
</file>

<file path=customXml/itemProps1.xml><?xml version="1.0" encoding="utf-8"?>
<ds:datastoreItem xmlns:ds="http://schemas.openxmlformats.org/officeDocument/2006/customXml" ds:itemID="{DF459ED9-5CB7-43FD-BEA0-507A1D891F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fd3dd5-c654-4bca-8737-2c3d7eb702dc"/>
    <ds:schemaRef ds:uri="d4a19ad3-f80d-430a-a486-11f43337c9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37203F-68BC-44FB-94F9-52ABAB936343}">
  <ds:schemaRefs>
    <ds:schemaRef ds:uri="http://schemas.microsoft.com/sharepoint/v3/contenttype/forms"/>
  </ds:schemaRefs>
</ds:datastoreItem>
</file>

<file path=customXml/itemProps3.xml><?xml version="1.0" encoding="utf-8"?>
<ds:datastoreItem xmlns:ds="http://schemas.openxmlformats.org/officeDocument/2006/customXml" ds:itemID="{46D24D7A-6581-4A06-9797-8AB63586FB18}">
  <ds:schemaRefs>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e81d0cd9-c043-4c37-9584-5b1b876d03c4"/>
    <ds:schemaRef ds:uri="http://purl.org/dc/elements/1.1/"/>
    <ds:schemaRef ds:uri="f69beede-7b9e-489f-8a4d-ae25a14c8199"/>
    <ds:schemaRef ds:uri="http://schemas.microsoft.com/office/2006/metadata/properties"/>
    <ds:schemaRef ds:uri="http://purl.org/dc/dcmitype/"/>
    <ds:schemaRef ds:uri="12fd3dd5-c654-4bca-8737-2c3d7eb702dc"/>
    <ds:schemaRef ds:uri="d4a19ad3-f80d-430a-a486-11f43337c9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311</vt:i4>
      </vt:variant>
    </vt:vector>
  </HeadingPairs>
  <TitlesOfParts>
    <vt:vector size="313" baseType="lpstr">
      <vt:lpstr>Business &amp; other details</vt:lpstr>
      <vt:lpstr>Indicative bill impact</vt:lpstr>
      <vt:lpstr>ARR</vt:lpstr>
      <vt:lpstr>ARR_Fmt2</vt:lpstr>
      <vt:lpstr>CA</vt:lpstr>
      <vt:lpstr>CA_Fmt2</vt:lpstr>
      <vt:lpstr>Calendar</vt:lpstr>
      <vt:lpstr>CESS</vt:lpstr>
      <vt:lpstr>CESS_Fmt2</vt:lpstr>
      <vt:lpstr>CPI</vt:lpstr>
      <vt:lpstr>CPI_Fmt2</vt:lpstr>
      <vt:lpstr>CRCP_final_year</vt:lpstr>
      <vt:lpstr>CRCP_start_year</vt:lpstr>
      <vt:lpstr>CRCP_y1</vt:lpstr>
      <vt:lpstr>CRCP_y10</vt:lpstr>
      <vt:lpstr>CRCP_y11</vt:lpstr>
      <vt:lpstr>CRCP_y12</vt:lpstr>
      <vt:lpstr>CRCP_y13</vt:lpstr>
      <vt:lpstr>CRCP_y14</vt:lpstr>
      <vt:lpstr>CRCP_y15</vt:lpstr>
      <vt:lpstr>CRCP_y16</vt:lpstr>
      <vt:lpstr>CRCP_y2</vt:lpstr>
      <vt:lpstr>CRCP_y3</vt:lpstr>
      <vt:lpstr>CRCP_y4</vt:lpstr>
      <vt:lpstr>CRCP_y5</vt:lpstr>
      <vt:lpstr>CRCP_y6</vt:lpstr>
      <vt:lpstr>CRCP_y7</vt:lpstr>
      <vt:lpstr>CRCP_y8</vt:lpstr>
      <vt:lpstr>CRCP_y9</vt:lpstr>
      <vt:lpstr>CRY</vt:lpstr>
      <vt:lpstr>dms_020303_01_UOM</vt:lpstr>
      <vt:lpstr>dms_020501_01_UOM</vt:lpstr>
      <vt:lpstr>dms_020501_02_UOM</vt:lpstr>
      <vt:lpstr>dms_020501_03_UOM</vt:lpstr>
      <vt:lpstr>dms_020501_04_UOM</vt:lpstr>
      <vt:lpstr>dms_020603_01_UOM</vt:lpstr>
      <vt:lpstr>dms_020701_01_Rows</vt:lpstr>
      <vt:lpstr>dms_020701_01_UOM</vt:lpstr>
      <vt:lpstr>dms_020701_02_UOM</vt:lpstr>
      <vt:lpstr>dms_0306_Year</vt:lpstr>
      <vt:lpstr>dms_030601_01_UOM</vt:lpstr>
      <vt:lpstr>dms_030601_02_UOM</vt:lpstr>
      <vt:lpstr>dms_030605_UOM</vt:lpstr>
      <vt:lpstr>dms_03060703_UOM</vt:lpstr>
      <vt:lpstr>dms_030701_01_UOM</vt:lpstr>
      <vt:lpstr>dms_030702_01_UOM</vt:lpstr>
      <vt:lpstr>dms_030703_01_UOM</vt:lpstr>
      <vt:lpstr>dms_040102_01_UOM</vt:lpstr>
      <vt:lpstr>dms_040102_04_UOM</vt:lpstr>
      <vt:lpstr>dms_0502_Inst_Year</vt:lpstr>
      <vt:lpstr>dms_060101_Rows</vt:lpstr>
      <vt:lpstr>dms_060101_StartDateTxt</vt:lpstr>
      <vt:lpstr>dms_060101_StartDateVal</vt:lpstr>
      <vt:lpstr>dms_060102_Rows</vt:lpstr>
      <vt:lpstr>dms_0603_FeederList</vt:lpstr>
      <vt:lpstr>dms_060301_Avg_Duration_Sustained_Int_Row</vt:lpstr>
      <vt:lpstr>dms_060301_checkvalue</vt:lpstr>
      <vt:lpstr>dms_060301_CustNo_Affected_Row</vt:lpstr>
      <vt:lpstr>dms_060301_Effect_unplanned_SAIDI_Row</vt:lpstr>
      <vt:lpstr>dms_060301_Effect_unplanned_SAIFI_Row</vt:lpstr>
      <vt:lpstr>dms_060301_LastRow</vt:lpstr>
      <vt:lpstr>dms_060301_MaxRows</vt:lpstr>
      <vt:lpstr>dms_060701_ARR_MaxRows</vt:lpstr>
      <vt:lpstr>dms_060701_Feeder_Header_Lvl4</vt:lpstr>
      <vt:lpstr>dms_060701_MaxCols</vt:lpstr>
      <vt:lpstr>dms_060701_MaxRows</vt:lpstr>
      <vt:lpstr>dms_060701_OffsetRows</vt:lpstr>
      <vt:lpstr>dms_060701_Reset_MaxRows</vt:lpstr>
      <vt:lpstr>dms_060701_Rows</vt:lpstr>
      <vt:lpstr>dms_060701_StartDateTxt</vt:lpstr>
      <vt:lpstr>dms_060701_StartDateVal</vt:lpstr>
      <vt:lpstr>dms_0608_LastRow</vt:lpstr>
      <vt:lpstr>dms_0608_OffsetRows</vt:lpstr>
      <vt:lpstr>dms_060801_01_Rows</vt:lpstr>
      <vt:lpstr>dms_060801_02_Rows</vt:lpstr>
      <vt:lpstr>dms_060801_03_Rows</vt:lpstr>
      <vt:lpstr>dms_060801_04_Rows</vt:lpstr>
      <vt:lpstr>dms_060801_MaxRows</vt:lpstr>
      <vt:lpstr>dms_070904_01_Rows</vt:lpstr>
      <vt:lpstr>dms_070904_Start_Year</vt:lpstr>
      <vt:lpstr>dms_663</vt:lpstr>
      <vt:lpstr>dms_663_List</vt:lpstr>
      <vt:lpstr>dms_ABN</vt:lpstr>
      <vt:lpstr>dms_ABN_List</vt:lpstr>
      <vt:lpstr>dms_Addr1</vt:lpstr>
      <vt:lpstr>dms_Addr1_List</vt:lpstr>
      <vt:lpstr>dms_Addr2</vt:lpstr>
      <vt:lpstr>dms_Addr2_List</vt:lpstr>
      <vt:lpstr>dms_Amendment_Text</vt:lpstr>
      <vt:lpstr>dms_AmendmentReason</vt:lpstr>
      <vt:lpstr>dms_ARR</vt:lpstr>
      <vt:lpstr>dms_Beg</vt:lpstr>
      <vt:lpstr>dms_CA</vt:lpstr>
      <vt:lpstr>dms_Cal_Year_B4_CRY</vt:lpstr>
      <vt:lpstr>dms_CBD_flag</vt:lpstr>
      <vt:lpstr>dms_CBD_flag_NSP</vt:lpstr>
      <vt:lpstr>dms_Classification</vt:lpstr>
      <vt:lpstr>dms_Confid_status_List</vt:lpstr>
      <vt:lpstr>dms_ContactEmail</vt:lpstr>
      <vt:lpstr>dms_ContactEmail2</vt:lpstr>
      <vt:lpstr>dms_ContactName1</vt:lpstr>
      <vt:lpstr>dms_ContactName2</vt:lpstr>
      <vt:lpstr>dms_ContactPh1</vt:lpstr>
      <vt:lpstr>dms_ContactPh2</vt:lpstr>
      <vt:lpstr>dms_CRCP_FinalYear_Result</vt:lpstr>
      <vt:lpstr>dms_CRCP_start_row</vt:lpstr>
      <vt:lpstr>dms_CRCPlength_List</vt:lpstr>
      <vt:lpstr>dms_CRCPlength_Num</vt:lpstr>
      <vt:lpstr>dms_CRY_RYE</vt:lpstr>
      <vt:lpstr>dms_CRY_start_row</vt:lpstr>
      <vt:lpstr>dms_CRY_start_year</vt:lpstr>
      <vt:lpstr>dms_DataQuality</vt:lpstr>
      <vt:lpstr>dms_DataQuality_List</vt:lpstr>
      <vt:lpstr>dms_Defined_Names_Used</vt:lpstr>
      <vt:lpstr>dms_DeterminationRef</vt:lpstr>
      <vt:lpstr>dms_DeterminationRef_List</vt:lpstr>
      <vt:lpstr>dms_DISCARD</vt:lpstr>
      <vt:lpstr>dms_DNSP_020301_ProjectTrigger</vt:lpstr>
      <vt:lpstr>dms_DNSP_020301_ProjectType</vt:lpstr>
      <vt:lpstr>dms_DNSP_020301_SubstationType</vt:lpstr>
      <vt:lpstr>dms_DNSP_020302_ProjectTrigger</vt:lpstr>
      <vt:lpstr>dms_DNSP_020302_ProjectType</vt:lpstr>
      <vt:lpstr>dms_dollar_nom_UOM</vt:lpstr>
      <vt:lpstr>dms_DollarReal</vt:lpstr>
      <vt:lpstr>dms_DollarReal_Prev</vt:lpstr>
      <vt:lpstr>dms_DollarReal_year</vt:lpstr>
      <vt:lpstr>dms_DQ_1</vt:lpstr>
      <vt:lpstr>dms_DQ_2</vt:lpstr>
      <vt:lpstr>dms_E020202_UOM</vt:lpstr>
      <vt:lpstr>dms_EB</vt:lpstr>
      <vt:lpstr>dms_EB_RAB_PIT</vt:lpstr>
      <vt:lpstr>dms_End</vt:lpstr>
      <vt:lpstr>dms_FeederName_1</vt:lpstr>
      <vt:lpstr>dms_FeederName_2</vt:lpstr>
      <vt:lpstr>dms_FeederName_3</vt:lpstr>
      <vt:lpstr>dms_FeederName_4</vt:lpstr>
      <vt:lpstr>dms_FeederName_5</vt:lpstr>
      <vt:lpstr>dms_FeederType_5_flag</vt:lpstr>
      <vt:lpstr>dms_FifthFeeder_flag_NSP</vt:lpstr>
      <vt:lpstr>dms_FormControl</vt:lpstr>
      <vt:lpstr>dms_FormControl_Choices</vt:lpstr>
      <vt:lpstr>dms_FormControl_List</vt:lpstr>
      <vt:lpstr>dms_FRCP_start_row</vt:lpstr>
      <vt:lpstr>dms_FRCP_y1</vt:lpstr>
      <vt:lpstr>dms_FRCPlength_List</vt:lpstr>
      <vt:lpstr>dms_FRCPlength_Num</vt:lpstr>
      <vt:lpstr>dms_Header_Span</vt:lpstr>
      <vt:lpstr>dms_Jurisdiction</vt:lpstr>
      <vt:lpstr>dms_JurisdictionList</vt:lpstr>
      <vt:lpstr>dms_LeapYear_Result</vt:lpstr>
      <vt:lpstr>dms_LongRural_flag</vt:lpstr>
      <vt:lpstr>dms_LongRural_flag_NSP</vt:lpstr>
      <vt:lpstr>dms_Mid</vt:lpstr>
      <vt:lpstr>dms_Model</vt:lpstr>
      <vt:lpstr>dms_Model_List</vt:lpstr>
      <vt:lpstr>dms_Model_Name_Format1</vt:lpstr>
      <vt:lpstr>dms_Model_Span</vt:lpstr>
      <vt:lpstr>dms_Model_Span_List</vt:lpstr>
      <vt:lpstr>dms_Multi_RYE_flag</vt:lpstr>
      <vt:lpstr>dms_MultiYear_ABC_RIN</vt:lpstr>
      <vt:lpstr>dms_MultiYear_FinalYear_Result</vt:lpstr>
      <vt:lpstr>dms_MultiYear_Flag</vt:lpstr>
      <vt:lpstr>dms_MultiYear_ResponseFlag</vt:lpstr>
      <vt:lpstr>dms_N0205_AssetType</vt:lpstr>
      <vt:lpstr>dms_PAddr1</vt:lpstr>
      <vt:lpstr>dms_PAddr1_List</vt:lpstr>
      <vt:lpstr>dms_PAddr2</vt:lpstr>
      <vt:lpstr>dms_PAddr2_List</vt:lpstr>
      <vt:lpstr>dms_Partial</vt:lpstr>
      <vt:lpstr>dms_PostCode</vt:lpstr>
      <vt:lpstr>dms_PostCode_List</vt:lpstr>
      <vt:lpstr>dms_PPostCode</vt:lpstr>
      <vt:lpstr>dms_PPostCode_List</vt:lpstr>
      <vt:lpstr>dms_PRCP_start_row</vt:lpstr>
      <vt:lpstr>dms_PRCPlength_List</vt:lpstr>
      <vt:lpstr>dms_PRCPlength_Num</vt:lpstr>
      <vt:lpstr>dms_Previous_DollarReal_year</vt:lpstr>
      <vt:lpstr>dms_PState</vt:lpstr>
      <vt:lpstr>dms_PState_List</vt:lpstr>
      <vt:lpstr>dms_PSuburb</vt:lpstr>
      <vt:lpstr>dms_PSuburb_List</vt:lpstr>
      <vt:lpstr>dms_PTRM_RAB_PIT</vt:lpstr>
      <vt:lpstr>dms_PTRM_TAB_PIT</vt:lpstr>
      <vt:lpstr>dms_Public_Lighting</vt:lpstr>
      <vt:lpstr>dms_Public_Lighting_List</vt:lpstr>
      <vt:lpstr>dms_Reason_Interruption</vt:lpstr>
      <vt:lpstr>dms_Reset_final_year</vt:lpstr>
      <vt:lpstr>dms_Reset_RYE</vt:lpstr>
      <vt:lpstr>dms_Reset_Span</vt:lpstr>
      <vt:lpstr>dms_RPT</vt:lpstr>
      <vt:lpstr>dms_RPT_List</vt:lpstr>
      <vt:lpstr>dms_RPTMonth</vt:lpstr>
      <vt:lpstr>dms_RPTMonth_List</vt:lpstr>
      <vt:lpstr>dms_RYE</vt:lpstr>
      <vt:lpstr>dms_RYE_01</vt:lpstr>
      <vt:lpstr>dms_RYE_02</vt:lpstr>
      <vt:lpstr>dms_RYE_03</vt:lpstr>
      <vt:lpstr>dms_RYE_04</vt:lpstr>
      <vt:lpstr>dms_RYE_05</vt:lpstr>
      <vt:lpstr>dms_RYE_06</vt:lpstr>
      <vt:lpstr>dms_RYE_07</vt:lpstr>
      <vt:lpstr>dms_RYE_08</vt:lpstr>
      <vt:lpstr>dms_RYE_09</vt:lpstr>
      <vt:lpstr>dms_RYE_result</vt:lpstr>
      <vt:lpstr>dms_RYE_start_row</vt:lpstr>
      <vt:lpstr>dms_S140101_UOM</vt:lpstr>
      <vt:lpstr>dms_Sector</vt:lpstr>
      <vt:lpstr>dms_Sector_List</vt:lpstr>
      <vt:lpstr>dms_Segment</vt:lpstr>
      <vt:lpstr>dms_Segment_List</vt:lpstr>
      <vt:lpstr>dms_Selected_Quality</vt:lpstr>
      <vt:lpstr>dms_Selected_Source</vt:lpstr>
      <vt:lpstr>dms_Selected_Status</vt:lpstr>
      <vt:lpstr>dms_ShortRural_flag</vt:lpstr>
      <vt:lpstr>dms_ShortRural_flag_NSP</vt:lpstr>
      <vt:lpstr>dms_SingleYear_FinalYear_Result</vt:lpstr>
      <vt:lpstr>dms_SingleYear_Model</vt:lpstr>
      <vt:lpstr>dms_SingleYearModel</vt:lpstr>
      <vt:lpstr>dms_Source</vt:lpstr>
      <vt:lpstr>dms_SourceList</vt:lpstr>
      <vt:lpstr>dms_Specified_FinalYear</vt:lpstr>
      <vt:lpstr>dms_Specified_RYE</vt:lpstr>
      <vt:lpstr>dms_SpecifiedYear_final_year</vt:lpstr>
      <vt:lpstr>dms_SpecifiedYear_Span</vt:lpstr>
      <vt:lpstr>dms_start_year</vt:lpstr>
      <vt:lpstr>dms_State</vt:lpstr>
      <vt:lpstr>dms_State_List</vt:lpstr>
      <vt:lpstr>dms_STPIS_Exclusion_List</vt:lpstr>
      <vt:lpstr>dms_SubmissionDate</vt:lpstr>
      <vt:lpstr>dms_Suburb</vt:lpstr>
      <vt:lpstr>dms_Suburb_List</vt:lpstr>
      <vt:lpstr>dms_TemplateNumber</vt:lpstr>
      <vt:lpstr>dms_TNSP_0203_ProjectTrigger</vt:lpstr>
      <vt:lpstr>dms_TNSP_0203_SubstationType</vt:lpstr>
      <vt:lpstr>dms_TNSP_020301_ProjectTrigger</vt:lpstr>
      <vt:lpstr>dms_TNSP_020301_ProjectType</vt:lpstr>
      <vt:lpstr>dms_TNSP_020302_ProjectType</vt:lpstr>
      <vt:lpstr>dms_Today</vt:lpstr>
      <vt:lpstr>dms_TradingName</vt:lpstr>
      <vt:lpstr>dms_TradingName_List</vt:lpstr>
      <vt:lpstr>dms_TradingNameFull</vt:lpstr>
      <vt:lpstr>dms_TradingNameFull_List</vt:lpstr>
      <vt:lpstr>dms_Typed_Submission_Date</vt:lpstr>
      <vt:lpstr>dms_Urban_flag</vt:lpstr>
      <vt:lpstr>dms_Urban_flag_NSP</vt:lpstr>
      <vt:lpstr>dms_Worksheet_List</vt:lpstr>
      <vt:lpstr>DMS_Xfactor</vt:lpstr>
      <vt:lpstr>dms_y1</vt:lpstr>
      <vt:lpstr>dms_y10</vt:lpstr>
      <vt:lpstr>dms_y11</vt:lpstr>
      <vt:lpstr>dms_y12</vt:lpstr>
      <vt:lpstr>dms_y13</vt:lpstr>
      <vt:lpstr>dms_y14</vt:lpstr>
      <vt:lpstr>dms_y15</vt:lpstr>
      <vt:lpstr>dms_y16</vt:lpstr>
      <vt:lpstr>dms_y2</vt:lpstr>
      <vt:lpstr>dms_y3</vt:lpstr>
      <vt:lpstr>dms_y4</vt:lpstr>
      <vt:lpstr>dms_y5</vt:lpstr>
      <vt:lpstr>dms_y6</vt:lpstr>
      <vt:lpstr>dms_y7</vt:lpstr>
      <vt:lpstr>dms_y8</vt:lpstr>
      <vt:lpstr>dms_y9</vt:lpstr>
      <vt:lpstr>EB</vt:lpstr>
      <vt:lpstr>EB_Fmt2</vt:lpstr>
      <vt:lpstr>Financial</vt:lpstr>
      <vt:lpstr>FRCP_final_year</vt:lpstr>
      <vt:lpstr>FRCP_start_year</vt:lpstr>
      <vt:lpstr>FRCP_y1</vt:lpstr>
      <vt:lpstr>FRCP_y10</vt:lpstr>
      <vt:lpstr>FRCP_y11</vt:lpstr>
      <vt:lpstr>FRCP_y12</vt:lpstr>
      <vt:lpstr>FRCP_y13</vt:lpstr>
      <vt:lpstr>FRCP_y14</vt:lpstr>
      <vt:lpstr>FRCP_y15</vt:lpstr>
      <vt:lpstr>FRCP_y16</vt:lpstr>
      <vt:lpstr>FRCP_y2</vt:lpstr>
      <vt:lpstr>FRCP_y3</vt:lpstr>
      <vt:lpstr>FRCP_y4</vt:lpstr>
      <vt:lpstr>FRCP_y5</vt:lpstr>
      <vt:lpstr>FRCP_y6</vt:lpstr>
      <vt:lpstr>FRCP_y7</vt:lpstr>
      <vt:lpstr>FRCP_y8</vt:lpstr>
      <vt:lpstr>FRCP_y9</vt:lpstr>
      <vt:lpstr>FRY</vt:lpstr>
      <vt:lpstr>PRCP_final_year</vt:lpstr>
      <vt:lpstr>PRCP_start_year</vt:lpstr>
      <vt:lpstr>PRCP_y1</vt:lpstr>
      <vt:lpstr>PRCP_y10</vt:lpstr>
      <vt:lpstr>PRCP_y11</vt:lpstr>
      <vt:lpstr>PRCP_y12</vt:lpstr>
      <vt:lpstr>PRCP_y13</vt:lpstr>
      <vt:lpstr>PRCP_y14</vt:lpstr>
      <vt:lpstr>PRCP_y15</vt:lpstr>
      <vt:lpstr>PRCP_y16</vt:lpstr>
      <vt:lpstr>PRCP_y2</vt:lpstr>
      <vt:lpstr>PRCP_y3</vt:lpstr>
      <vt:lpstr>PRCP_y4</vt:lpstr>
      <vt:lpstr>PRCP_y5</vt:lpstr>
      <vt:lpstr>PRCP_y6</vt:lpstr>
      <vt:lpstr>PRCP_y7</vt:lpstr>
      <vt:lpstr>PRCP_y8</vt:lpstr>
      <vt:lpstr>PRCP_y9</vt:lpstr>
      <vt:lpstr>Pricing</vt:lpstr>
      <vt:lpstr>Pricing_Fmt2</vt:lpstr>
      <vt:lpstr>PTRM</vt:lpstr>
      <vt:lpstr>PTRM_Fmt2</vt:lpstr>
      <vt:lpstr>Reset</vt:lpstr>
      <vt:lpstr>Reset_Fmt2</vt:lpstr>
      <vt:lpstr>RFM</vt:lpstr>
      <vt:lpstr>RFM_Fmt2</vt:lpstr>
      <vt:lpstr>WACC</vt:lpstr>
      <vt:lpstr>WACC_Fmt2</vt:lpstr>
    </vt:vector>
  </TitlesOfParts>
  <Manager/>
  <Company>AER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AER</dc:creator>
  <cp:keywords>DNSP; Reset; Gas; BI; 2027-31</cp:keywords>
  <dc:description>based on JGN (NSW) 2026-30 final RIN -- for AGN (SA) &amp; Evoenergy</dc:description>
  <cp:lastModifiedBy>Lisa Minervini</cp:lastModifiedBy>
  <cp:revision/>
  <dcterms:created xsi:type="dcterms:W3CDTF">2018-07-30T20:37:39Z</dcterms:created>
  <dcterms:modified xsi:type="dcterms:W3CDTF">2025-07-01T02:53:34Z</dcterms:modified>
  <cp:category>DNSP; Reset; Gas; BI; 2027-31</cp:category>
  <cp:contentStatus>Preliminary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2024-07-31T23:29:20Z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fbe62cf4-de90-4100-997e-3ffbfa6c2816</vt:lpwstr>
  </property>
  <property fmtid="{D5CDD505-2E9C-101B-9397-08002B2CF9AE}" pid="8" name="MSIP_Label_d9d5a995-dfdf-4407-9a97-edbbc68c9f53_ContentBits">
    <vt:lpwstr>0</vt:lpwstr>
  </property>
  <property fmtid="{D5CDD505-2E9C-101B-9397-08002B2CF9AE}" pid="9" name="ContentTypeId">
    <vt:lpwstr>0x010100A3F048054ACABA4B902070EE511E2BD4</vt:lpwstr>
  </property>
  <property fmtid="{D5CDD505-2E9C-101B-9397-08002B2CF9AE}" pid="10" name="MediaServiceImageTags">
    <vt:lpwstr/>
  </property>
</Properties>
</file>