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R:\Will Chivell\SA AA 26\Final Plan\Post Final Plan Document Updates\"/>
    </mc:Choice>
  </mc:AlternateContent>
  <xr:revisionPtr revIDLastSave="0" documentId="8_{8D6B1A5D-EA14-4FCB-83D1-A32C724120BF}" xr6:coauthVersionLast="47" xr6:coauthVersionMax="47" xr10:uidLastSave="{00000000-0000-0000-0000-000000000000}"/>
  <bookViews>
    <workbookView xWindow="-120" yWindow="-120" windowWidth="29040" windowHeight="17640" tabRatio="742" firstSheet="16" activeTab="23" xr2:uid="{00000000-000D-0000-FFFF-FFFF00000000}"/>
  </bookViews>
  <sheets>
    <sheet name="Instructions" sheetId="57" r:id="rId1"/>
    <sheet name="CONTENTS" sheetId="38" r:id="rId2"/>
    <sheet name="Business &amp; other details" sheetId="56" r:id="rId3"/>
    <sheet name="E1. Expenditure Summary" sheetId="15" r:id="rId4"/>
    <sheet name="E2. Mains Repex" sheetId="17" r:id="rId5"/>
    <sheet name="E3. Mains Augex" sheetId="16" r:id="rId6"/>
    <sheet name="E4. Meter replacement" sheetId="18" r:id="rId7"/>
    <sheet name="E5. Connections (gas)" sheetId="19" r:id="rId8"/>
    <sheet name="E6. Telemetry" sheetId="21" r:id="rId9"/>
    <sheet name="E10. Overheads" sheetId="23" r:id="rId10"/>
    <sheet name="E12. ICT" sheetId="28" r:id="rId11"/>
    <sheet name="E13. Other capex" sheetId="29" r:id="rId12"/>
    <sheet name="E17. Step changes" sheetId="37" r:id="rId13"/>
    <sheet name="E20. Opex" sheetId="30" r:id="rId14"/>
    <sheet name="E21. ARS" sheetId="31" r:id="rId15"/>
    <sheet name="E25. Escalators" sheetId="22" r:id="rId16"/>
    <sheet name="N1. Demand" sheetId="24" r:id="rId17"/>
    <sheet name="N2. Network characteristics" sheetId="25" r:id="rId18"/>
    <sheet name="S1. Cust. no.-by type" sheetId="42" r:id="rId19"/>
    <sheet name="S1.2 Cust. no.-by tariff" sheetId="26" r:id="rId20"/>
    <sheet name="S10. Supply Quality" sheetId="49" r:id="rId21"/>
    <sheet name="S11. Network reliability" sheetId="34" r:id="rId22"/>
    <sheet name="F3. Revenue" sheetId="40" r:id="rId23"/>
    <sheet name="Additional disclosures" sheetId="50" r:id="rId24"/>
    <sheet name="AER CF" sheetId="52" state="veryHidden" r:id="rId25"/>
    <sheet name="AER NRs" sheetId="53" state="veryHidden" r:id="rId26"/>
    <sheet name="AER lookups" sheetId="55" state="veryHidden" r:id="rId27"/>
    <sheet name="AER ETL" sheetId="54" state="veryHidden" r:id="rId28"/>
  </sheets>
  <definedNames>
    <definedName name="ARR">'AER lookups'!$C$36</definedName>
    <definedName name="ARR_Fmt2">'AER lookups'!$D$36</definedName>
    <definedName name="CA">'AER lookups'!$C$37</definedName>
    <definedName name="CA_Fmt2">'AER lookups'!$D$37</definedName>
    <definedName name="Calendar">'AER lookups'!$C$52:$C$121</definedName>
    <definedName name="CESS">'AER lookups'!$C$38</definedName>
    <definedName name="CESS_Fmt2">'AER lookups'!$D$38</definedName>
    <definedName name="CPI">'AER lookups'!$C$39</definedName>
    <definedName name="CPI_Fmt2">'AER lookups'!$D$39</definedName>
    <definedName name="CRCP_final_year">'AER ETL'!$C$48</definedName>
    <definedName name="CRCP_start_year">'AER ETL'!$C$45</definedName>
    <definedName name="CRCP_y1">'AER lookups'!$G$52</definedName>
    <definedName name="CRCP_y10">'AER lookups'!$G$61</definedName>
    <definedName name="CRCP_y11">'AER lookups'!$G$62</definedName>
    <definedName name="CRCP_y12">'AER lookups'!$G$63</definedName>
    <definedName name="CRCP_y13">'AER lookups'!$G$64</definedName>
    <definedName name="CRCP_y14">'AER lookups'!$G$65</definedName>
    <definedName name="CRCP_y15">'AER lookups'!$G$66</definedName>
    <definedName name="CRCP_y16">'AER lookups'!$G$67</definedName>
    <definedName name="CRCP_y2">'AER lookups'!$G$53</definedName>
    <definedName name="CRCP_y3">'AER lookups'!$G$54</definedName>
    <definedName name="CRCP_y4">'AER lookups'!$G$55</definedName>
    <definedName name="CRCP_y5">'AER lookups'!$G$56</definedName>
    <definedName name="CRCP_y6">'AER lookups'!$G$57</definedName>
    <definedName name="CRCP_y7">'AER lookups'!$G$58</definedName>
    <definedName name="CRCP_y8">'AER lookups'!$G$59</definedName>
    <definedName name="CRCP_y9">'AER lookups'!$G$60</definedName>
    <definedName name="dms_020303_01_UOM">'AER NRs'!$C$86:$C$92</definedName>
    <definedName name="dms_020501_01_UOM">'AER NRs'!$D$86:$D$98</definedName>
    <definedName name="dms_020501_02_UOM">'AER NRs'!$E$86:$E$94</definedName>
    <definedName name="dms_020501_03_UOM">'AER NRs'!$F$86:$F$95</definedName>
    <definedName name="dms_020501_04_UOM">'AER NRs'!$G$86:$G$94</definedName>
    <definedName name="dms_020603_01_UOM">'AER NRs'!$C$112:$C$116</definedName>
    <definedName name="dms_020701_01_Rows">'AER NRs'!$J$86:$J$91</definedName>
    <definedName name="dms_020701_01_UOM">'AER NRs'!$H$86:$H$91</definedName>
    <definedName name="dms_020701_02_UOM">'AER NRs'!$I$86:$I$91</definedName>
    <definedName name="dms_0306_Year">'AER ETL'!$C$87</definedName>
    <definedName name="dms_030601_01_UOM">'AER NRs'!$C$120:$C$123</definedName>
    <definedName name="dms_030601_02_UOM">'AER NRs'!$D$120:$D$123</definedName>
    <definedName name="dms_030605_UOM">'AER NRs'!$C$162:$C$175</definedName>
    <definedName name="dms_03060703_UOM">'AER NRs'!$D$162:$D$166</definedName>
    <definedName name="dms_030701_01_UOM">'AER NRs'!$E$120:$E$122</definedName>
    <definedName name="dms_030702_01_UOM">'AER NRs'!$F$120:$F$133</definedName>
    <definedName name="dms_030703_01_UOM">'AER NRs'!$G$120</definedName>
    <definedName name="dms_040102_01_UOM">'AER NRs'!$K$86:$K$89</definedName>
    <definedName name="dms_040102_04_UOM">'AER NRs'!$L$86:$L$89</definedName>
    <definedName name="dms_0502_Inst_Year">'AER ETL'!$C$66</definedName>
    <definedName name="dms_060101_Rows">'AER NRs'!$C$197</definedName>
    <definedName name="dms_060101_StartDateTxt">'AER NRs'!$E$197</definedName>
    <definedName name="dms_060101_StartDateVal">'AER ETL'!$C$108</definedName>
    <definedName name="dms_060102_Rows">'AER NRs'!$D$197</definedName>
    <definedName name="dms_0603_FeederList">'AER NRs'!$D$214:$H$214</definedName>
    <definedName name="dms_060301_Avg_Duration_Sustained_Int_Row">'AER NRs'!$D$193</definedName>
    <definedName name="dms_060301_checkvalue">'AER ETL'!$C$91</definedName>
    <definedName name="dms_060301_CustNo_Affected_Row">'AER NRs'!$C$193</definedName>
    <definedName name="dms_060301_Effect_unplanned_SAIDI_Row">'AER NRs'!$E$193</definedName>
    <definedName name="dms_060301_Effect_unplanned_SAIFI_Row">'AER NRs'!$F$193</definedName>
    <definedName name="dms_060301_LastRow">'AER ETL'!$C$93</definedName>
    <definedName name="dms_060301_MaxRows">'AER ETL'!$C$94</definedName>
    <definedName name="dms_060701_ARR_MaxRows">'AER ETL'!$C$101</definedName>
    <definedName name="dms_060701_Feeder_Header_Lvl4">'AER NRs'!$D$209:$O$209</definedName>
    <definedName name="dms_060701_MaxCols">'AER ETL'!$C$104</definedName>
    <definedName name="dms_060701_MaxRows">'AER ETL'!$C$102</definedName>
    <definedName name="dms_060701_OffsetRows">'AER ETL'!$C$105</definedName>
    <definedName name="dms_060701_Reset_MaxRows">'AER ETL'!$C$100</definedName>
    <definedName name="dms_060701_Rows">'AER NRs'!$D$211:$O$211</definedName>
    <definedName name="dms_060701_StartDateTxt">'AER ETL'!$C$107</definedName>
    <definedName name="dms_060701_StartDateVal">'AER ETL'!$C$108</definedName>
    <definedName name="dms_0608_LastRow">'AER ETL'!$C$113</definedName>
    <definedName name="dms_0608_OffsetRows">'AER ETL'!$C$112</definedName>
    <definedName name="dms_060801_01_Rows">'AER NRs'!$C$201</definedName>
    <definedName name="dms_060801_02_Rows">'AER NRs'!$D$201</definedName>
    <definedName name="dms_060801_03_Rows">'AER NRs'!$E$201</definedName>
    <definedName name="dms_060801_04_Rows">'AER NRs'!$F$201</definedName>
    <definedName name="dms_060801_MaxRows">'AER ETL'!$C$114</definedName>
    <definedName name="dms_070904_01_Rows">'AER NRs'!$D$204:$E$204</definedName>
    <definedName name="dms_070904_Start_Year">'AER ETL'!$C$117</definedName>
    <definedName name="dms_663">'AER ETL'!$C$95</definedName>
    <definedName name="dms_663_List">'AER lookups'!$O$16:$O$29</definedName>
    <definedName name="dms_ABN">'Business &amp; other details'!$AL$17</definedName>
    <definedName name="dms_ABN_List">'AER lookups'!$D$16:$D$29</definedName>
    <definedName name="dms_Addr1">'Business &amp; other details'!$AL$22</definedName>
    <definedName name="dms_Addr1_List">'AER lookups'!$Q$16:$Q$29</definedName>
    <definedName name="dms_Addr2">'Business &amp; other details'!$AL$23</definedName>
    <definedName name="dms_Addr2_List">'AER lookups'!$R$16:$R$29</definedName>
    <definedName name="dms_Amendment_Text">'Business &amp; other details'!$AL$71</definedName>
    <definedName name="dms_AmendmentReason">'AER ETL'!$C$16</definedName>
    <definedName name="dms_ARR">'AER ETL'!$C$75</definedName>
    <definedName name="dms_BaseStepTrend">'E20. Opex'!$D$9</definedName>
    <definedName name="dms_BaseYear_Choice">'E20. Opex'!$D$11</definedName>
    <definedName name="dms_BaseYear_List">'E20. Opex'!$D$17:$F$17</definedName>
    <definedName name="dms_BaseYear_List_CY">'E20. Opex'!$D$6:$G$6</definedName>
    <definedName name="dms_Beg">'AER NRs'!$C$178</definedName>
    <definedName name="dms_CA">'AER ETL'!$C$74</definedName>
    <definedName name="dms_Cal_Year_B4_CRY">'AER ETL'!$C$30</definedName>
    <definedName name="dms_CBD_flag">'AER lookups'!$AA$16:$AA$29</definedName>
    <definedName name="dms_CBD_flag_NSP">'AER ETL'!$C$122</definedName>
    <definedName name="dms_CF_3.6.1">'AER CF'!$F$7:$F$9</definedName>
    <definedName name="dms_CF_3.6.5">'AER CF'!$G$7:$G$9</definedName>
    <definedName name="dms_CF_3.6.6.1">'AER CF'!$H$7:$H$9</definedName>
    <definedName name="dms_CF_3.6.6.2">'AER CF'!$I$7:$I$9</definedName>
    <definedName name="dms_CF_3.6.6.3">'AER CF'!$J$7:$J$9</definedName>
    <definedName name="dms_CF_3.6.7.1">'AER CF'!$K$7:$K$9</definedName>
    <definedName name="dms_CF_3.6.7.2">'AER CF'!$L$7:$L$9</definedName>
    <definedName name="dms_CF_3.6.7.3">'AER CF'!$M$7:$M$9</definedName>
    <definedName name="dms_CF_3.6.7.4">'AER CF'!$N$7:$N$9</definedName>
    <definedName name="dms_CF_3.6.8">'AER CF'!$O$7:$O$9</definedName>
    <definedName name="dms_CF_4.1">'AER CF'!$P$7:$P$9</definedName>
    <definedName name="dms_CF_4.4.1">'AER CF'!$V$7:$V$9</definedName>
    <definedName name="dms_CF_6.8">'AER CF'!$Q$7:$Q$9</definedName>
    <definedName name="dms_CF_7.12">'AER CF'!$R$7:$R$9</definedName>
    <definedName name="dms_CF_8.1_A">'AER CF'!$S$7:$S$9</definedName>
    <definedName name="dms_CF_8.1_B">'AER CF'!$T$7:$T$9</definedName>
    <definedName name="dms_CF_8.1_Neg">'AER CF'!$U$7:$U$9</definedName>
    <definedName name="dms_CF_F10">'AER CF'!$Y$7:$Y$9</definedName>
    <definedName name="dms_CF_TradingName">'AER CF'!$B$7:$B$9</definedName>
    <definedName name="dms_Classification">'AER ETL'!$C$26</definedName>
    <definedName name="dms_Confid_status_List">'AER NRs'!$D$6:$D$8</definedName>
    <definedName name="dms_ContactEmail">'Business &amp; other details'!$AL$33</definedName>
    <definedName name="dms_ContactEmail2">'Business &amp; other details'!$BQ$33</definedName>
    <definedName name="dms_ContactName1">'Business &amp; other details'!$AL$31</definedName>
    <definedName name="dms_ContactName2">'Business &amp; other details'!$BQ$31</definedName>
    <definedName name="dms_ContactPh1">'Business &amp; other details'!$AL$32</definedName>
    <definedName name="dms_ContactPh2">'Business &amp; other details'!$BQ$32</definedName>
    <definedName name="dms_CRCP_FinalYear_Result">'AER ETL'!$C$48</definedName>
    <definedName name="dms_CRCP_start_row">'AER ETL'!$C$41</definedName>
    <definedName name="dms_CRCPlength_List">'AER lookups'!$L$16:$L$29</definedName>
    <definedName name="dms_CRCPlength_Num">'AER ETL'!$C$70</definedName>
    <definedName name="dms_CRY_RYE">'AER ETL'!$C$54</definedName>
    <definedName name="dms_CRY_start_row">'AER ETL'!$C$39</definedName>
    <definedName name="dms_CRY_start_year">'AER ETL'!$C$38</definedName>
    <definedName name="dms_DataQuality">'AER ETL'!$C$20</definedName>
    <definedName name="dms_DataQuality_List">'AER NRs'!$C$6:$C$9</definedName>
    <definedName name="dms_Defined_Names_Used">'AER ETL'!$C$3</definedName>
    <definedName name="dms_DeterminationRef">'AER ETL'!$C$120</definedName>
    <definedName name="dms_DeterminationRef_List">'AER lookups'!$P$16:$P$29</definedName>
    <definedName name="dms_DISCARD">'AER ETL'!$C$129</definedName>
    <definedName name="dms_DNSP_020301_ProjectTrigger">'AER NRs'!$E$34:$E$40</definedName>
    <definedName name="dms_DNSP_020301_ProjectType">'AER NRs'!$D$34:$D$37</definedName>
    <definedName name="dms_DNSP_020301_SubstationType">'AER NRs'!$C$34:$C$37</definedName>
    <definedName name="dms_DNSP_020302_ProjectTrigger">'AER NRs'!$G$34:$G$41</definedName>
    <definedName name="dms_DNSP_020302_ProjectType">'AER NRs'!$F$34:$F$46</definedName>
    <definedName name="dms_dollar_nom_UOM">'AER ETL'!$C$25</definedName>
    <definedName name="dms_DollarReal">'AER ETL'!$C$32</definedName>
    <definedName name="dms_DollarReal_Prev">'AER ETL'!$C$33</definedName>
    <definedName name="dms_DollarReal_year">'AER ETL'!$C$52</definedName>
    <definedName name="dms_DQ_1">'AER ETL'!$C$14</definedName>
    <definedName name="dms_DQ_2">'AER ETL'!$C$15</definedName>
    <definedName name="dms_E010101_CC_Rows">'E1. Expenditure Summary'!$B$22</definedName>
    <definedName name="dms_E010101_CC_Values">'E1. Expenditure Summary'!$C$22:$I$22</definedName>
    <definedName name="dms_E010101_Rows">'E1. Expenditure Summary'!$B$13:$B$21</definedName>
    <definedName name="dms_E010101_Values">'E1. Expenditure Summary'!$C$13:$I$21</definedName>
    <definedName name="dms_E010102_CC_Rows">'E1. Expenditure Summary'!$C$51:$I$51</definedName>
    <definedName name="dms_E010102_CC_Values">'E1. Expenditure Summary'!$C$51:$I$51</definedName>
    <definedName name="dms_E010102_Rows">'E1. Expenditure Summary'!$B$26:$B$50</definedName>
    <definedName name="dms_E010102_Values">'E1. Expenditure Summary'!$C$26:$I$50</definedName>
    <definedName name="dms_E010201_Rows">'E1. Expenditure Summary'!$B$60:$B$67</definedName>
    <definedName name="dms_E010201_Values">'E1. Expenditure Summary'!$C$60:$I$67</definedName>
    <definedName name="dms_E010202_Rows">'E1. Expenditure Summary'!$B$71:$B$95</definedName>
    <definedName name="dms_E010202_Values">'E1. Expenditure Summary'!$C$71:$I$95</definedName>
    <definedName name="dms_E010301_Rows">'E1. Expenditure Summary'!$B$104:$B$112</definedName>
    <definedName name="dms_E010301_Values">'E1. Expenditure Summary'!$C$104:$I$112</definedName>
    <definedName name="dms_E010302_Rows">'E1. Expenditure Summary'!$B$119:$B$142</definedName>
    <definedName name="dms_E010302_Values">'E1. Expenditure Summary'!$C$119:$I$142</definedName>
    <definedName name="dms_E010401_CC_Rows">'E1. Expenditure Summary'!$B$158</definedName>
    <definedName name="dms_E010401_CC_Values">'E1. Expenditure Summary'!$C$158:$I$158</definedName>
    <definedName name="dms_E010401_Rows">'E1. Expenditure Summary'!$B$151:$B$157</definedName>
    <definedName name="dms_E010401_Values">'E1. Expenditure Summary'!$C$151:$I$157</definedName>
    <definedName name="dms_E010402_CC_Rows">'E1. Expenditure Summary'!$B$188</definedName>
    <definedName name="dms_E010402_CC_Values">'E1. Expenditure Summary'!$C$188:$I$188</definedName>
    <definedName name="dms_E010402_Rows">'E1. Expenditure Summary'!$B$166:$B$187</definedName>
    <definedName name="dms_E010402_Values">'E1. Expenditure Summary'!$C$166:$I$187</definedName>
    <definedName name="dms_E0201_ProjectNames">'E2. Mains Repex'!$B$67:$B$117</definedName>
    <definedName name="dms_E020101_A_Values">'E2. Mains Repex'!$D$67:$J$117</definedName>
    <definedName name="dms_E020101_B_Values">'E2. Mains Repex'!$D$124:$J$174</definedName>
    <definedName name="dms_E020101_C_Values">'E2. Mains Repex'!$D$181:$J$231</definedName>
    <definedName name="dms_E020101_D_Values">'E2. Mains Repex'!$D$238:$J$288</definedName>
    <definedName name="dms_E020101_E2_Rows">'E2. Mains Repex'!$B$295:$B$295</definedName>
    <definedName name="dms_E020101_E2_Values">'E2. Mains Repex'!$D$295:$J$295</definedName>
    <definedName name="dms_E020101_F_Values">'E2. Mains Repex'!$D$302:$J$352</definedName>
    <definedName name="dms_E020102_A_Values">'E2. Mains Repex'!$D$362:$J$363</definedName>
    <definedName name="dms_E020102_B_Values">'E2. Mains Repex'!$D$366:$J$367</definedName>
    <definedName name="dms_E020102_C_Values">'E2. Mains Repex'!$D$370:$J$371</definedName>
    <definedName name="dms_E020102_D_Values">'E2. Mains Repex'!$D$374:$J$375</definedName>
    <definedName name="dms_E020102_E_Values">'E2. Mains Repex'!$D$378:$J$379</definedName>
    <definedName name="dms_E020102_F_Values">'E2. Mains Repex'!$D$382:$J$383</definedName>
    <definedName name="dms_E020102_Rows">'E2. Mains Repex'!$B$362:$B$363</definedName>
    <definedName name="dms_E020201_A_Values">'E2. Mains Repex'!$D$395:$J$445</definedName>
    <definedName name="dms_E020201_B_Values">'E2. Mains Repex'!$D$449:$J$499</definedName>
    <definedName name="dms_E020201_C_Values">'E2. Mains Repex'!$D$503:$J$553</definedName>
    <definedName name="dms_E020201_D_Values">'E2. Mains Repex'!$D$557:$J$607</definedName>
    <definedName name="dms_E020201_E_Values">'E2. Mains Repex'!$D$611:$J$661</definedName>
    <definedName name="dms_E020201_F_Values">'E2. Mains Repex'!$D$665:$J$715</definedName>
    <definedName name="dms_E020202_A_Values">'E2. Mains Repex'!$D$724:$J$725</definedName>
    <definedName name="dms_E020202_B_Values">'E2. Mains Repex'!$D$728:$J$729</definedName>
    <definedName name="dms_E020202_C_Values">'E2. Mains Repex'!$D$732:$J$733</definedName>
    <definedName name="dms_E020202_D_Values">'E2. Mains Repex'!$D$736:$J$737</definedName>
    <definedName name="dms_E020202_E_Values">'E2. Mains Repex'!$D$740:$J$741</definedName>
    <definedName name="dms_E020202_F_Values">'E2. Mains Repex'!$D$744:$J$745</definedName>
    <definedName name="dms_E020202_Rows">'E2. Mains Repex'!$B$724:$B$725</definedName>
    <definedName name="dms_E020202_UOM">'AER NRs'!$E$162:$E$163</definedName>
    <definedName name="dms_E0301_ProjectNames">'E3. Mains Augex'!$B$66:$B$116</definedName>
    <definedName name="dms_E030101_A_Values">'E3. Mains Augex'!$C$66:$I$116</definedName>
    <definedName name="dms_E030101_B_Values">'E3. Mains Augex'!$C$123:$I$173</definedName>
    <definedName name="dms_E030101_C_Values">'E3. Mains Augex'!$C$180:$I$230</definedName>
    <definedName name="dms_E030101_D_Values">'E3. Mains Augex'!$C$237:$I$287</definedName>
    <definedName name="dms_E030101_E2_Rows">'E3. Mains Augex'!$B$294:$B$294</definedName>
    <definedName name="dms_E030101_E2_Values">'E3. Mains Augex'!$C$294:$I$294</definedName>
    <definedName name="dms_E030101_F_Values">'E3. Mains Augex'!$C$301:$I$351</definedName>
    <definedName name="dms_E030201_A_Values">'E3. Mains Augex'!$C$361:$I$411</definedName>
    <definedName name="dms_E030201_B_Values">'E3. Mains Augex'!$C$418:$I$468</definedName>
    <definedName name="dms_E030201_C_Values">'E3. Mains Augex'!$C$475:$I$525</definedName>
    <definedName name="dms_E030201_D_Values">'E3. Mains Augex'!$C$532:$I$582</definedName>
    <definedName name="dms_E030201_E_Values">'E3. Mains Augex'!$C$589:$I$639</definedName>
    <definedName name="dms_E030201_F_Values">'E3. Mains Augex'!$C$646:$I$696</definedName>
    <definedName name="dms_E04_Rows">'E4. Meter replacement'!$B$13:$B$15</definedName>
    <definedName name="dms_E040101_A_Values">'E4. Meter replacement'!$C$13:$I$15</definedName>
    <definedName name="dms_E040101_B_Values">'E4. Meter replacement'!$C$18:$I$20</definedName>
    <definedName name="dms_E040101_C_Values">'E4. Meter replacement'!$C$23:$I$25</definedName>
    <definedName name="dms_E040101_D_Values">'E4. Meter replacement'!$C$28:$I$30</definedName>
    <definedName name="dms_E040101_E_Values">'E4. Meter replacement'!$C$33:$I$35</definedName>
    <definedName name="dms_E040101_F_Values">'E4. Meter replacement'!$C$38:$I$40</definedName>
    <definedName name="dms_E040102_A_Values">'E4. Meter replacement'!$C$49:$I$51</definedName>
    <definedName name="dms_E040102_B_Values">'E4. Meter replacement'!$C$54:$I$56</definedName>
    <definedName name="dms_E040102_C_Values">'E4. Meter replacement'!$C$59:$I$61</definedName>
    <definedName name="dms_E040102_D_Values">'E4. Meter replacement'!$C$64:$I$66</definedName>
    <definedName name="dms_E040102_E_Values">'E4. Meter replacement'!$C$69:$I$71</definedName>
    <definedName name="dms_E040102_F_Values">'E4. Meter replacement'!$C$74:$I$76</definedName>
    <definedName name="dms_E040103_A_Values">'E4. Meter replacement'!$C$85:$I$87</definedName>
    <definedName name="dms_E040103_B_Values">'E4. Meter replacement'!$C$90:$I$92</definedName>
    <definedName name="dms_E040103_C_Values">'E4. Meter replacement'!$C$95:$I$97</definedName>
    <definedName name="dms_E040103_D_Values">'E4. Meter replacement'!$C$100:$I$102</definedName>
    <definedName name="dms_E040103_E_Values">'E4. Meter replacement'!$C$105:$I$107</definedName>
    <definedName name="dms_E040103_F_Values">'E4. Meter replacement'!$C$110:$I$112</definedName>
    <definedName name="dms_E040104_A_Values">'E4. Meter replacement'!$C$121:$I$123</definedName>
    <definedName name="dms_E040104_B_Values">'E4. Meter replacement'!$C$126:$I$128</definedName>
    <definedName name="dms_E040104_C_Values">'E4. Meter replacement'!$C$131:$I$133</definedName>
    <definedName name="dms_E040104_D_Values">'E4. Meter replacement'!$C$136:$I$138</definedName>
    <definedName name="dms_E040104_E_Values">'E4. Meter replacement'!$C$141:$I$143</definedName>
    <definedName name="dms_E040104_F_Values">'E4. Meter replacement'!$C$146:$I$148</definedName>
    <definedName name="dms_E040201_Values">'E4. Meter replacement'!$C$158:$I$160</definedName>
    <definedName name="dms_E040202_A_Values">'E4. Meter replacement'!$C$169:$I$171</definedName>
    <definedName name="dms_E040202_B_Values">'E4. Meter replacement'!$C$174:$I$176</definedName>
    <definedName name="dms_E040203_Values">'E4. Meter replacement'!$C$185:$I$187</definedName>
    <definedName name="dms_E040204_Values">'E4. Meter replacement'!$C$195:$I$197</definedName>
    <definedName name="dms_E040205_Values">'E4. Meter replacement'!$C$205:$I$207</definedName>
    <definedName name="dms_E05_Rows">'E5. Connections (gas)'!$B$14:$B$16</definedName>
    <definedName name="dms_E050101_A_i_Values">'E5. Connections (gas)'!$D$14:$J$16</definedName>
    <definedName name="dms_E050101_A_ii_Values">'E5. Connections (gas)'!$D$19:$J$21</definedName>
    <definedName name="dms_E050101_A_iii_Values">'E5. Connections (gas)'!$D$24:$J$26</definedName>
    <definedName name="dms_E050101_A_iv_Values">'E5. Connections (gas)'!$D$29:$J$31</definedName>
    <definedName name="dms_E050101_A_v_Values">'E5. Connections (gas)'!$D$34:$J$36</definedName>
    <definedName name="dms_E050101_A_vi_Values">'E5. Connections (gas)'!$D$39:$J$41</definedName>
    <definedName name="dms_E050101_B_i_Values">'E5. Connections (gas)'!$D$50:$J$52</definedName>
    <definedName name="dms_E050101_B_ii_Values">'E5. Connections (gas)'!$D$55:$J$57</definedName>
    <definedName name="dms_E050101_B_iii_Values">'E5. Connections (gas)'!$D$60:$J$62</definedName>
    <definedName name="dms_E050101_B_iv_Values">'E5. Connections (gas)'!$D$65:$J$67</definedName>
    <definedName name="dms_E050101_B_v_Values">'E5. Connections (gas)'!$D$70:$J$72</definedName>
    <definedName name="dms_E050101_B_vI_Values">'E5. Connections (gas)'!$D$75:$J$77</definedName>
    <definedName name="dms_E050101_C_i_Values">'E5. Connections (gas)'!$D$86:$J$88</definedName>
    <definedName name="dms_E050101_C_ii_Values">'E5. Connections (gas)'!$D$91:$J$93</definedName>
    <definedName name="dms_E050101_C_iii_Values">'E5. Connections (gas)'!$D$96:$J$98</definedName>
    <definedName name="dms_E050101_C_iv_Values">'E5. Connections (gas)'!$D$101:$J$103</definedName>
    <definedName name="dms_E050101_C_v_Values">'E5. Connections (gas)'!$D$106:$J$108</definedName>
    <definedName name="dms_E050101_C_vI_Values">'E5. Connections (gas)'!$D$111:$J$113</definedName>
    <definedName name="dms_E050101_D_i_Values">'E5. Connections (gas)'!$D$122:$J$124</definedName>
    <definedName name="dms_E050101_D_ii_Values">'E5. Connections (gas)'!$D$127:$J$129</definedName>
    <definedName name="dms_E050101_D_iii_Values">'E5. Connections (gas)'!$D$132:$J$134</definedName>
    <definedName name="dms_E050101_D_iv_Values">'E5. Connections (gas)'!$D$137:$J$139</definedName>
    <definedName name="dms_E050101_D_v_Values">'E5. Connections (gas)'!$D$142:$J$144</definedName>
    <definedName name="dms_E050101_D_vI_Values">'E5. Connections (gas)'!$D$147:$J$149</definedName>
    <definedName name="dms_E050101_E_i_Values">'E5. Connections (gas)'!$D$158:$J$160</definedName>
    <definedName name="dms_E050101_E_ii_Values">'E5. Connections (gas)'!$D$163:$J$165</definedName>
    <definedName name="dms_E050101_E_iii_Values">'E5. Connections (gas)'!$D$168:$J$170</definedName>
    <definedName name="dms_E050101_E_iv_Values">'E5. Connections (gas)'!$D$173:$J$175</definedName>
    <definedName name="dms_E050101_E_v_Values">'E5. Connections (gas)'!$D$178:$J$180</definedName>
    <definedName name="dms_E050101_E_vI_Values">'E5. Connections (gas)'!$D$183:$J$185</definedName>
    <definedName name="dms_E050101_F_i_Values">'E5. Connections (gas)'!$D$194:$J$196</definedName>
    <definedName name="dms_E050101_F_ii_Values">'E5. Connections (gas)'!$D$199:$J$201</definedName>
    <definedName name="dms_E050101_F_iii_Values">'E5. Connections (gas)'!$D$204:$J$206</definedName>
    <definedName name="dms_E050101_F_iv_Values">'E5. Connections (gas)'!$D$209:$J$211</definedName>
    <definedName name="dms_E050101_F_v_Values">'E5. Connections (gas)'!$D$214:$J$216</definedName>
    <definedName name="dms_E050101_F_vI_Values">'E5. Connections (gas)'!$D$219:$J$221</definedName>
    <definedName name="dms_E050201_A_Values">'E5. Connections (gas)'!$D$232:$J$234</definedName>
    <definedName name="dms_E050201_B_Values">'E5. Connections (gas)'!$D$236:$J$238</definedName>
    <definedName name="dms_E050201_C_Values">'E5. Connections (gas)'!$D$240:$J$242</definedName>
    <definedName name="dms_E050201_D_Values">'E5. Connections (gas)'!$D$244:$J$246</definedName>
    <definedName name="dms_E050201_E_Values">'E5. Connections (gas)'!$D$248:$J$250</definedName>
    <definedName name="dms_E050201_F_Values">'E5. Connections (gas)'!$D$252:$J$254</definedName>
    <definedName name="dms_E050201_UOM">'AER NRs'!$O$86:$O$88</definedName>
    <definedName name="dms_E050202_UOM">'AER NRs'!$P$86:$P$88</definedName>
    <definedName name="dms_E0503_Rows">'E5. Connections (gas)'!$B$264:$B$269</definedName>
    <definedName name="dms_E050301_Values">'E5. Connections (gas)'!$D$264:$J$269</definedName>
    <definedName name="dms_E050302_A_Values">'E5. Connections (gas)'!$D$277:$J$279</definedName>
    <definedName name="dms_E050302_B_Values">'E5. Connections (gas)'!$D$281:$J$283</definedName>
    <definedName name="dms_E050302_C_Values">'E5. Connections (gas)'!$D$285:$J$287</definedName>
    <definedName name="dms_E050302_D_Values">'E5. Connections (gas)'!$D$289:$J$291</definedName>
    <definedName name="dms_E050302_E_Values">'E5. Connections (gas)'!$D$293:$J$295</definedName>
    <definedName name="dms_E050302_F_Values">'E5. Connections (gas)'!$D$297:$J$299</definedName>
    <definedName name="dms_E0504_Rows">'E5. Connections (gas)'!$B$308:$B$313</definedName>
    <definedName name="dms_E050401_Values">'E5. Connections (gas)'!$D$308:$J$313</definedName>
    <definedName name="dms_E050402_Values">'E5. Connections (gas)'!$D$320:$J$325</definedName>
    <definedName name="dms_E0605_ProjectNames">'E6. Telemetry'!$B$32:$B$47</definedName>
    <definedName name="dms_E060501_A_Values">'E6. Telemetry'!$C$32:$I$47</definedName>
    <definedName name="dms_E060501_B_Values">'E6. Telemetry'!$C$51:$I$66</definedName>
    <definedName name="dms_E060501_C_Values">'E6. Telemetry'!$C$70:$I$85</definedName>
    <definedName name="dms_E060501_D_Values">'E6. Telemetry'!$C$89:$I$104</definedName>
    <definedName name="dms_E060501_E2_Rows">'E6. Telemetry'!$B$108:$B$108</definedName>
    <definedName name="dms_E060501_E2_Values">'E6. Telemetry'!$C$108:$I$108</definedName>
    <definedName name="dms_E060501_F_Values">'E6. Telemetry'!$C$112:$I$127</definedName>
    <definedName name="dms_E060502_01_Rows">'E6. Telemetry'!$B$138:$B$139</definedName>
    <definedName name="dms_E060502_01_Values">'E6. Telemetry'!$C$138:$I$139</definedName>
    <definedName name="dms_E060502_02_Rows">'E6. Telemetry'!$B$142:$B$143</definedName>
    <definedName name="dms_E060502_02_Values">'E6. Telemetry'!$C$142:$I$143</definedName>
    <definedName name="dms_E10_01_Rows">'E10. Overheads'!$B$12</definedName>
    <definedName name="dms_E10_02_Rows">'E10. Overheads'!$B$13</definedName>
    <definedName name="dms_E100101_01_Values">'E10. Overheads'!$C$12:$I$12</definedName>
    <definedName name="dms_E100101_02_Values">'E10. Overheads'!$C$13:$I$13</definedName>
    <definedName name="dms_E100102_01_Values">'E10. Overheads'!$C$16:$I$16</definedName>
    <definedName name="dms_E100102_02_Values">'E10. Overheads'!$C$17:$I$17</definedName>
    <definedName name="dms_E100201_01_Values">'E10. Overheads'!$C$27:$I$27</definedName>
    <definedName name="dms_E100201_02_Values">'E10. Overheads'!$C$28:$I$28</definedName>
    <definedName name="dms_E100202_01_Values">'E10. Overheads'!$C$31:$I$31</definedName>
    <definedName name="dms_E100202_02_Values">'E10. Overheads'!$C$32:$I$32</definedName>
    <definedName name="dms_E12_ProjectNames">'E12. ICT'!$B$29:$B$44</definedName>
    <definedName name="dms_E12_Projects_01">'E12. ICT'!$B$8</definedName>
    <definedName name="dms_E12_Projects_02">'E12. ICT'!$B$9</definedName>
    <definedName name="dms_E12_Projects_03">'E12. ICT'!$B$10</definedName>
    <definedName name="dms_E12_Projects_04">'E12. ICT'!$B$11</definedName>
    <definedName name="dms_E12_Projects_05">'E12. ICT'!$B$12</definedName>
    <definedName name="dms_E12_Projects_06">'E12. ICT'!$B$13</definedName>
    <definedName name="dms_E12_Projects_07">'E12. ICT'!$B$14</definedName>
    <definedName name="dms_E12_Projects_08">'E12. ICT'!$B$15</definedName>
    <definedName name="dms_E12_Projects_09">'E12. ICT'!$B$16</definedName>
    <definedName name="dms_E12_Projects_10">'E12. ICT'!$B$17</definedName>
    <definedName name="dms_E12_Projects_11">'E12. ICT'!$B$18</definedName>
    <definedName name="dms_E12_Projects_12">'E12. ICT'!$B$19</definedName>
    <definedName name="dms_E12_Projects_13">'E12. ICT'!$B$20</definedName>
    <definedName name="dms_E12_Projects_14">'E12. ICT'!$B$21</definedName>
    <definedName name="dms_E12_Projects_15">'E12. ICT'!$B$22</definedName>
    <definedName name="dms_E1201_A_Values">'E12. ICT'!$C$29:$I$44</definedName>
    <definedName name="dms_E1201_B_Values">'E12. ICT'!$C$48:$I$63</definedName>
    <definedName name="dms_E1201_C_Values">'E12. ICT'!$C$67:$I$82</definedName>
    <definedName name="dms_E1201_D_Values">'E12. ICT'!$C$86:$I$101</definedName>
    <definedName name="dms_E1201_E2_Rows">'E12. ICT'!$B$105:$B$105</definedName>
    <definedName name="dms_E1201_E2_Values">'E12. ICT'!$C$105:$I$105</definedName>
    <definedName name="dms_E1201_F_Values">'E12. ICT'!$C$109:$I$124</definedName>
    <definedName name="dms_E120201_Rows">'E12. ICT'!$B$135:$B$136</definedName>
    <definedName name="dms_E120201_Values">'E12. ICT'!$C$135:$I$136</definedName>
    <definedName name="dms_E120202_Rows">'E12. ICT'!$B$139:$B$140</definedName>
    <definedName name="dms_E120202_Values">'E12. ICT'!$C$139:$I$140</definedName>
    <definedName name="dms_E13_ProjectNames">'E13. Other capex'!$B$29:$B$44</definedName>
    <definedName name="dms_E13_Projects_01">'E13. Other capex'!$B$8</definedName>
    <definedName name="dms_E13_Projects_02">'E13. Other capex'!$B$9</definedName>
    <definedName name="dms_E13_Projects_03">'E13. Other capex'!$B$10</definedName>
    <definedName name="dms_E13_Projects_04">'E13. Other capex'!$B$11</definedName>
    <definedName name="dms_E13_Projects_05">'E13. Other capex'!$B$12</definedName>
    <definedName name="dms_E13_Projects_06">'E13. Other capex'!$B$13</definedName>
    <definedName name="dms_E13_Projects_07">'E13. Other capex'!$B$14</definedName>
    <definedName name="dms_E13_Projects_08">'E13. Other capex'!$B$15</definedName>
    <definedName name="dms_E13_Projects_09">'E13. Other capex'!$B$16</definedName>
    <definedName name="dms_E13_Projects_10">'E13. Other capex'!$B$17</definedName>
    <definedName name="dms_E13_Projects_11">'E13. Other capex'!$B$18</definedName>
    <definedName name="dms_E13_Projects_12">'E13. Other capex'!$B$19</definedName>
    <definedName name="dms_E13_Projects_13">'E13. Other capex'!$B$20</definedName>
    <definedName name="dms_E13_Projects_14">'E13. Other capex'!$B$21</definedName>
    <definedName name="dms_E13_Projects_15">'E13. Other capex'!$B$22</definedName>
    <definedName name="dms_E1301_A_Values">'E13. Other capex'!$C$29:$I$44</definedName>
    <definedName name="dms_E1301_B_Values">'E13. Other capex'!$C$48:$I$63</definedName>
    <definedName name="dms_E1301_C_Values">'E13. Other capex'!$C$67:$I$82</definedName>
    <definedName name="dms_E1301_D_Values">'E13. Other capex'!$C$86:$I$101</definedName>
    <definedName name="dms_E1301_E2_Rows">'E13. Other capex'!$B$105:$B$105</definedName>
    <definedName name="dms_E1301_E2_Values">'E13. Other capex'!$C$105:$I$105</definedName>
    <definedName name="dms_E1301_F_Values">'E13. Other capex'!$C$109:$I$124</definedName>
    <definedName name="dms_E170101_Rows">'E17. Step changes'!$B$12:$B$21</definedName>
    <definedName name="dms_E170101_Values">'E17. Step changes'!$D$12:$J$21</definedName>
    <definedName name="dms_E170102_Rows">'E17. Step changes'!$B$28:$B$37</definedName>
    <definedName name="dms_E170102_Values">'E17. Step changes'!$D$28:$J$37</definedName>
    <definedName name="dms_E170201_Rows">'E17. Step changes'!$B$46:$B$70</definedName>
    <definedName name="dms_E170201_Values">'E17. Step changes'!$D$46:$J$70</definedName>
    <definedName name="dms_E2_Projects_01">'E2. Mains Repex'!$B$9</definedName>
    <definedName name="dms_E2_Projects_02">'E2. Mains Repex'!$B$10</definedName>
    <definedName name="dms_E2_Projects_03">'E2. Mains Repex'!$B$11</definedName>
    <definedName name="dms_E2_Projects_04">'E2. Mains Repex'!$B$12</definedName>
    <definedName name="dms_E2_Projects_05">'E2. Mains Repex'!$B$13</definedName>
    <definedName name="dms_E2_Projects_06">'E2. Mains Repex'!$B$14</definedName>
    <definedName name="dms_E2_Projects_07">'E2. Mains Repex'!$B$15</definedName>
    <definedName name="dms_E2_Projects_08">'E2. Mains Repex'!$B$16</definedName>
    <definedName name="dms_E2_Projects_09">'E2. Mains Repex'!$B$17</definedName>
    <definedName name="dms_E2_Projects_10">'E2. Mains Repex'!$B$18</definedName>
    <definedName name="dms_E2_Projects_11">'E2. Mains Repex'!$B$19</definedName>
    <definedName name="dms_E2_Projects_12">'E2. Mains Repex'!$B$20</definedName>
    <definedName name="dms_E2_Projects_13">'E2. Mains Repex'!$B$21</definedName>
    <definedName name="dms_E2_Projects_14">'E2. Mains Repex'!$B$22</definedName>
    <definedName name="dms_E2_Projects_15">'E2. Mains Repex'!$B$23</definedName>
    <definedName name="dms_E2_Projects_16">'E2. Mains Repex'!$B$24</definedName>
    <definedName name="dms_E2_Projects_17">'E2. Mains Repex'!$B$25</definedName>
    <definedName name="dms_E2_Projects_18">'E2. Mains Repex'!$B$26</definedName>
    <definedName name="dms_E2_Projects_19">'E2. Mains Repex'!$B$27</definedName>
    <definedName name="dms_E2_Projects_20">'E2. Mains Repex'!$B$28</definedName>
    <definedName name="dms_E2_Projects_21">'E2. Mains Repex'!$B$29</definedName>
    <definedName name="dms_E2_Projects_22">'E2. Mains Repex'!$B$30</definedName>
    <definedName name="dms_E2_Projects_23">'E2. Mains Repex'!$B$31</definedName>
    <definedName name="dms_E2_Projects_24">'E2. Mains Repex'!$B$32</definedName>
    <definedName name="dms_E2_Projects_25">'E2. Mains Repex'!$B$33</definedName>
    <definedName name="dms_E2_Projects_26">'E2. Mains Repex'!$B$34</definedName>
    <definedName name="dms_E2_Projects_27">'E2. Mains Repex'!$B$35</definedName>
    <definedName name="dms_E2_Projects_28">'E2. Mains Repex'!$B$36</definedName>
    <definedName name="dms_E2_Projects_29">'E2. Mains Repex'!$B$37</definedName>
    <definedName name="dms_E2_Projects_30">'E2. Mains Repex'!$B$38</definedName>
    <definedName name="dms_E2_Projects_31">'E2. Mains Repex'!$B$39</definedName>
    <definedName name="dms_E2_Projects_32">'E2. Mains Repex'!$B$40</definedName>
    <definedName name="dms_E2_Projects_33">'E2. Mains Repex'!$B$41</definedName>
    <definedName name="dms_E2_Projects_34">'E2. Mains Repex'!$B$42</definedName>
    <definedName name="dms_E2_Projects_35">'E2. Mains Repex'!$B$43</definedName>
    <definedName name="dms_E2_Projects_36">'E2. Mains Repex'!$B$44</definedName>
    <definedName name="dms_E2_Projects_37">'E2. Mains Repex'!$B$45</definedName>
    <definedName name="dms_E2_Projects_38">'E2. Mains Repex'!$B$46</definedName>
    <definedName name="dms_E2_Projects_39">'E2. Mains Repex'!$B$47</definedName>
    <definedName name="dms_E2_Projects_40">'E2. Mains Repex'!$B$48</definedName>
    <definedName name="dms_E2_Projects_41">'E2. Mains Repex'!$B$49</definedName>
    <definedName name="dms_E2_Projects_42">'E2. Mains Repex'!$B$50</definedName>
    <definedName name="dms_E2_Projects_43">'E2. Mains Repex'!$B$51</definedName>
    <definedName name="dms_E2_Projects_44">'E2. Mains Repex'!$B$52</definedName>
    <definedName name="dms_E2_Projects_45">'E2. Mains Repex'!$B$53</definedName>
    <definedName name="dms_E2_Projects_46">'E2. Mains Repex'!$B$54</definedName>
    <definedName name="dms_E2_Projects_47">'E2. Mains Repex'!$B$55</definedName>
    <definedName name="dms_E2_Projects_48">'E2. Mains Repex'!$B$56</definedName>
    <definedName name="dms_E2_Projects_49">'E2. Mains Repex'!$B$57</definedName>
    <definedName name="dms_E2_Projects_50">'E2. Mains Repex'!$B$58</definedName>
    <definedName name="dms_E20_flag">'E20. Opex'!$D$9</definedName>
    <definedName name="dms_E200101_Actual_Values">'E20. Opex'!$C$18:$E$24</definedName>
    <definedName name="dms_E200101_Fcast_Values">'E20. Opex'!$F$18:$L$24</definedName>
    <definedName name="dms_E200101_Rows">'E20. Opex'!$B$18:$B$24</definedName>
    <definedName name="dms_E200102_Actual_Values">'E20. Opex'!$C$30:$E$36</definedName>
    <definedName name="dms_E200102_Fcast_Values">'E20. Opex'!$F$30:$L$36</definedName>
    <definedName name="dms_E200102_Rows">'E20. Opex'!$B$30:$B$36</definedName>
    <definedName name="dms_E200201_Rows">'E20. Opex'!$B$45:$B$52</definedName>
    <definedName name="dms_E200201_Values">'E20. Opex'!$F$45:$L$52</definedName>
    <definedName name="dms_E200202_Rows">'E20. Opex'!$B$59:$B$83</definedName>
    <definedName name="dms_E200202_Values">'E20. Opex'!$F$59:$L$83</definedName>
    <definedName name="dms_E200301_Values">'E20. Opex'!$F$93:$L$100</definedName>
    <definedName name="dms_E200302_Values">'E20. Opex'!$F$107:$L$131</definedName>
    <definedName name="dms_E2101_Rows">'E21. ARS'!$B$11:$B$17</definedName>
    <definedName name="dms_E2101_Values">'E21. ARS'!$C$11:$I$17</definedName>
    <definedName name="dms_E2103_Values">'E21. ARS'!$C$26:$I$32</definedName>
    <definedName name="dms_E250101_Rows">'E25. Escalators'!$B$11:$B$16</definedName>
    <definedName name="dms_E250101_Values">'E25. Escalators'!$C$11:$I$16</definedName>
    <definedName name="dms_E250102_Rows">'E25. Escalators'!$B$18:$B$23</definedName>
    <definedName name="dms_E250102_Values">'E25. Escalators'!$C$18:$I$23</definedName>
    <definedName name="dms_E3_Projects_01">'E3. Mains Augex'!$B$9</definedName>
    <definedName name="dms_E3_Projects_02">'E3. Mains Augex'!$B$10</definedName>
    <definedName name="dms_E3_Projects_03">'E3. Mains Augex'!$B$11</definedName>
    <definedName name="dms_E3_Projects_04">'E3. Mains Augex'!$B$12</definedName>
    <definedName name="dms_E3_Projects_05">'E3. Mains Augex'!$B$13</definedName>
    <definedName name="dms_E3_Projects_06">'E3. Mains Augex'!$B$14</definedName>
    <definedName name="dms_E3_Projects_07">'E3. Mains Augex'!$B$15</definedName>
    <definedName name="dms_E3_Projects_08">'E3. Mains Augex'!$B$16</definedName>
    <definedName name="dms_E3_Projects_09">'E3. Mains Augex'!$B$17</definedName>
    <definedName name="dms_E3_Projects_10">'E3. Mains Augex'!$B$18</definedName>
    <definedName name="dms_E3_Projects_11">'E3. Mains Augex'!$B$19</definedName>
    <definedName name="dms_E3_Projects_12">'E3. Mains Augex'!$B$20</definedName>
    <definedName name="dms_E3_Projects_13">'E3. Mains Augex'!$B$21</definedName>
    <definedName name="dms_E3_Projects_14">'E3. Mains Augex'!$B$22</definedName>
    <definedName name="dms_E3_Projects_15">'E3. Mains Augex'!$B$23</definedName>
    <definedName name="dms_E3_Projects_16">'E3. Mains Augex'!$B$24</definedName>
    <definedName name="dms_E3_Projects_17">'E3. Mains Augex'!$B$25</definedName>
    <definedName name="dms_E3_Projects_18">'E3. Mains Augex'!$B$26</definedName>
    <definedName name="dms_E3_Projects_19">'E3. Mains Augex'!$B$27</definedName>
    <definedName name="dms_E3_Projects_20">'E3. Mains Augex'!$B$28</definedName>
    <definedName name="dms_E3_Projects_21">'E3. Mains Augex'!$B$29</definedName>
    <definedName name="dms_E3_Projects_22">'E3. Mains Augex'!$B$30</definedName>
    <definedName name="dms_E3_Projects_23">'E3. Mains Augex'!$B$31</definedName>
    <definedName name="dms_E3_Projects_24">'E3. Mains Augex'!$B$32</definedName>
    <definedName name="dms_E3_Projects_25">'E3. Mains Augex'!$B$33</definedName>
    <definedName name="dms_E3_Projects_26">'E3. Mains Augex'!$B$34</definedName>
    <definedName name="dms_E3_Projects_27">'E3. Mains Augex'!$B$35</definedName>
    <definedName name="dms_E3_Projects_28">'E3. Mains Augex'!$B$36</definedName>
    <definedName name="dms_E3_Projects_29">'E3. Mains Augex'!$B$37</definedName>
    <definedName name="dms_E3_Projects_30">'E3. Mains Augex'!$B$38</definedName>
    <definedName name="dms_E3_Projects_31">'E3. Mains Augex'!$B$39</definedName>
    <definedName name="dms_E3_Projects_32">'E3. Mains Augex'!$B$40</definedName>
    <definedName name="dms_E3_Projects_33">'E3. Mains Augex'!$B$41</definedName>
    <definedName name="dms_E3_Projects_34">'E3. Mains Augex'!$B$42</definedName>
    <definedName name="dms_E3_Projects_35">'E3. Mains Augex'!$B$43</definedName>
    <definedName name="dms_E3_Projects_36">'E3. Mains Augex'!$B$44</definedName>
    <definedName name="dms_E3_Projects_37">'E3. Mains Augex'!$B$45</definedName>
    <definedName name="dms_E3_Projects_38">'E3. Mains Augex'!$B$46</definedName>
    <definedName name="dms_E3_Projects_39">'E3. Mains Augex'!$B$47</definedName>
    <definedName name="dms_E3_Projects_40">'E3. Mains Augex'!$B$48</definedName>
    <definedName name="dms_E3_Projects_41">'E3. Mains Augex'!$B$49</definedName>
    <definedName name="dms_E3_Projects_42">'E3. Mains Augex'!$B$50</definedName>
    <definedName name="dms_E3_Projects_43">'E3. Mains Augex'!$B$51</definedName>
    <definedName name="dms_E3_Projects_44">'E3. Mains Augex'!$B$52</definedName>
    <definedName name="dms_E3_Projects_45">'E3. Mains Augex'!$B$53</definedName>
    <definedName name="dms_E3_Projects_46">'E3. Mains Augex'!$B$54</definedName>
    <definedName name="dms_E3_Projects_47">'E3. Mains Augex'!$B$55</definedName>
    <definedName name="dms_E3_Projects_48">'E3. Mains Augex'!$B$56</definedName>
    <definedName name="dms_E3_Projects_49">'E3. Mains Augex'!$B$57</definedName>
    <definedName name="dms_E3_Projects_50">'E3. Mains Augex'!$B$58</definedName>
    <definedName name="dms_E65_Projects_01">'E6. Telemetry'!$B$10</definedName>
    <definedName name="dms_E65_Projects_02">'E6. Telemetry'!$B$11</definedName>
    <definedName name="dms_E65_Projects_03">'E6. Telemetry'!$B$12</definedName>
    <definedName name="dms_E65_Projects_04">'E6. Telemetry'!$B$13</definedName>
    <definedName name="dms_E65_Projects_05">'E6. Telemetry'!$B$14</definedName>
    <definedName name="dms_E65_Projects_06">'E6. Telemetry'!$B$15</definedName>
    <definedName name="dms_E65_Projects_07">'E6. Telemetry'!$B$16</definedName>
    <definedName name="dms_E65_Projects_08">'E6. Telemetry'!$B$17</definedName>
    <definedName name="dms_E65_Projects_09">'E6. Telemetry'!$B$18</definedName>
    <definedName name="dms_E65_Projects_10">'E6. Telemetry'!$B$19</definedName>
    <definedName name="dms_E65_Projects_11">'E6. Telemetry'!$B$20</definedName>
    <definedName name="dms_E65_Projects_12">'E6. Telemetry'!$B$21</definedName>
    <definedName name="dms_E65_Projects_13">'E6. Telemetry'!$B$22</definedName>
    <definedName name="dms_E65_Projects_14">'E6. Telemetry'!$B$23</definedName>
    <definedName name="dms_E65_Projects_15">'E6. Telemetry'!$B$24</definedName>
    <definedName name="dms_EB">'AER ETL'!$C$73</definedName>
    <definedName name="dms_EB_RAB_PIT">'AER NRs'!$C$154:$C$159</definedName>
    <definedName name="dms_End">'AER NRs'!$E$178</definedName>
    <definedName name="dms_F030101_Rows">'F3. Revenue'!$B$12:$B$86</definedName>
    <definedName name="dms_F030101_Values">'F3. Revenue'!$C$12:$I$86</definedName>
    <definedName name="dms_F030102_Rows">'F3. Revenue'!$B$93:$B$112</definedName>
    <definedName name="dms_F030102_Values">'F3. Revenue'!$C$93:$I$112</definedName>
    <definedName name="dms_F030103_Rows">'F3. Revenue'!$B$118:$B$137</definedName>
    <definedName name="dms_F030103_Values">'F3. Revenue'!$C$118:$I$137</definedName>
    <definedName name="dms_F0302_Rows">'F3. Revenue'!$B$144:$B$152</definedName>
    <definedName name="dms_F0302_Values">'F3. Revenue'!$C$144:$I$152</definedName>
    <definedName name="dms_F0303_Rows">'F3. Revenue'!$B$160:$B$165</definedName>
    <definedName name="dms_F0303_Values">'F3. Revenue'!$C$160:$I$165</definedName>
    <definedName name="dms_F0304_Rows">'F3. Revenue'!$B$173:$B$178</definedName>
    <definedName name="dms_F0304_Values">'F3. Revenue'!$C$173:$I$178</definedName>
    <definedName name="dms_F0305_Rows">'F3. Revenue'!$B$186</definedName>
    <definedName name="dms_F0305_Values">'F3. Revenue'!$C$186:$I$186</definedName>
    <definedName name="dms_FeederName_1">'AER lookups'!$AF$16:$AF$29</definedName>
    <definedName name="dms_FeederName_2">'AER lookups'!$AG$16:$AG$29</definedName>
    <definedName name="dms_FeederName_3">'AER lookups'!$AH$16:$AH$29</definedName>
    <definedName name="dms_FeederName_4">'AER lookups'!$AI$16:$AI$29</definedName>
    <definedName name="dms_FeederName_5">'AER lookups'!$AJ$16:$AJ$29</definedName>
    <definedName name="dms_FeederType_5_flag">'AER lookups'!$AE$16:$AE$29</definedName>
    <definedName name="dms_FifthFeeder_flag_NSP">'AER ETL'!$C$126</definedName>
    <definedName name="dms_FormControl">'AER ETL'!$C$35</definedName>
    <definedName name="dms_FormControl_Choices">'AER NRs'!$D$14:$D$17</definedName>
    <definedName name="dms_FormControl_List">'AER lookups'!$I$16:$I$29</definedName>
    <definedName name="dms_FRCP_start_row">'AER ETL'!$C$40</definedName>
    <definedName name="dms_FRCP_y1">'AER lookups'!$H$52</definedName>
    <definedName name="dms_FRCPlength_List">'AER lookups'!$M$16:$M$29</definedName>
    <definedName name="dms_FRCPlength_Num">'AER ETL'!$C$71</definedName>
    <definedName name="dms_Header_Span">'AER ETL'!$C$61</definedName>
    <definedName name="dms_Jurisdiction">'AER ETL'!$C$27</definedName>
    <definedName name="dms_JurisdictionList">'AER lookups'!$F$16:$F$29</definedName>
    <definedName name="dms_LeapYear_Result">'AER ETL'!$C$99</definedName>
    <definedName name="dms_LongRural_flag">'AER lookups'!$AD$16:$AD$29</definedName>
    <definedName name="dms_LongRural_flag_NSP">'AER ETL'!$C$125</definedName>
    <definedName name="dms_Mid">'AER NRs'!$D$178</definedName>
    <definedName name="dms_Model">'AER ETL'!$C$12</definedName>
    <definedName name="dms_Model_List">'AER lookups'!$B$36:$B$47</definedName>
    <definedName name="dms_Model_Name_Format1">'AER lookups'!$C$36:$C$47</definedName>
    <definedName name="dms_Model_Span">'AER ETL'!$C$57</definedName>
    <definedName name="dms_Model_Span_List">'AER lookups'!$E$36:$E$47</definedName>
    <definedName name="dms_Multi_RYE_flag">'AER ETL'!$C$136</definedName>
    <definedName name="dms_MultiYear_ABC_RIN">'AER ETL'!$C$83</definedName>
    <definedName name="dms_MultiYear_FinalYear_Result">'AER ETL'!$C$81</definedName>
    <definedName name="dms_MultiYear_Flag">'AER ETL'!$C$64</definedName>
    <definedName name="dms_MultiYear_ResponseFlag">'AER ETL'!$C$63</definedName>
    <definedName name="dms_N0101_Rows">'N1. Demand'!$B$11:$B$13</definedName>
    <definedName name="dms_N0101_Values">'N1. Demand'!$C$11:$I$13</definedName>
    <definedName name="dms_N0102_Rows">'N1. Demand'!$B$22:$B$96</definedName>
    <definedName name="dms_N0102_Values">'N1. Demand'!$C$22:$I$96</definedName>
    <definedName name="dms_N020101_Rows">'N2. Network characteristics'!$C$12:$C$23</definedName>
    <definedName name="dms_N020101_Values">'N2. Network characteristics'!$D$12:$J$23</definedName>
    <definedName name="dms_N020102_Values">'N2. Network characteristics'!$D$25:$J$36</definedName>
    <definedName name="dms_N020103_Values">'N2. Network characteristics'!$D$38:$J$49</definedName>
    <definedName name="dms_N020104_Rows">'N2. Network characteristics'!$C$51:$C$52</definedName>
    <definedName name="dms_N020104_Values">'N2. Network characteristics'!$D$51:$J$52</definedName>
    <definedName name="dms_N020201_Rows">'N2. Network characteristics'!$C$61:$C$63</definedName>
    <definedName name="dms_N020201_Values">'N2. Network characteristics'!$D$61:$J$63</definedName>
    <definedName name="dms_N0205_AssetType">'AER NRs'!$N$34:$N$44</definedName>
    <definedName name="dms_PAddr1">'Business &amp; other details'!$BQ$22</definedName>
    <definedName name="dms_PAddr1_List">'AER lookups'!$V$16:$V$29</definedName>
    <definedName name="dms_PAddr2">'Business &amp; other details'!$BQ$23</definedName>
    <definedName name="dms_PAddr2_List">'AER lookups'!$W$16:$W$29</definedName>
    <definedName name="dms_Partial">'AER ETL'!$C$132</definedName>
    <definedName name="dms_PostCode">'Business &amp; other details'!$AX$25</definedName>
    <definedName name="dms_PostCode_List">'AER lookups'!$U$16:$U$29</definedName>
    <definedName name="dms_PPostCode">'Business &amp; other details'!$CC$25</definedName>
    <definedName name="dms_PPostCode_List">'AER lookups'!$Z$16:$Z$29</definedName>
    <definedName name="dms_PRCP_start_row">'AER ETL'!$C$42</definedName>
    <definedName name="dms_PRCPlength_List">'AER lookups'!$N$16:$N$29</definedName>
    <definedName name="dms_PRCPlength_Num">'AER ETL'!$C$69</definedName>
    <definedName name="dms_Previous_DollarReal_year">'AER ETL'!$C$53</definedName>
    <definedName name="dms_PState">'Business &amp; other details'!$BQ$25</definedName>
    <definedName name="dms_PState_List">'AER lookups'!$Y$16:$Y$29</definedName>
    <definedName name="dms_PSuburb">'Business &amp; other details'!$BQ$24</definedName>
    <definedName name="dms_PSuburb_List">'AER lookups'!$X$16:$X$29</definedName>
    <definedName name="dms_PTRM_RAB_PIT">'AER NRs'!$C$181:$C$185</definedName>
    <definedName name="dms_PTRM_TAB_PIT">'AER NRs'!$D$181:$D$184</definedName>
    <definedName name="dms_Public_Lighting">'AER ETL'!$C$121</definedName>
    <definedName name="dms_Public_Lighting_List">'AER lookups'!$AK$16:$AK$29</definedName>
    <definedName name="dms_Reason_Interruption">'AER NRs'!$I$34:$I$49</definedName>
    <definedName name="dms_Reset_final_year">'AER ETL'!$C$50</definedName>
    <definedName name="dms_Reset_RYE">'AER ETL'!$C$55</definedName>
    <definedName name="dms_Reset_Span">'AER ETL'!$C$59</definedName>
    <definedName name="dms_RPT">'AER ETL'!$C$24</definedName>
    <definedName name="dms_RPT_List">'AER lookups'!$J$16:$J$29</definedName>
    <definedName name="dms_RPTMonth">'AER ETL'!$C$31</definedName>
    <definedName name="dms_RPTMonth_List">'AER lookups'!$K$16:$K$29</definedName>
    <definedName name="dms_RYE">'AER ETL'!$C$23</definedName>
    <definedName name="dms_RYE_01">'AER ETL'!$C$138</definedName>
    <definedName name="dms_RYE_02">'AER ETL'!$C$139</definedName>
    <definedName name="dms_RYE_03">'AER ETL'!$C$140</definedName>
    <definedName name="dms_RYE_04">'AER ETL'!$C$141</definedName>
    <definedName name="dms_RYE_05">'AER ETL'!$C$142</definedName>
    <definedName name="dms_RYE_06">'AER ETL'!$C$143</definedName>
    <definedName name="dms_RYE_07">'AER ETL'!$C$144</definedName>
    <definedName name="dms_RYE_08">'AER ETL'!$C$145</definedName>
    <definedName name="dms_RYE_09">'AER ETL'!$C$146</definedName>
    <definedName name="dms_RYE_result">'AER ETL'!$C$58</definedName>
    <definedName name="dms_RYE_start_row">'AER ETL'!$C$43</definedName>
    <definedName name="dms_S0101_Rows">'S1. Cust. no.-by type'!$B$11:$B$14</definedName>
    <definedName name="dms_S010101_Values">'S1. Cust. no.-by type'!$C$11:$I$14</definedName>
    <definedName name="dms_S010102_Values">'S1. Cust. no.-by type'!$C$16:$I$19</definedName>
    <definedName name="dms_S010103_Values">'S1. Cust. no.-by type'!$C$21:$I$24</definedName>
    <definedName name="dms_S0102_Rows">'S1.2 Cust. no.-by tariff'!$B$11:$B$85</definedName>
    <definedName name="dms_S010201_Values">'S1.2 Cust. no.-by tariff'!$C$11:$I$85</definedName>
    <definedName name="dms_S010202_Values">'S1.2 Cust. no.-by tariff'!$C$92:$I$166</definedName>
    <definedName name="dms_S010203_Values">'S1.2 Cust. no.-by tariff'!$C$173:$I$247</definedName>
    <definedName name="dms_S010204_Values">'S1.2 Cust. no.-by tariff'!$C$254:$I$328</definedName>
    <definedName name="dms_S0103_Rows">'S1. Cust. no.-by type'!$B$32:$B$35</definedName>
    <definedName name="dms_S010301_Values">'S1. Cust. no.-by type'!$C$32:$I$35</definedName>
    <definedName name="dms_S010302_Values">'S1. Cust. no.-by type'!$C$37:$I$40</definedName>
    <definedName name="dms_S010303_Values">'S1. Cust. no.-by type'!$C$42:$I$45</definedName>
    <definedName name="dms_S0104_Rows">'S1. Cust. no.-by type'!$B$52:$B$53</definedName>
    <definedName name="dms_S010401_Values">'S1. Cust. no.-by type'!$C$52:$I$53</definedName>
    <definedName name="dms_S010402_Values">'S1. Cust. no.-by type'!$C$55:$I$56</definedName>
    <definedName name="dms_S010403_Values">'S1. Cust. no.-by type'!$C$58:$I$59</definedName>
    <definedName name="dms_S0105_Rows">'S1. Cust. no.-by type'!$B$66:$B$67</definedName>
    <definedName name="dms_S010501_Values">'S1. Cust. no.-by type'!$C$66:$I$67</definedName>
    <definedName name="dms_S010502_Values">'S1. Cust. no.-by type'!$C$69:$I$70</definedName>
    <definedName name="dms_S010503_Values">'S1. Cust. no.-by type'!$C$72:$I$73</definedName>
    <definedName name="dms_S100101_Rows">'S10. Supply Quality'!$B$10:$B$14</definedName>
    <definedName name="dms_S100101_Values">'S10. Supply Quality'!$C$10:$I$14</definedName>
    <definedName name="dms_S1101_Rows">'S11. Network reliability'!$B$11:$B$13</definedName>
    <definedName name="dms_S110101_Values">'S11. Network reliability'!$C$11:$I$13</definedName>
    <definedName name="dms_S110102_Values">'S11. Network reliability'!$C$18:$I$20</definedName>
    <definedName name="dms_S1103_Rows">'S11. Network reliability'!$B$28:$B$37</definedName>
    <definedName name="dms_S1103_Values">'S11. Network reliability'!$C$28:$I$37</definedName>
    <definedName name="dms_S140101_UOM">'AER NRs'!$M$86:$M$89</definedName>
    <definedName name="dms_S140201_UOM">'AER NRs'!$N$86:$N$88</definedName>
    <definedName name="dms_Sector">'AER ETL'!$C$21</definedName>
    <definedName name="dms_Sector_List">'AER lookups'!$G$16:$G$29</definedName>
    <definedName name="dms_Segment">'AER ETL'!$C$22</definedName>
    <definedName name="dms_Segment_List">'AER lookups'!$H$16:$H$29</definedName>
    <definedName name="dms_Selected_Quality">'Business &amp; other details'!$AL$67</definedName>
    <definedName name="dms_Selected_Source">'Business &amp; other details'!$AL$65</definedName>
    <definedName name="dms_Selected_Status">'Business &amp; other details'!$AL$69</definedName>
    <definedName name="dms_ShortRural_flag">'AER lookups'!$AC$16:$AC$29</definedName>
    <definedName name="dms_ShortRural_flag_NSP">'AER ETL'!$C$124</definedName>
    <definedName name="dms_SingleYear_FinalYear_Result">'AER ETL'!$C$77</definedName>
    <definedName name="dms_SingleYear_Model">'AER ETL'!$C$73:$C$75</definedName>
    <definedName name="dms_SingleYearModel">'AER ETL'!$C$76</definedName>
    <definedName name="dms_Source">'AER ETL'!$C$13</definedName>
    <definedName name="dms_SourceList">'AER NRs'!$C$14:$C$29</definedName>
    <definedName name="dms_Specified_FinalYear">'AER ETL'!$C$65</definedName>
    <definedName name="dms_Specified_RYE">'AER ETL'!$C$56</definedName>
    <definedName name="dms_SpecifiedYear_final_year">'AER ETL'!$C$51</definedName>
    <definedName name="dms_SpecifiedYear_Span">'AER ETL'!$C$60</definedName>
    <definedName name="dms_start_year">'AER ETL'!$C$37</definedName>
    <definedName name="dms_State">'Business &amp; other details'!$AL$25</definedName>
    <definedName name="dms_State_List">'AER lookups'!$T$16:$T$29</definedName>
    <definedName name="dms_STPIS_Exclusion_List">'AER NRs'!$H$34:$H$43</definedName>
    <definedName name="dms_SubmissionDate">'AER ETL'!$C$17</definedName>
    <definedName name="dms_Suburb">'Business &amp; other details'!$AL$24</definedName>
    <definedName name="dms_Suburb_List">'AER lookups'!$S$16:$S$29</definedName>
    <definedName name="dms_TemplateNumber">'AER lookups'!$D$9</definedName>
    <definedName name="dms_TNSP_0203_ProjectTrigger">'AER NRs'!$G$67:$G$74</definedName>
    <definedName name="dms_TNSP_0203_SubstationType">'AER NRs'!$C$67:$C$70</definedName>
    <definedName name="dms_TNSP_020301_ProjectTrigger">'AER NRs'!$E$67:$E$74</definedName>
    <definedName name="dms_TNSP_020301_ProjectType">'AER NRs'!$D$67:$D$70</definedName>
    <definedName name="dms_TNSP_020302_ProjectType">'AER NRs'!$F$67:$F$79</definedName>
    <definedName name="dms_Today">'AER lookups'!$A$15</definedName>
    <definedName name="dms_TradingName">'Business &amp; other details'!$AL$16</definedName>
    <definedName name="dms_TradingName_List">'AER lookups'!$B$16:$B$29</definedName>
    <definedName name="dms_TradingNameFull">'AER ETL'!$C$9</definedName>
    <definedName name="dms_TradingNameFull_List">'AER lookups'!$C$16:$C$29</definedName>
    <definedName name="dms_Typed_Submission_Date">'Business &amp; other details'!$AL$73</definedName>
    <definedName name="dms_UID">'AER ETL'!$C$11</definedName>
    <definedName name="dms_UniqueID" localSheetId="27">'AER ETL'!$C$11</definedName>
    <definedName name="dms_UniqueID_List">'AER lookups'!$E$16:$E$29</definedName>
    <definedName name="dms_Urban_flag">'AER lookups'!$AB$16:$AB$29</definedName>
    <definedName name="dms_Urban_flag_NSP">'AER ETL'!$C$123</definedName>
    <definedName name="dms_Worksheet_List">'AER lookups'!$D$36:$D$47</definedName>
    <definedName name="DMS_Xfactor">'AER NRs'!$E$181</definedName>
    <definedName name="dms_y1">'AER lookups'!$E$91</definedName>
    <definedName name="dms_y10">'AER lookups'!$E$100</definedName>
    <definedName name="dms_y11">'AER lookups'!$E$101</definedName>
    <definedName name="dms_y12">'AER lookups'!$E$102</definedName>
    <definedName name="dms_y13">'AER lookups'!$E$103</definedName>
    <definedName name="dms_y14">'AER lookups'!$E$104</definedName>
    <definedName name="dms_y15">'AER lookups'!$E$105</definedName>
    <definedName name="dms_y16">'AER lookups'!$E$106</definedName>
    <definedName name="dms_y2">'AER lookups'!$E$92</definedName>
    <definedName name="dms_y26">'AER lookups'!$E$116</definedName>
    <definedName name="dms_y27">'AER lookups'!$E$117</definedName>
    <definedName name="dms_y28">'AER lookups'!$E$118</definedName>
    <definedName name="dms_y3">'AER lookups'!$E$93</definedName>
    <definedName name="dms_y4">'AER lookups'!$E$94</definedName>
    <definedName name="dms_y5">'AER lookups'!$E$95</definedName>
    <definedName name="dms_y6">'AER lookups'!$E$96</definedName>
    <definedName name="dms_y7">'AER lookups'!$E$97</definedName>
    <definedName name="dms_y8">'AER lookups'!$E$98</definedName>
    <definedName name="dms_y9">'AER lookups'!$E$99</definedName>
    <definedName name="EB">'AER lookups'!$C$40</definedName>
    <definedName name="EB_Fmt2">'AER lookups'!$D$40</definedName>
    <definedName name="Financial">'AER lookups'!$B$52:$B$121</definedName>
    <definedName name="FRCP_final_year">'AER ETL'!$C$47</definedName>
    <definedName name="FRCP_start_year">'AER ETL'!$C$44</definedName>
    <definedName name="FRCP_y1">'Business &amp; other details'!$AL$41</definedName>
    <definedName name="FRCP_y10">'AER lookups'!$I$61</definedName>
    <definedName name="FRCP_y11">'AER lookups'!$I$62</definedName>
    <definedName name="FRCP_y12">'AER lookups'!$I$63</definedName>
    <definedName name="FRCP_y13">'AER lookups'!$I$64</definedName>
    <definedName name="FRCP_y14">'AER lookups'!$I$65</definedName>
    <definedName name="FRCP_y2">'AER lookups'!$I$53</definedName>
    <definedName name="FRCP_y3">'AER lookups'!$I$54</definedName>
    <definedName name="FRCP_y4">'AER lookups'!$I$55</definedName>
    <definedName name="FRCP_y5">'AER lookups'!$I$56</definedName>
    <definedName name="FRCP_y6">'AER lookups'!$I$57</definedName>
    <definedName name="FRCP_y7">'AER lookups'!$I$58</definedName>
    <definedName name="FRCP_y8">'AER lookups'!$I$59</definedName>
    <definedName name="FRCP_y9">'AER lookups'!$I$60</definedName>
    <definedName name="FRY">'Business &amp; other details'!$AL$57</definedName>
    <definedName name="JurisdictionList">'AER CF'!$C$7:$C$9</definedName>
    <definedName name="PRCP_final_year">'AER ETL'!$C$49</definedName>
    <definedName name="PRCP_start_year">'AER ETL'!$C$46</definedName>
    <definedName name="PRCP_y1">'AER lookups'!$E$52</definedName>
    <definedName name="PRCP_y10">'AER lookups'!$E$61</definedName>
    <definedName name="PRCP_y11">'AER lookups'!$E$62</definedName>
    <definedName name="PRCP_y12">'AER lookups'!$E$63</definedName>
    <definedName name="PRCP_y13">'AER lookups'!$E$64</definedName>
    <definedName name="PRCP_y14">'AER lookups'!$E$65</definedName>
    <definedName name="PRCP_y15">'AER lookups'!$E$66</definedName>
    <definedName name="PRCP_y16">'AER lookups'!$E$67</definedName>
    <definedName name="PRCP_y2">'AER lookups'!$E$53</definedName>
    <definedName name="PRCP_y3">'AER lookups'!$E$54</definedName>
    <definedName name="PRCP_y4">'AER lookups'!$E$55</definedName>
    <definedName name="PRCP_y5">'AER lookups'!$E$56</definedName>
    <definedName name="PRCP_y6">'AER lookups'!$E$57</definedName>
    <definedName name="PRCP_y7">'AER lookups'!$E$58</definedName>
    <definedName name="PRCP_y8">'AER lookups'!$E$59</definedName>
    <definedName name="PRCP_y9">'AER lookups'!$E$60</definedName>
    <definedName name="Pricing">'AER lookups'!$C$42</definedName>
    <definedName name="Pricing_Fmt2">'AER lookups'!$D$42</definedName>
    <definedName name="_xlnm.Print_Area" localSheetId="1">CONTENTS!$B$1:$E$38</definedName>
    <definedName name="PTRM">'AER lookups'!$C$44</definedName>
    <definedName name="PTRM_Fmt2">'AER lookups'!$D$44</definedName>
    <definedName name="Reset">'AER lookups'!$C$45</definedName>
    <definedName name="Reset_Fmt2">'AER lookups'!$D$45</definedName>
    <definedName name="RFM">'AER lookups'!$C$46</definedName>
    <definedName name="RFM_Fmt2">'AER lookups'!$D$46</definedName>
    <definedName name="Sector">'AER CF'!$D$7:$D$9</definedName>
    <definedName name="Segment">'AER CF'!$E$7:$E$9</definedName>
    <definedName name="WACC">'AER lookups'!$C$47</definedName>
    <definedName name="WACC_Fmt2">'AER lookups'!$D$47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1" i="28" l="1"/>
  <c r="H141" i="28"/>
  <c r="G141" i="28"/>
  <c r="F141" i="28"/>
  <c r="E141" i="28"/>
  <c r="D141" i="28"/>
  <c r="C141" i="28"/>
  <c r="I144" i="21"/>
  <c r="H144" i="21"/>
  <c r="G144" i="21"/>
  <c r="F144" i="21"/>
  <c r="E144" i="21"/>
  <c r="D144" i="21"/>
  <c r="C144" i="21"/>
  <c r="B238" i="17"/>
  <c r="J222" i="19"/>
  <c r="I222" i="19"/>
  <c r="H222" i="19"/>
  <c r="G222" i="19"/>
  <c r="F222" i="19"/>
  <c r="E222" i="19"/>
  <c r="D222" i="19"/>
  <c r="J186" i="19"/>
  <c r="I186" i="19"/>
  <c r="H186" i="19"/>
  <c r="G186" i="19"/>
  <c r="F186" i="19"/>
  <c r="E186" i="19"/>
  <c r="D186" i="19"/>
  <c r="J150" i="19"/>
  <c r="I150" i="19"/>
  <c r="H150" i="19"/>
  <c r="G150" i="19"/>
  <c r="F150" i="19"/>
  <c r="E150" i="19"/>
  <c r="D150" i="19"/>
  <c r="J114" i="19"/>
  <c r="I114" i="19"/>
  <c r="H114" i="19"/>
  <c r="G114" i="19"/>
  <c r="F114" i="19"/>
  <c r="E114" i="19"/>
  <c r="D114" i="19"/>
  <c r="J78" i="19"/>
  <c r="I78" i="19"/>
  <c r="H78" i="19"/>
  <c r="G78" i="19"/>
  <c r="F78" i="19"/>
  <c r="E78" i="19"/>
  <c r="D78" i="19"/>
  <c r="J42" i="19"/>
  <c r="I42" i="19"/>
  <c r="H42" i="19"/>
  <c r="G42" i="19"/>
  <c r="F42" i="19"/>
  <c r="E42" i="19"/>
  <c r="D42" i="19"/>
  <c r="C11" i="54" l="1"/>
  <c r="B4" i="57" l="1"/>
  <c r="B3" i="57"/>
  <c r="B714" i="17" l="1"/>
  <c r="B713" i="17"/>
  <c r="B712" i="17"/>
  <c r="B711" i="17"/>
  <c r="B710" i="17"/>
  <c r="B709" i="17"/>
  <c r="B708" i="17"/>
  <c r="B707" i="17"/>
  <c r="B706" i="17"/>
  <c r="B705" i="17"/>
  <c r="B704" i="17"/>
  <c r="B703" i="17"/>
  <c r="B702" i="17"/>
  <c r="B701" i="17"/>
  <c r="B700" i="17"/>
  <c r="B699" i="17"/>
  <c r="B698" i="17"/>
  <c r="B697" i="17"/>
  <c r="B696" i="17"/>
  <c r="B695" i="17"/>
  <c r="B694" i="17"/>
  <c r="B693" i="17"/>
  <c r="B692" i="17"/>
  <c r="B691" i="17"/>
  <c r="B690" i="17"/>
  <c r="B689" i="17"/>
  <c r="B688" i="17"/>
  <c r="B687" i="17"/>
  <c r="B686" i="17"/>
  <c r="B685" i="17"/>
  <c r="B684" i="17"/>
  <c r="B683" i="17"/>
  <c r="B682" i="17"/>
  <c r="B681" i="17"/>
  <c r="B680" i="17"/>
  <c r="B679" i="17"/>
  <c r="B678" i="17"/>
  <c r="B677" i="17"/>
  <c r="B676" i="17"/>
  <c r="B675" i="17"/>
  <c r="B674" i="17"/>
  <c r="B673" i="17"/>
  <c r="B672" i="17"/>
  <c r="B671" i="17"/>
  <c r="B670" i="17"/>
  <c r="B669" i="17"/>
  <c r="B668" i="17"/>
  <c r="B667" i="17"/>
  <c r="B666" i="17"/>
  <c r="B665" i="17"/>
  <c r="B660" i="17"/>
  <c r="B659" i="17"/>
  <c r="B658" i="17"/>
  <c r="B657" i="17"/>
  <c r="B656" i="17"/>
  <c r="B655" i="17"/>
  <c r="B654" i="17"/>
  <c r="B653" i="17"/>
  <c r="B652" i="17"/>
  <c r="B651" i="17"/>
  <c r="B650" i="17"/>
  <c r="B649" i="17"/>
  <c r="B648" i="17"/>
  <c r="B647" i="17"/>
  <c r="B646" i="17"/>
  <c r="B645" i="17"/>
  <c r="B644" i="17"/>
  <c r="B643" i="17"/>
  <c r="B642" i="17"/>
  <c r="B641" i="17"/>
  <c r="B640" i="17"/>
  <c r="B639" i="17"/>
  <c r="B638" i="17"/>
  <c r="B637" i="17"/>
  <c r="B636" i="17"/>
  <c r="B635" i="17"/>
  <c r="B634" i="17"/>
  <c r="B633" i="17"/>
  <c r="B632" i="17"/>
  <c r="B631" i="17"/>
  <c r="B630" i="17"/>
  <c r="B629" i="17"/>
  <c r="B628" i="17"/>
  <c r="B627" i="17"/>
  <c r="B626" i="17"/>
  <c r="B625" i="17"/>
  <c r="B624" i="17"/>
  <c r="B623" i="17"/>
  <c r="B622" i="17"/>
  <c r="B621" i="17"/>
  <c r="B620" i="17"/>
  <c r="B619" i="17"/>
  <c r="B618" i="17"/>
  <c r="B617" i="17"/>
  <c r="B616" i="17"/>
  <c r="B615" i="17"/>
  <c r="B614" i="17"/>
  <c r="B613" i="17"/>
  <c r="B612" i="17"/>
  <c r="B611" i="17"/>
  <c r="B606" i="17"/>
  <c r="B605" i="17"/>
  <c r="B604" i="17"/>
  <c r="B603" i="17"/>
  <c r="B602" i="17"/>
  <c r="B601" i="17"/>
  <c r="B600" i="17"/>
  <c r="B599" i="17"/>
  <c r="B598" i="17"/>
  <c r="B597" i="17"/>
  <c r="B596" i="17"/>
  <c r="B595" i="17"/>
  <c r="B594" i="17"/>
  <c r="B593" i="17"/>
  <c r="B592" i="17"/>
  <c r="B591" i="17"/>
  <c r="B590" i="17"/>
  <c r="B589" i="17"/>
  <c r="B588" i="17"/>
  <c r="B587" i="17"/>
  <c r="B586" i="17"/>
  <c r="B585" i="17"/>
  <c r="B584" i="17"/>
  <c r="B583" i="17"/>
  <c r="B582" i="17"/>
  <c r="B581" i="17"/>
  <c r="B580" i="17"/>
  <c r="B579" i="17"/>
  <c r="B578" i="17"/>
  <c r="B577" i="17"/>
  <c r="B576" i="17"/>
  <c r="B575" i="17"/>
  <c r="B574" i="17"/>
  <c r="B573" i="17"/>
  <c r="B572" i="17"/>
  <c r="B571" i="17"/>
  <c r="B570" i="17"/>
  <c r="B569" i="17"/>
  <c r="B568" i="17"/>
  <c r="B567" i="17"/>
  <c r="B566" i="17"/>
  <c r="B565" i="17"/>
  <c r="B564" i="17"/>
  <c r="B563" i="17"/>
  <c r="B562" i="17"/>
  <c r="B561" i="17"/>
  <c r="B560" i="17"/>
  <c r="B559" i="17"/>
  <c r="B558" i="17"/>
  <c r="B557" i="17"/>
  <c r="B498" i="17"/>
  <c r="B497" i="17"/>
  <c r="B496" i="17"/>
  <c r="B495" i="17"/>
  <c r="B494" i="17"/>
  <c r="B493" i="17"/>
  <c r="B492" i="17"/>
  <c r="B491" i="17"/>
  <c r="B490" i="17"/>
  <c r="B489" i="17"/>
  <c r="B488" i="17"/>
  <c r="B487" i="17"/>
  <c r="B486" i="17"/>
  <c r="B485" i="17"/>
  <c r="B484" i="17"/>
  <c r="B483" i="17"/>
  <c r="B482" i="17"/>
  <c r="B481" i="17"/>
  <c r="B480" i="17"/>
  <c r="B479" i="17"/>
  <c r="B478" i="17"/>
  <c r="B477" i="17"/>
  <c r="B476" i="17"/>
  <c r="B475" i="17"/>
  <c r="B474" i="17"/>
  <c r="B473" i="17"/>
  <c r="B472" i="17"/>
  <c r="B471" i="17"/>
  <c r="B470" i="17"/>
  <c r="B469" i="17"/>
  <c r="B468" i="17"/>
  <c r="B467" i="17"/>
  <c r="B466" i="17"/>
  <c r="B465" i="17"/>
  <c r="B464" i="17"/>
  <c r="B463" i="17"/>
  <c r="B462" i="17"/>
  <c r="B461" i="17"/>
  <c r="B460" i="17"/>
  <c r="B459" i="17"/>
  <c r="B458" i="17"/>
  <c r="B457" i="17"/>
  <c r="B456" i="17"/>
  <c r="B455" i="17"/>
  <c r="B454" i="17"/>
  <c r="B453" i="17"/>
  <c r="B452" i="17"/>
  <c r="B451" i="17"/>
  <c r="B450" i="17"/>
  <c r="B449" i="17"/>
  <c r="B444" i="17"/>
  <c r="B443" i="17"/>
  <c r="B442" i="17"/>
  <c r="B441" i="17"/>
  <c r="B440" i="17"/>
  <c r="B439" i="17"/>
  <c r="B438" i="17"/>
  <c r="B437" i="17"/>
  <c r="B436" i="17"/>
  <c r="B435" i="17"/>
  <c r="B434" i="17"/>
  <c r="B433" i="17"/>
  <c r="B432" i="17"/>
  <c r="B431" i="17"/>
  <c r="B430" i="17"/>
  <c r="B429" i="17"/>
  <c r="B428" i="17"/>
  <c r="B427" i="17"/>
  <c r="B426" i="17"/>
  <c r="B425" i="17"/>
  <c r="B424" i="17"/>
  <c r="B423" i="17"/>
  <c r="B422" i="17"/>
  <c r="B421" i="17"/>
  <c r="B420" i="17"/>
  <c r="B419" i="17"/>
  <c r="B418" i="17"/>
  <c r="B417" i="17"/>
  <c r="B416" i="17"/>
  <c r="B415" i="17"/>
  <c r="B414" i="17"/>
  <c r="B413" i="17"/>
  <c r="B412" i="17"/>
  <c r="B411" i="17"/>
  <c r="B410" i="17"/>
  <c r="B409" i="17"/>
  <c r="B408" i="17"/>
  <c r="B407" i="17"/>
  <c r="B406" i="17"/>
  <c r="B405" i="17"/>
  <c r="B404" i="17"/>
  <c r="B403" i="17"/>
  <c r="B402" i="17"/>
  <c r="B401" i="17"/>
  <c r="B400" i="17"/>
  <c r="B399" i="17"/>
  <c r="B398" i="17"/>
  <c r="B397" i="17"/>
  <c r="B396" i="17"/>
  <c r="B395" i="17"/>
  <c r="B351" i="17"/>
  <c r="B350" i="17"/>
  <c r="B349" i="17"/>
  <c r="B348" i="17"/>
  <c r="B347" i="17"/>
  <c r="B346" i="17"/>
  <c r="B345" i="17"/>
  <c r="B344" i="17"/>
  <c r="B343" i="17"/>
  <c r="B342" i="17"/>
  <c r="B341" i="17"/>
  <c r="B340" i="17"/>
  <c r="B339" i="17"/>
  <c r="B338" i="17"/>
  <c r="B337" i="17"/>
  <c r="B336" i="17"/>
  <c r="B335" i="17"/>
  <c r="B334" i="17"/>
  <c r="B333" i="17"/>
  <c r="B332" i="17"/>
  <c r="B331" i="17"/>
  <c r="B330" i="17"/>
  <c r="B329" i="17"/>
  <c r="B328" i="17"/>
  <c r="B327" i="17"/>
  <c r="B326" i="17"/>
  <c r="B325" i="17"/>
  <c r="B324" i="17"/>
  <c r="B323" i="17"/>
  <c r="B322" i="17"/>
  <c r="B321" i="17"/>
  <c r="B320" i="17"/>
  <c r="B319" i="17"/>
  <c r="B318" i="17"/>
  <c r="B317" i="17"/>
  <c r="B316" i="17"/>
  <c r="B315" i="17"/>
  <c r="B314" i="17"/>
  <c r="B313" i="17"/>
  <c r="B312" i="17"/>
  <c r="B311" i="17"/>
  <c r="B310" i="17"/>
  <c r="B309" i="17"/>
  <c r="B308" i="17"/>
  <c r="B307" i="17"/>
  <c r="B306" i="17"/>
  <c r="B305" i="17"/>
  <c r="B304" i="17"/>
  <c r="B303" i="17"/>
  <c r="B302" i="17"/>
  <c r="B287" i="17"/>
  <c r="B286" i="17"/>
  <c r="B285" i="17"/>
  <c r="B284" i="17"/>
  <c r="B283" i="17"/>
  <c r="B282" i="17"/>
  <c r="B281" i="17"/>
  <c r="B280" i="17"/>
  <c r="B279" i="17"/>
  <c r="B278" i="17"/>
  <c r="B277" i="17"/>
  <c r="B276" i="17"/>
  <c r="B275" i="17"/>
  <c r="B274" i="17"/>
  <c r="B273" i="17"/>
  <c r="B272" i="17"/>
  <c r="B271" i="17"/>
  <c r="B270" i="17"/>
  <c r="B269" i="17"/>
  <c r="B268" i="17"/>
  <c r="B267" i="17"/>
  <c r="B266" i="17"/>
  <c r="B265" i="17"/>
  <c r="B264" i="17"/>
  <c r="B263" i="17"/>
  <c r="B262" i="17"/>
  <c r="B261" i="17"/>
  <c r="B260" i="17"/>
  <c r="B259" i="17"/>
  <c r="B258" i="17"/>
  <c r="B257" i="17"/>
  <c r="B256" i="17"/>
  <c r="B255" i="17"/>
  <c r="B254" i="17"/>
  <c r="B253" i="17"/>
  <c r="B252" i="17"/>
  <c r="B251" i="17"/>
  <c r="B250" i="17"/>
  <c r="B249" i="17"/>
  <c r="B248" i="17"/>
  <c r="B247" i="17"/>
  <c r="B246" i="17"/>
  <c r="B245" i="17"/>
  <c r="B244" i="17"/>
  <c r="B243" i="17"/>
  <c r="B242" i="17"/>
  <c r="B241" i="17"/>
  <c r="B240" i="17"/>
  <c r="B239"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6" i="17"/>
  <c r="B205" i="17"/>
  <c r="B204"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92" i="17"/>
  <c r="B91" i="17"/>
  <c r="B90" i="17"/>
  <c r="B89" i="17"/>
  <c r="B88" i="17"/>
  <c r="B87" i="17"/>
  <c r="B86" i="17"/>
  <c r="B85" i="17"/>
  <c r="V1" i="56" l="1"/>
  <c r="AL17" i="56"/>
  <c r="AL16" i="55"/>
  <c r="AL17" i="55"/>
  <c r="AL18" i="55"/>
  <c r="AL19" i="55"/>
  <c r="AL20" i="55"/>
  <c r="AL21" i="55"/>
  <c r="AL22" i="55"/>
  <c r="AL23" i="55"/>
  <c r="AL24" i="55"/>
  <c r="AL25" i="55"/>
  <c r="AL26" i="55"/>
  <c r="AL27" i="55"/>
  <c r="AL28" i="55"/>
  <c r="AL29" i="55"/>
  <c r="D36" i="55"/>
  <c r="D37" i="55"/>
  <c r="D40" i="55"/>
  <c r="H52" i="55"/>
  <c r="C9" i="54"/>
  <c r="C10" i="54"/>
  <c r="C16" i="54"/>
  <c r="C17" i="54"/>
  <c r="C21" i="54"/>
  <c r="C22" i="54"/>
  <c r="C24" i="54"/>
  <c r="C27" i="54"/>
  <c r="C29" i="54"/>
  <c r="C31" i="54"/>
  <c r="C35" i="54"/>
  <c r="C37" i="54"/>
  <c r="C40" i="54"/>
  <c r="AL63" i="56"/>
  <c r="B2" i="57" l="1"/>
  <c r="V2" i="56"/>
  <c r="B2" i="38"/>
  <c r="V2" i="53"/>
  <c r="V2" i="55"/>
  <c r="B2" i="15"/>
  <c r="B2" i="29"/>
  <c r="B2" i="26"/>
  <c r="B2" i="30"/>
  <c r="B2" i="18"/>
  <c r="B2" i="40"/>
  <c r="B2" i="22"/>
  <c r="B2" i="24"/>
  <c r="B2" i="25"/>
  <c r="B2" i="42"/>
  <c r="B2" i="17"/>
  <c r="B2" i="37"/>
  <c r="B2" i="49"/>
  <c r="B2" i="16"/>
  <c r="B2" i="34"/>
  <c r="B2" i="31"/>
  <c r="B2" i="19"/>
  <c r="B2" i="21"/>
  <c r="B2" i="23"/>
  <c r="B2" i="28"/>
  <c r="C30" i="54"/>
  <c r="C51" i="54"/>
  <c r="C54" i="54"/>
  <c r="C56" i="54"/>
  <c r="C60" i="54" s="1"/>
  <c r="C57" i="54"/>
  <c r="C80" i="54" s="1"/>
  <c r="C64" i="54"/>
  <c r="C69" i="54"/>
  <c r="C70" i="54"/>
  <c r="C71" i="54"/>
  <c r="C73" i="54"/>
  <c r="C74" i="54"/>
  <c r="C75" i="54"/>
  <c r="C87" i="54"/>
  <c r="C90" i="54"/>
  <c r="C91" i="54"/>
  <c r="C92" i="54" s="1"/>
  <c r="C93" i="54"/>
  <c r="C94" i="54"/>
  <c r="C95" i="54"/>
  <c r="C98" i="54"/>
  <c r="C99" i="54"/>
  <c r="C101" i="54" s="1"/>
  <c r="C105" i="54"/>
  <c r="C111" i="54"/>
  <c r="C113" i="54"/>
  <c r="C114" i="54"/>
  <c r="C120" i="54"/>
  <c r="C121" i="54"/>
  <c r="C122" i="54"/>
  <c r="C123" i="54"/>
  <c r="C124" i="54"/>
  <c r="C125" i="54"/>
  <c r="C126" i="54"/>
  <c r="C103" i="54" s="1"/>
  <c r="D209" i="53"/>
  <c r="E209" i="53"/>
  <c r="F209" i="53"/>
  <c r="G209" i="53"/>
  <c r="H209" i="53"/>
  <c r="I209" i="53"/>
  <c r="J209" i="53"/>
  <c r="K209" i="53"/>
  <c r="L209" i="53"/>
  <c r="M209" i="53"/>
  <c r="D214" i="53"/>
  <c r="E214" i="53"/>
  <c r="F214" i="53"/>
  <c r="G214" i="53"/>
  <c r="U5" i="52"/>
  <c r="I68" i="55"/>
  <c r="I66" i="55"/>
  <c r="I59" i="55"/>
  <c r="I75" i="55"/>
  <c r="I72" i="55"/>
  <c r="I55" i="55"/>
  <c r="I58" i="55"/>
  <c r="I57" i="55"/>
  <c r="I73" i="55"/>
  <c r="C47" i="54"/>
  <c r="I76" i="55"/>
  <c r="I61" i="55"/>
  <c r="I54" i="55"/>
  <c r="I65" i="55"/>
  <c r="I62" i="55"/>
  <c r="I69" i="55"/>
  <c r="I53" i="55"/>
  <c r="I74" i="55"/>
  <c r="I64" i="55"/>
  <c r="I70" i="55"/>
  <c r="C44" i="54"/>
  <c r="I67" i="55"/>
  <c r="I63" i="55"/>
  <c r="I56" i="55"/>
  <c r="I60" i="55"/>
  <c r="I52" i="55"/>
  <c r="I71" i="55"/>
  <c r="C100" i="54" l="1"/>
  <c r="C102" i="54" s="1"/>
  <c r="C76" i="54"/>
  <c r="BV41" i="56"/>
  <c r="BD42" i="56"/>
  <c r="BV43" i="56"/>
  <c r="AL42" i="56"/>
  <c r="BM41" i="56"/>
  <c r="AL43" i="56"/>
  <c r="BD43" i="56"/>
  <c r="BV42" i="56"/>
  <c r="AU42" i="56"/>
  <c r="BM43" i="56"/>
  <c r="BM42" i="56"/>
  <c r="AU43" i="56"/>
  <c r="AU41" i="56"/>
  <c r="BD41" i="56"/>
  <c r="C104" i="54"/>
  <c r="C77" i="54"/>
  <c r="C41" i="54"/>
  <c r="C42" i="54"/>
  <c r="C84" i="54"/>
  <c r="C66" i="54"/>
  <c r="C83" i="54"/>
  <c r="C43" i="54"/>
  <c r="C65" i="54"/>
  <c r="B73" i="15"/>
  <c r="B74" i="15"/>
  <c r="B75" i="15"/>
  <c r="B76" i="15"/>
  <c r="B77" i="15"/>
  <c r="B78" i="15"/>
  <c r="B79" i="15"/>
  <c r="B80" i="15"/>
  <c r="B81" i="15"/>
  <c r="B82" i="15"/>
  <c r="B83" i="15"/>
  <c r="B84" i="15"/>
  <c r="B85" i="15"/>
  <c r="B86" i="15"/>
  <c r="B87" i="15"/>
  <c r="B88" i="15"/>
  <c r="B89" i="15"/>
  <c r="B90" i="15"/>
  <c r="B91" i="15"/>
  <c r="B92" i="15"/>
  <c r="B93" i="15"/>
  <c r="B94" i="15"/>
  <c r="B95" i="15"/>
  <c r="B72" i="15"/>
  <c r="B71" i="15"/>
  <c r="B62" i="15"/>
  <c r="B63" i="15"/>
  <c r="B64" i="15"/>
  <c r="B65" i="15"/>
  <c r="B66" i="15"/>
  <c r="B67" i="15"/>
  <c r="B61" i="15"/>
  <c r="B60" i="15"/>
  <c r="C61" i="15"/>
  <c r="D61" i="15"/>
  <c r="E61" i="15"/>
  <c r="F61" i="15"/>
  <c r="G61" i="15"/>
  <c r="H61" i="15"/>
  <c r="I61" i="15"/>
  <c r="C62" i="15"/>
  <c r="D62" i="15"/>
  <c r="E62" i="15"/>
  <c r="F62" i="15"/>
  <c r="G62" i="15"/>
  <c r="H62" i="15"/>
  <c r="I62" i="15"/>
  <c r="C63" i="15"/>
  <c r="D63" i="15"/>
  <c r="E63" i="15"/>
  <c r="F63" i="15"/>
  <c r="G63" i="15"/>
  <c r="H63" i="15"/>
  <c r="I63" i="15"/>
  <c r="C64" i="15"/>
  <c r="D64" i="15"/>
  <c r="E64" i="15"/>
  <c r="F64" i="15"/>
  <c r="G64" i="15"/>
  <c r="H64" i="15"/>
  <c r="I64" i="15"/>
  <c r="C65" i="15"/>
  <c r="D65" i="15"/>
  <c r="E65" i="15"/>
  <c r="F65" i="15"/>
  <c r="G65" i="15"/>
  <c r="H65" i="15"/>
  <c r="I65" i="15"/>
  <c r="C66" i="15"/>
  <c r="D66" i="15"/>
  <c r="E66" i="15"/>
  <c r="F66" i="15"/>
  <c r="G66" i="15"/>
  <c r="H66" i="15"/>
  <c r="I66" i="15"/>
  <c r="C67" i="15"/>
  <c r="D67" i="15"/>
  <c r="E67" i="15"/>
  <c r="F67" i="15"/>
  <c r="G67" i="15"/>
  <c r="H67" i="15"/>
  <c r="I67" i="15"/>
  <c r="D60" i="15"/>
  <c r="E60" i="15"/>
  <c r="F60" i="15"/>
  <c r="G60" i="15"/>
  <c r="H60" i="15"/>
  <c r="I60" i="15"/>
  <c r="C60" i="15"/>
  <c r="G58" i="55"/>
  <c r="E65" i="55"/>
  <c r="C50" i="54"/>
  <c r="C81" i="54" l="1"/>
  <c r="C55" i="54"/>
  <c r="BM53" i="56"/>
  <c r="AU48" i="56"/>
  <c r="I86" i="21"/>
  <c r="H86" i="21"/>
  <c r="G86" i="21"/>
  <c r="F86" i="21"/>
  <c r="E86" i="21"/>
  <c r="D86" i="21"/>
  <c r="C86" i="21"/>
  <c r="G63" i="55"/>
  <c r="C49" i="54"/>
  <c r="E63" i="55"/>
  <c r="E64" i="55"/>
  <c r="E67" i="55"/>
  <c r="G55" i="55"/>
  <c r="E55" i="55"/>
  <c r="E56" i="55"/>
  <c r="C46" i="54"/>
  <c r="G57" i="55"/>
  <c r="E59" i="55"/>
  <c r="E66" i="55"/>
  <c r="G61" i="55"/>
  <c r="E54" i="55"/>
  <c r="C45" i="54"/>
  <c r="G67" i="55"/>
  <c r="G64" i="55"/>
  <c r="G65" i="55"/>
  <c r="E60" i="55"/>
  <c r="E57" i="55"/>
  <c r="E52" i="55"/>
  <c r="G60" i="55"/>
  <c r="G53" i="55"/>
  <c r="E58" i="55"/>
  <c r="G59" i="55"/>
  <c r="E61" i="55"/>
  <c r="G56" i="55"/>
  <c r="G52" i="55"/>
  <c r="E62" i="55"/>
  <c r="G62" i="55"/>
  <c r="E53" i="55"/>
  <c r="G54" i="55"/>
  <c r="G66" i="55"/>
  <c r="C48" i="54"/>
  <c r="D106" i="30" l="1"/>
  <c r="D92" i="30"/>
  <c r="D58" i="30"/>
  <c r="D44" i="30"/>
  <c r="D29" i="30"/>
  <c r="D17" i="30"/>
  <c r="AU47" i="56"/>
  <c r="C106" i="30"/>
  <c r="E106" i="30"/>
  <c r="C92" i="30"/>
  <c r="E92" i="30"/>
  <c r="C58" i="30"/>
  <c r="E58" i="30"/>
  <c r="C44" i="30"/>
  <c r="E44" i="30"/>
  <c r="C29" i="30"/>
  <c r="E29" i="30"/>
  <c r="E17" i="30"/>
  <c r="C17" i="30"/>
  <c r="AL51" i="56"/>
  <c r="AU51" i="56"/>
  <c r="BM51" i="56"/>
  <c r="BD51" i="56"/>
  <c r="BV51" i="56"/>
  <c r="BM47" i="56"/>
  <c r="AL47" i="56"/>
  <c r="BD47" i="56"/>
  <c r="BV47" i="56"/>
  <c r="C52" i="54"/>
  <c r="C32" i="54" s="1"/>
  <c r="BD48" i="56"/>
  <c r="AL48" i="56"/>
  <c r="BM49" i="56"/>
  <c r="BV48" i="56"/>
  <c r="BD49" i="56"/>
  <c r="BM48" i="56"/>
  <c r="AU49" i="56"/>
  <c r="AL49" i="56"/>
  <c r="AU53" i="56"/>
  <c r="BV52" i="56"/>
  <c r="AU52" i="56"/>
  <c r="C53" i="54"/>
  <c r="C107" i="54"/>
  <c r="E197" i="53" s="1"/>
  <c r="AL53" i="56"/>
  <c r="BD52" i="56"/>
  <c r="C38" i="54"/>
  <c r="BV49" i="56"/>
  <c r="BV53" i="56"/>
  <c r="AL52" i="56"/>
  <c r="C117" i="54"/>
  <c r="BM52" i="56"/>
  <c r="BD53" i="56"/>
  <c r="C59" i="54"/>
  <c r="C58" i="54"/>
  <c r="C23" i="54" s="1"/>
  <c r="B61" i="40"/>
  <c r="B62" i="40"/>
  <c r="B63" i="40"/>
  <c r="B64" i="40"/>
  <c r="B65" i="40"/>
  <c r="B66" i="40"/>
  <c r="B67" i="40"/>
  <c r="B68" i="40"/>
  <c r="B69" i="40"/>
  <c r="B70" i="40"/>
  <c r="B71" i="40"/>
  <c r="B72" i="40"/>
  <c r="B73" i="40"/>
  <c r="B74" i="40"/>
  <c r="B75" i="40"/>
  <c r="B76" i="40"/>
  <c r="B77" i="40"/>
  <c r="B78" i="40"/>
  <c r="B79" i="40"/>
  <c r="B80" i="40"/>
  <c r="B81" i="40"/>
  <c r="B82" i="40"/>
  <c r="B83" i="40"/>
  <c r="B84" i="40"/>
  <c r="B85" i="40"/>
  <c r="B86" i="40"/>
  <c r="D58" i="26"/>
  <c r="E58" i="26"/>
  <c r="F58" i="26"/>
  <c r="G58" i="26"/>
  <c r="H58" i="26"/>
  <c r="I58" i="26"/>
  <c r="D59" i="26"/>
  <c r="E59" i="26"/>
  <c r="F59" i="26"/>
  <c r="G59" i="26"/>
  <c r="H59" i="26"/>
  <c r="I59" i="26"/>
  <c r="D60" i="26"/>
  <c r="E60" i="26"/>
  <c r="F60" i="26"/>
  <c r="G60" i="26"/>
  <c r="H60" i="26"/>
  <c r="I60" i="26"/>
  <c r="D61" i="26"/>
  <c r="E61" i="26"/>
  <c r="F61" i="26"/>
  <c r="G61" i="26"/>
  <c r="H61" i="26"/>
  <c r="I61" i="26"/>
  <c r="D62" i="26"/>
  <c r="E62" i="26"/>
  <c r="F62" i="26"/>
  <c r="G62" i="26"/>
  <c r="H62" i="26"/>
  <c r="I62" i="26"/>
  <c r="D63" i="26"/>
  <c r="E63" i="26"/>
  <c r="F63" i="26"/>
  <c r="G63" i="26"/>
  <c r="H63" i="26"/>
  <c r="I63" i="26"/>
  <c r="D64" i="26"/>
  <c r="E64" i="26"/>
  <c r="F64" i="26"/>
  <c r="G64" i="26"/>
  <c r="H64" i="26"/>
  <c r="I64" i="26"/>
  <c r="D65" i="26"/>
  <c r="E65" i="26"/>
  <c r="F65" i="26"/>
  <c r="G65" i="26"/>
  <c r="H65" i="26"/>
  <c r="I65" i="26"/>
  <c r="D66" i="26"/>
  <c r="E66" i="26"/>
  <c r="F66" i="26"/>
  <c r="G66" i="26"/>
  <c r="H66" i="26"/>
  <c r="I66" i="26"/>
  <c r="D67" i="26"/>
  <c r="E67" i="26"/>
  <c r="F67" i="26"/>
  <c r="G67" i="26"/>
  <c r="H67" i="26"/>
  <c r="I67" i="26"/>
  <c r="D68" i="26"/>
  <c r="E68" i="26"/>
  <c r="F68" i="26"/>
  <c r="G68" i="26"/>
  <c r="H68" i="26"/>
  <c r="I68" i="26"/>
  <c r="D69" i="26"/>
  <c r="E69" i="26"/>
  <c r="F69" i="26"/>
  <c r="G69" i="26"/>
  <c r="H69" i="26"/>
  <c r="I69" i="26"/>
  <c r="D70" i="26"/>
  <c r="E70" i="26"/>
  <c r="F70" i="26"/>
  <c r="G70" i="26"/>
  <c r="H70" i="26"/>
  <c r="I70" i="26"/>
  <c r="D71" i="26"/>
  <c r="E71" i="26"/>
  <c r="F71" i="26"/>
  <c r="G71" i="26"/>
  <c r="H71" i="26"/>
  <c r="I71" i="26"/>
  <c r="D72" i="26"/>
  <c r="E72" i="26"/>
  <c r="F72" i="26"/>
  <c r="G72" i="26"/>
  <c r="H72" i="26"/>
  <c r="I72" i="26"/>
  <c r="D73" i="26"/>
  <c r="E73" i="26"/>
  <c r="F73" i="26"/>
  <c r="G73" i="26"/>
  <c r="H73" i="26"/>
  <c r="I73" i="26"/>
  <c r="D74" i="26"/>
  <c r="E74" i="26"/>
  <c r="F74" i="26"/>
  <c r="G74" i="26"/>
  <c r="H74" i="26"/>
  <c r="I74" i="26"/>
  <c r="D75" i="26"/>
  <c r="E75" i="26"/>
  <c r="F75" i="26"/>
  <c r="G75" i="26"/>
  <c r="H75" i="26"/>
  <c r="I75" i="26"/>
  <c r="D76" i="26"/>
  <c r="E76" i="26"/>
  <c r="F76" i="26"/>
  <c r="G76" i="26"/>
  <c r="H76" i="26"/>
  <c r="I76" i="26"/>
  <c r="D77" i="26"/>
  <c r="E77" i="26"/>
  <c r="F77" i="26"/>
  <c r="G77" i="26"/>
  <c r="H77" i="26"/>
  <c r="I77" i="26"/>
  <c r="D78" i="26"/>
  <c r="E78" i="26"/>
  <c r="F78" i="26"/>
  <c r="G78" i="26"/>
  <c r="H78" i="26"/>
  <c r="I78" i="26"/>
  <c r="D79" i="26"/>
  <c r="E79" i="26"/>
  <c r="F79" i="26"/>
  <c r="G79" i="26"/>
  <c r="H79" i="26"/>
  <c r="I79" i="26"/>
  <c r="D80" i="26"/>
  <c r="E80" i="26"/>
  <c r="F80" i="26"/>
  <c r="G80" i="26"/>
  <c r="H80" i="26"/>
  <c r="I80" i="26"/>
  <c r="D81" i="26"/>
  <c r="E81" i="26"/>
  <c r="F81" i="26"/>
  <c r="G81" i="26"/>
  <c r="H81" i="26"/>
  <c r="I81" i="26"/>
  <c r="D82" i="26"/>
  <c r="E82" i="26"/>
  <c r="F82" i="26"/>
  <c r="G82" i="26"/>
  <c r="H82" i="26"/>
  <c r="I82" i="26"/>
  <c r="D83" i="26"/>
  <c r="E83" i="26"/>
  <c r="F83" i="26"/>
  <c r="G83" i="26"/>
  <c r="H83" i="26"/>
  <c r="I83" i="26"/>
  <c r="D84" i="26"/>
  <c r="E84" i="26"/>
  <c r="F84" i="26"/>
  <c r="G84" i="26"/>
  <c r="H84" i="26"/>
  <c r="I84" i="26"/>
  <c r="D85" i="26"/>
  <c r="E85" i="26"/>
  <c r="F85" i="26"/>
  <c r="G85" i="26"/>
  <c r="H85" i="26"/>
  <c r="I85" i="26"/>
  <c r="B60" i="26"/>
  <c r="B141" i="26" s="1"/>
  <c r="B61" i="26"/>
  <c r="B142" i="26" s="1"/>
  <c r="B62" i="26"/>
  <c r="B143" i="26" s="1"/>
  <c r="B63" i="26"/>
  <c r="B144" i="26" s="1"/>
  <c r="B64" i="26"/>
  <c r="B145" i="26" s="1"/>
  <c r="B65" i="26"/>
  <c r="B146" i="26" s="1"/>
  <c r="B66" i="26"/>
  <c r="B147" i="26" s="1"/>
  <c r="B67" i="26"/>
  <c r="B148" i="26" s="1"/>
  <c r="B68" i="26"/>
  <c r="B149" i="26" s="1"/>
  <c r="B69" i="26"/>
  <c r="B150" i="26" s="1"/>
  <c r="B70" i="26"/>
  <c r="B151" i="26" s="1"/>
  <c r="B71" i="26"/>
  <c r="B152" i="26" s="1"/>
  <c r="B72" i="26"/>
  <c r="B153" i="26" s="1"/>
  <c r="B73" i="26"/>
  <c r="B154" i="26" s="1"/>
  <c r="B74" i="26"/>
  <c r="B155" i="26" s="1"/>
  <c r="B75" i="26"/>
  <c r="B156" i="26" s="1"/>
  <c r="B76" i="26"/>
  <c r="B157" i="26" s="1"/>
  <c r="B77" i="26"/>
  <c r="B158" i="26" s="1"/>
  <c r="B78" i="26"/>
  <c r="B159" i="26" s="1"/>
  <c r="B79" i="26"/>
  <c r="B160" i="26" s="1"/>
  <c r="B80" i="26"/>
  <c r="B161" i="26" s="1"/>
  <c r="B81" i="26"/>
  <c r="B162" i="26" s="1"/>
  <c r="B82" i="26"/>
  <c r="B163" i="26" s="1"/>
  <c r="B83" i="26"/>
  <c r="B245" i="26" s="1"/>
  <c r="B84" i="26"/>
  <c r="B165" i="26" s="1"/>
  <c r="B85" i="26"/>
  <c r="B166" i="26" s="1"/>
  <c r="C39" i="54"/>
  <c r="C135" i="21" l="1"/>
  <c r="C132" i="28"/>
  <c r="B327" i="26"/>
  <c r="B328" i="26"/>
  <c r="B319" i="26"/>
  <c r="B312" i="26"/>
  <c r="B311" i="26"/>
  <c r="B303" i="26"/>
  <c r="C184" i="40"/>
  <c r="C105" i="30"/>
  <c r="D10" i="37"/>
  <c r="D191" i="19"/>
  <c r="C46" i="18"/>
  <c r="D359" i="17"/>
  <c r="C149" i="15"/>
  <c r="C57" i="30"/>
  <c r="D119" i="19"/>
  <c r="D293" i="17"/>
  <c r="C43" i="30"/>
  <c r="D83" i="19"/>
  <c r="D236" i="17"/>
  <c r="C9" i="23"/>
  <c r="C235" i="16"/>
  <c r="C16" i="30"/>
  <c r="C178" i="16"/>
  <c r="D44" i="37"/>
  <c r="C24" i="31"/>
  <c r="C82" i="18"/>
  <c r="C171" i="40"/>
  <c r="C91" i="30"/>
  <c r="C26" i="29"/>
  <c r="D155" i="19"/>
  <c r="C10" i="18"/>
  <c r="D300" i="17"/>
  <c r="C117" i="15"/>
  <c r="C158" i="40"/>
  <c r="C27" i="28"/>
  <c r="C299" i="16"/>
  <c r="C102" i="15"/>
  <c r="C24" i="23"/>
  <c r="C292" i="16"/>
  <c r="C28" i="30"/>
  <c r="D47" i="19"/>
  <c r="C11" i="15"/>
  <c r="C30" i="21"/>
  <c r="D122" i="17"/>
  <c r="C118" i="18"/>
  <c r="D64" i="17"/>
  <c r="D229" i="19"/>
  <c r="C164" i="15"/>
  <c r="C142" i="40"/>
  <c r="C58" i="15"/>
  <c r="D179" i="17"/>
  <c r="C91" i="40"/>
  <c r="D11" i="19"/>
  <c r="C121" i="16"/>
  <c r="D26" i="37"/>
  <c r="C64" i="16"/>
  <c r="C116" i="40"/>
  <c r="D306" i="19"/>
  <c r="C10" i="40"/>
  <c r="B308" i="26"/>
  <c r="B323" i="26"/>
  <c r="B307" i="26"/>
  <c r="B320" i="26"/>
  <c r="B304" i="26"/>
  <c r="B324" i="26"/>
  <c r="C108" i="54"/>
  <c r="B316" i="26"/>
  <c r="B315" i="26"/>
  <c r="B326" i="26"/>
  <c r="B322" i="26"/>
  <c r="B318" i="26"/>
  <c r="B314" i="26"/>
  <c r="B310" i="26"/>
  <c r="B306" i="26"/>
  <c r="B325" i="26"/>
  <c r="B321" i="26"/>
  <c r="B317" i="26"/>
  <c r="B313" i="26"/>
  <c r="B309" i="26"/>
  <c r="B305" i="26"/>
  <c r="B164" i="26"/>
  <c r="B241" i="26"/>
  <c r="B237" i="26"/>
  <c r="B233" i="26"/>
  <c r="B229" i="26"/>
  <c r="B225" i="26"/>
  <c r="B244" i="26"/>
  <c r="B240" i="26"/>
  <c r="B236" i="26"/>
  <c r="B232" i="26"/>
  <c r="B228" i="26"/>
  <c r="B224" i="26"/>
  <c r="B247" i="26"/>
  <c r="B243" i="26"/>
  <c r="B239" i="26"/>
  <c r="B235" i="26"/>
  <c r="B231" i="26"/>
  <c r="B227" i="26"/>
  <c r="B223" i="26"/>
  <c r="B246" i="26"/>
  <c r="B242" i="26"/>
  <c r="B238" i="26"/>
  <c r="B234" i="26"/>
  <c r="B230" i="26"/>
  <c r="B226" i="26"/>
  <c r="B222" i="26"/>
  <c r="E92" i="55"/>
  <c r="E91" i="55"/>
  <c r="E106" i="55"/>
  <c r="E99" i="55"/>
  <c r="E104" i="55"/>
  <c r="E102" i="55"/>
  <c r="E100" i="55"/>
  <c r="E96" i="55"/>
  <c r="E98" i="55"/>
  <c r="E93" i="55"/>
  <c r="E97" i="55"/>
  <c r="E105" i="55"/>
  <c r="E103" i="55"/>
  <c r="E95" i="55"/>
  <c r="E101" i="55"/>
  <c r="E94" i="55"/>
  <c r="H133" i="28" l="1"/>
  <c r="E133" i="28"/>
  <c r="C133" i="28"/>
  <c r="D133" i="28"/>
  <c r="F133" i="28"/>
  <c r="G133" i="28"/>
  <c r="I133" i="28"/>
  <c r="H136" i="21"/>
  <c r="E136" i="21"/>
  <c r="C136" i="21"/>
  <c r="D136" i="21"/>
  <c r="F136" i="21"/>
  <c r="G136" i="21"/>
  <c r="I136" i="21"/>
  <c r="H64" i="42"/>
  <c r="D64" i="42"/>
  <c r="F64" i="42"/>
  <c r="E64" i="42"/>
  <c r="I64" i="42"/>
  <c r="G64" i="42"/>
  <c r="C64" i="42"/>
  <c r="H50" i="42"/>
  <c r="D50" i="42"/>
  <c r="F50" i="42"/>
  <c r="E50" i="42"/>
  <c r="I50" i="42"/>
  <c r="G50" i="42"/>
  <c r="C50" i="42"/>
  <c r="H30" i="42"/>
  <c r="C30" i="42"/>
  <c r="I30" i="42"/>
  <c r="G30" i="42"/>
  <c r="D30" i="42"/>
  <c r="E30" i="42"/>
  <c r="F30" i="42"/>
  <c r="H185" i="40"/>
  <c r="F185" i="40"/>
  <c r="E185" i="40"/>
  <c r="C185" i="40"/>
  <c r="D185" i="40"/>
  <c r="G185" i="40"/>
  <c r="I185" i="40"/>
  <c r="H172" i="40"/>
  <c r="F172" i="40"/>
  <c r="E172" i="40"/>
  <c r="C172" i="40"/>
  <c r="D172" i="40"/>
  <c r="G172" i="40"/>
  <c r="I172" i="40"/>
  <c r="H159" i="40"/>
  <c r="F159" i="40"/>
  <c r="E159" i="40"/>
  <c r="C159" i="40"/>
  <c r="D159" i="40"/>
  <c r="G159" i="40"/>
  <c r="I159" i="40"/>
  <c r="H143" i="40"/>
  <c r="F143" i="40"/>
  <c r="E143" i="40"/>
  <c r="C143" i="40"/>
  <c r="D143" i="40"/>
  <c r="G143" i="40"/>
  <c r="I143" i="40"/>
  <c r="H117" i="40"/>
  <c r="F117" i="40"/>
  <c r="E117" i="40"/>
  <c r="C117" i="40"/>
  <c r="D117" i="40"/>
  <c r="G117" i="40"/>
  <c r="I117" i="40"/>
  <c r="H92" i="40"/>
  <c r="F92" i="40"/>
  <c r="E92" i="40"/>
  <c r="C92" i="40"/>
  <c r="D92" i="40"/>
  <c r="G92" i="40"/>
  <c r="I92" i="40"/>
  <c r="H11" i="40"/>
  <c r="F11" i="40"/>
  <c r="E11" i="40"/>
  <c r="C11" i="40"/>
  <c r="D11" i="40"/>
  <c r="G11" i="40"/>
  <c r="I11" i="40"/>
  <c r="H27" i="34"/>
  <c r="F27" i="34"/>
  <c r="E27" i="34"/>
  <c r="C27" i="34"/>
  <c r="D27" i="34"/>
  <c r="G27" i="34"/>
  <c r="I27" i="34"/>
  <c r="H17" i="34"/>
  <c r="F17" i="34"/>
  <c r="E17" i="34"/>
  <c r="C17" i="34"/>
  <c r="D17" i="34"/>
  <c r="G17" i="34"/>
  <c r="I17" i="34"/>
  <c r="H10" i="34"/>
  <c r="F10" i="34"/>
  <c r="E10" i="34"/>
  <c r="C10" i="34"/>
  <c r="D10" i="34"/>
  <c r="G10" i="34"/>
  <c r="I10" i="34"/>
  <c r="H9" i="49"/>
  <c r="F9" i="49"/>
  <c r="E9" i="49"/>
  <c r="C9" i="49"/>
  <c r="D9" i="49"/>
  <c r="G9" i="49"/>
  <c r="I9" i="49"/>
  <c r="H253" i="26"/>
  <c r="F253" i="26"/>
  <c r="E253" i="26"/>
  <c r="C253" i="26"/>
  <c r="D253" i="26"/>
  <c r="G253" i="26"/>
  <c r="I253" i="26"/>
  <c r="H172" i="26"/>
  <c r="F172" i="26"/>
  <c r="E172" i="26"/>
  <c r="C172" i="26"/>
  <c r="D172" i="26"/>
  <c r="G172" i="26"/>
  <c r="I172" i="26"/>
  <c r="H91" i="26"/>
  <c r="F91" i="26"/>
  <c r="E91" i="26"/>
  <c r="C91" i="26"/>
  <c r="D91" i="26"/>
  <c r="G91" i="26"/>
  <c r="I91" i="26"/>
  <c r="H10" i="26"/>
  <c r="F10" i="26"/>
  <c r="E10" i="26"/>
  <c r="C10" i="26"/>
  <c r="D10" i="26"/>
  <c r="G10" i="26"/>
  <c r="I10" i="26"/>
  <c r="H9" i="42"/>
  <c r="F9" i="42"/>
  <c r="E9" i="42"/>
  <c r="C9" i="42"/>
  <c r="D9" i="42"/>
  <c r="G9" i="42"/>
  <c r="I9" i="42"/>
  <c r="I60" i="25"/>
  <c r="G60" i="25"/>
  <c r="F60" i="25"/>
  <c r="D60" i="25"/>
  <c r="E60" i="25"/>
  <c r="H60" i="25"/>
  <c r="J60" i="25"/>
  <c r="I10" i="25"/>
  <c r="G10" i="25"/>
  <c r="F10" i="25"/>
  <c r="D10" i="25"/>
  <c r="E10" i="25"/>
  <c r="H10" i="25"/>
  <c r="J10" i="25"/>
  <c r="H21" i="24"/>
  <c r="F21" i="24"/>
  <c r="E21" i="24"/>
  <c r="C21" i="24"/>
  <c r="D21" i="24"/>
  <c r="G21" i="24"/>
  <c r="I21" i="24"/>
  <c r="H10" i="24"/>
  <c r="F10" i="24"/>
  <c r="E10" i="24"/>
  <c r="C10" i="24"/>
  <c r="D10" i="24"/>
  <c r="G10" i="24"/>
  <c r="I10" i="24"/>
  <c r="H9" i="22"/>
  <c r="F9" i="22"/>
  <c r="E9" i="22"/>
  <c r="C9" i="22"/>
  <c r="D9" i="22"/>
  <c r="G9" i="22"/>
  <c r="I9" i="22"/>
  <c r="H25" i="31"/>
  <c r="F25" i="31"/>
  <c r="E25" i="31"/>
  <c r="C25" i="31"/>
  <c r="D25" i="31"/>
  <c r="G25" i="31"/>
  <c r="I25" i="31"/>
  <c r="H10" i="31"/>
  <c r="F10" i="31"/>
  <c r="E10" i="31"/>
  <c r="C10" i="31"/>
  <c r="D10" i="31"/>
  <c r="G10" i="31"/>
  <c r="I10" i="31"/>
  <c r="K106" i="30"/>
  <c r="I106" i="30"/>
  <c r="H106" i="30"/>
  <c r="F106" i="30"/>
  <c r="G106" i="30"/>
  <c r="J106" i="30"/>
  <c r="L106" i="30"/>
  <c r="K92" i="30"/>
  <c r="I92" i="30"/>
  <c r="H92" i="30"/>
  <c r="F92" i="30"/>
  <c r="G92" i="30"/>
  <c r="J92" i="30"/>
  <c r="L92" i="30"/>
  <c r="K58" i="30"/>
  <c r="I58" i="30"/>
  <c r="H58" i="30"/>
  <c r="F58" i="30"/>
  <c r="G58" i="30"/>
  <c r="J58" i="30"/>
  <c r="L58" i="30"/>
  <c r="K44" i="30"/>
  <c r="I44" i="30"/>
  <c r="H44" i="30"/>
  <c r="F44" i="30"/>
  <c r="G44" i="30"/>
  <c r="J44" i="30"/>
  <c r="L44" i="30"/>
  <c r="I29" i="30"/>
  <c r="H29" i="30"/>
  <c r="F29" i="30"/>
  <c r="G29" i="30"/>
  <c r="K29" i="30"/>
  <c r="J29" i="30"/>
  <c r="L29" i="30"/>
  <c r="K17" i="30"/>
  <c r="I17" i="30"/>
  <c r="H17" i="30"/>
  <c r="F17" i="30"/>
  <c r="G17" i="30"/>
  <c r="J17" i="30"/>
  <c r="L17" i="30"/>
  <c r="I45" i="37"/>
  <c r="G45" i="37"/>
  <c r="F45" i="37"/>
  <c r="D45" i="37"/>
  <c r="E45" i="37"/>
  <c r="H45" i="37"/>
  <c r="J45" i="37"/>
  <c r="I27" i="37"/>
  <c r="G27" i="37"/>
  <c r="F27" i="37"/>
  <c r="D27" i="37"/>
  <c r="E27" i="37"/>
  <c r="H27" i="37"/>
  <c r="J27" i="37"/>
  <c r="I11" i="37"/>
  <c r="G11" i="37"/>
  <c r="F11" i="37"/>
  <c r="D11" i="37"/>
  <c r="E11" i="37"/>
  <c r="H11" i="37"/>
  <c r="J11" i="37"/>
  <c r="H27" i="29"/>
  <c r="F27" i="29"/>
  <c r="E27" i="29"/>
  <c r="C27" i="29"/>
  <c r="D27" i="29"/>
  <c r="G27" i="29"/>
  <c r="I27" i="29"/>
  <c r="H28" i="28"/>
  <c r="F28" i="28"/>
  <c r="E28" i="28"/>
  <c r="C28" i="28"/>
  <c r="D28" i="28"/>
  <c r="G28" i="28"/>
  <c r="I28" i="28"/>
  <c r="H25" i="23"/>
  <c r="F25" i="23"/>
  <c r="E25" i="23"/>
  <c r="C25" i="23"/>
  <c r="D25" i="23"/>
  <c r="G25" i="23"/>
  <c r="I25" i="23"/>
  <c r="H10" i="23"/>
  <c r="F10" i="23"/>
  <c r="E10" i="23"/>
  <c r="C10" i="23"/>
  <c r="D10" i="23"/>
  <c r="G10" i="23"/>
  <c r="I10" i="23"/>
  <c r="H31" i="21"/>
  <c r="F31" i="21"/>
  <c r="E31" i="21"/>
  <c r="C31" i="21"/>
  <c r="D31" i="21"/>
  <c r="G31" i="21"/>
  <c r="I31" i="21"/>
  <c r="I319" i="19"/>
  <c r="G319" i="19"/>
  <c r="F319" i="19"/>
  <c r="D319" i="19"/>
  <c r="E319" i="19"/>
  <c r="H319" i="19"/>
  <c r="J319" i="19"/>
  <c r="I307" i="19"/>
  <c r="G307" i="19"/>
  <c r="F307" i="19"/>
  <c r="D307" i="19"/>
  <c r="E307" i="19"/>
  <c r="H307" i="19"/>
  <c r="J307" i="19"/>
  <c r="I275" i="19"/>
  <c r="G275" i="19"/>
  <c r="F275" i="19"/>
  <c r="D275" i="19"/>
  <c r="E275" i="19"/>
  <c r="H275" i="19"/>
  <c r="J275" i="19"/>
  <c r="I263" i="19"/>
  <c r="G263" i="19"/>
  <c r="F263" i="19"/>
  <c r="D263" i="19"/>
  <c r="E263" i="19"/>
  <c r="H263" i="19"/>
  <c r="J263" i="19"/>
  <c r="I230" i="19"/>
  <c r="G230" i="19"/>
  <c r="F230" i="19"/>
  <c r="D230" i="19"/>
  <c r="E230" i="19"/>
  <c r="H230" i="19"/>
  <c r="J230" i="19"/>
  <c r="I192" i="19"/>
  <c r="G192" i="19"/>
  <c r="F192" i="19"/>
  <c r="D192" i="19"/>
  <c r="E192" i="19"/>
  <c r="H192" i="19"/>
  <c r="J192" i="19"/>
  <c r="I156" i="19"/>
  <c r="G156" i="19"/>
  <c r="F156" i="19"/>
  <c r="D156" i="19"/>
  <c r="E156" i="19"/>
  <c r="H156" i="19"/>
  <c r="J156" i="19"/>
  <c r="I120" i="19"/>
  <c r="G120" i="19"/>
  <c r="F120" i="19"/>
  <c r="D120" i="19"/>
  <c r="E120" i="19"/>
  <c r="H120" i="19"/>
  <c r="J120" i="19"/>
  <c r="I84" i="19"/>
  <c r="G84" i="19"/>
  <c r="F84" i="19"/>
  <c r="D84" i="19"/>
  <c r="E84" i="19"/>
  <c r="H84" i="19"/>
  <c r="J84" i="19"/>
  <c r="I48" i="19"/>
  <c r="G48" i="19"/>
  <c r="F48" i="19"/>
  <c r="D48" i="19"/>
  <c r="E48" i="19"/>
  <c r="H48" i="19"/>
  <c r="J48" i="19"/>
  <c r="I12" i="19"/>
  <c r="G12" i="19"/>
  <c r="F12" i="19"/>
  <c r="D12" i="19"/>
  <c r="E12" i="19"/>
  <c r="H12" i="19"/>
  <c r="J12" i="19"/>
  <c r="H11" i="18"/>
  <c r="F11" i="18"/>
  <c r="E11" i="18"/>
  <c r="C11" i="18"/>
  <c r="D11" i="18"/>
  <c r="G11" i="18"/>
  <c r="I11" i="18"/>
  <c r="H47" i="18"/>
  <c r="F47" i="18"/>
  <c r="E47" i="18"/>
  <c r="C47" i="18"/>
  <c r="D47" i="18"/>
  <c r="G47" i="18"/>
  <c r="I47" i="18"/>
  <c r="H83" i="18"/>
  <c r="F83" i="18"/>
  <c r="E83" i="18"/>
  <c r="C83" i="18"/>
  <c r="D83" i="18"/>
  <c r="G83" i="18"/>
  <c r="I83" i="18"/>
  <c r="H119" i="18"/>
  <c r="F119" i="18"/>
  <c r="E119" i="18"/>
  <c r="C119" i="18"/>
  <c r="D119" i="18"/>
  <c r="G119" i="18"/>
  <c r="I119" i="18"/>
  <c r="H157" i="18"/>
  <c r="F157" i="18"/>
  <c r="E157" i="18"/>
  <c r="C157" i="18"/>
  <c r="D157" i="18"/>
  <c r="G157" i="18"/>
  <c r="I157" i="18"/>
  <c r="H167" i="18"/>
  <c r="F167" i="18"/>
  <c r="E167" i="18"/>
  <c r="C167" i="18"/>
  <c r="D167" i="18"/>
  <c r="G167" i="18"/>
  <c r="I167" i="18"/>
  <c r="H184" i="18"/>
  <c r="F184" i="18"/>
  <c r="E184" i="18"/>
  <c r="C184" i="18"/>
  <c r="D184" i="18"/>
  <c r="G184" i="18"/>
  <c r="I184" i="18"/>
  <c r="H194" i="18"/>
  <c r="F194" i="18"/>
  <c r="E194" i="18"/>
  <c r="C194" i="18"/>
  <c r="D194" i="18"/>
  <c r="G194" i="18"/>
  <c r="I194" i="18"/>
  <c r="H204" i="18"/>
  <c r="F204" i="18"/>
  <c r="E204" i="18"/>
  <c r="C204" i="18"/>
  <c r="D204" i="18"/>
  <c r="G204" i="18"/>
  <c r="I204" i="18"/>
  <c r="H645" i="16"/>
  <c r="F645" i="16"/>
  <c r="E645" i="16"/>
  <c r="C645" i="16"/>
  <c r="D645" i="16"/>
  <c r="G645" i="16"/>
  <c r="I645" i="16"/>
  <c r="H588" i="16"/>
  <c r="F588" i="16"/>
  <c r="E588" i="16"/>
  <c r="C588" i="16"/>
  <c r="D588" i="16"/>
  <c r="G588" i="16"/>
  <c r="I588" i="16"/>
  <c r="H531" i="16"/>
  <c r="F531" i="16"/>
  <c r="E531" i="16"/>
  <c r="C531" i="16"/>
  <c r="D531" i="16"/>
  <c r="G531" i="16"/>
  <c r="I531" i="16"/>
  <c r="H474" i="16"/>
  <c r="F474" i="16"/>
  <c r="E474" i="16"/>
  <c r="C474" i="16"/>
  <c r="D474" i="16"/>
  <c r="G474" i="16"/>
  <c r="I474" i="16"/>
  <c r="H417" i="16"/>
  <c r="F417" i="16"/>
  <c r="E417" i="16"/>
  <c r="C417" i="16"/>
  <c r="D417" i="16"/>
  <c r="G417" i="16"/>
  <c r="I417" i="16"/>
  <c r="H360" i="16"/>
  <c r="F360" i="16"/>
  <c r="E360" i="16"/>
  <c r="C360" i="16"/>
  <c r="D360" i="16"/>
  <c r="G360" i="16"/>
  <c r="I360" i="16"/>
  <c r="H300" i="16"/>
  <c r="F300" i="16"/>
  <c r="E300" i="16"/>
  <c r="C300" i="16"/>
  <c r="D300" i="16"/>
  <c r="G300" i="16"/>
  <c r="I300" i="16"/>
  <c r="H293" i="16"/>
  <c r="F293" i="16"/>
  <c r="E293" i="16"/>
  <c r="C293" i="16"/>
  <c r="D293" i="16"/>
  <c r="G293" i="16"/>
  <c r="I293" i="16"/>
  <c r="H236" i="16"/>
  <c r="F236" i="16"/>
  <c r="E236" i="16"/>
  <c r="C236" i="16"/>
  <c r="D236" i="16"/>
  <c r="G236" i="16"/>
  <c r="I236" i="16"/>
  <c r="H179" i="16"/>
  <c r="F179" i="16"/>
  <c r="E179" i="16"/>
  <c r="C179" i="16"/>
  <c r="D179" i="16"/>
  <c r="G179" i="16"/>
  <c r="I179" i="16"/>
  <c r="H122" i="16"/>
  <c r="F122" i="16"/>
  <c r="E122" i="16"/>
  <c r="C122" i="16"/>
  <c r="D122" i="16"/>
  <c r="G122" i="16"/>
  <c r="I122" i="16"/>
  <c r="H65" i="16"/>
  <c r="F65" i="16"/>
  <c r="E65" i="16"/>
  <c r="C65" i="16"/>
  <c r="D65" i="16"/>
  <c r="G65" i="16"/>
  <c r="I65" i="16"/>
  <c r="I722" i="17"/>
  <c r="G722" i="17"/>
  <c r="F722" i="17"/>
  <c r="D722" i="17"/>
  <c r="E722" i="17"/>
  <c r="H722" i="17"/>
  <c r="J722" i="17"/>
  <c r="I393" i="17"/>
  <c r="G393" i="17"/>
  <c r="F393" i="17"/>
  <c r="D393" i="17"/>
  <c r="E393" i="17"/>
  <c r="H393" i="17"/>
  <c r="J393" i="17"/>
  <c r="I360" i="17"/>
  <c r="G360" i="17"/>
  <c r="F360" i="17"/>
  <c r="D360" i="17"/>
  <c r="E360" i="17"/>
  <c r="H360" i="17"/>
  <c r="J360" i="17"/>
  <c r="I301" i="17"/>
  <c r="G301" i="17"/>
  <c r="F301" i="17"/>
  <c r="D301" i="17"/>
  <c r="E301" i="17"/>
  <c r="H301" i="17"/>
  <c r="J301" i="17"/>
  <c r="I294" i="17"/>
  <c r="G294" i="17"/>
  <c r="F294" i="17"/>
  <c r="D294" i="17"/>
  <c r="E294" i="17"/>
  <c r="H294" i="17"/>
  <c r="J294" i="17"/>
  <c r="I237" i="17"/>
  <c r="G237" i="17"/>
  <c r="F237" i="17"/>
  <c r="D237" i="17"/>
  <c r="E237" i="17"/>
  <c r="H237" i="17"/>
  <c r="J237" i="17"/>
  <c r="I180" i="17"/>
  <c r="G180" i="17"/>
  <c r="F180" i="17"/>
  <c r="D180" i="17"/>
  <c r="E180" i="17"/>
  <c r="H180" i="17"/>
  <c r="J180" i="17"/>
  <c r="I123" i="17"/>
  <c r="G123" i="17"/>
  <c r="F123" i="17"/>
  <c r="D123" i="17"/>
  <c r="E123" i="17"/>
  <c r="H123" i="17"/>
  <c r="J123" i="17"/>
  <c r="I65" i="17"/>
  <c r="G65" i="17"/>
  <c r="F65" i="17"/>
  <c r="D65" i="17"/>
  <c r="E65" i="17"/>
  <c r="H65" i="17"/>
  <c r="J65" i="17"/>
  <c r="H165" i="15"/>
  <c r="F165" i="15"/>
  <c r="E165" i="15"/>
  <c r="C165" i="15"/>
  <c r="D165" i="15"/>
  <c r="G165" i="15"/>
  <c r="I165" i="15"/>
  <c r="H150" i="15"/>
  <c r="F150" i="15"/>
  <c r="E150" i="15"/>
  <c r="C150" i="15"/>
  <c r="D150" i="15"/>
  <c r="G150" i="15"/>
  <c r="I150" i="15"/>
  <c r="H118" i="15"/>
  <c r="F118" i="15"/>
  <c r="E118" i="15"/>
  <c r="C118" i="15"/>
  <c r="D118" i="15"/>
  <c r="G118" i="15"/>
  <c r="I118" i="15"/>
  <c r="H103" i="15"/>
  <c r="F103" i="15"/>
  <c r="E103" i="15"/>
  <c r="C103" i="15"/>
  <c r="D103" i="15"/>
  <c r="G103" i="15"/>
  <c r="I103" i="15"/>
  <c r="H59" i="15"/>
  <c r="F59" i="15"/>
  <c r="E59" i="15"/>
  <c r="C59" i="15"/>
  <c r="D59" i="15"/>
  <c r="G59" i="15"/>
  <c r="I59" i="15"/>
  <c r="I12" i="15"/>
  <c r="H12" i="15"/>
  <c r="G12" i="15"/>
  <c r="F12" i="15"/>
  <c r="E12" i="15"/>
  <c r="D12" i="15"/>
  <c r="C12" i="15"/>
  <c r="C61" i="54"/>
  <c r="C189" i="15"/>
  <c r="D189" i="15"/>
  <c r="E189" i="15"/>
  <c r="F189" i="15"/>
  <c r="G189" i="15"/>
  <c r="H189" i="15"/>
  <c r="I189" i="15"/>
  <c r="C52" i="15"/>
  <c r="V3" i="56" l="1"/>
  <c r="B1" i="38"/>
  <c r="B1" i="49" l="1"/>
  <c r="G53" i="30" l="1"/>
  <c r="H53" i="30"/>
  <c r="I53" i="30"/>
  <c r="J53" i="30"/>
  <c r="K53" i="30"/>
  <c r="L53" i="30"/>
  <c r="F53" i="30"/>
  <c r="G132" i="30"/>
  <c r="H132" i="30"/>
  <c r="I132" i="30"/>
  <c r="J132" i="30"/>
  <c r="K132" i="30"/>
  <c r="L132" i="30"/>
  <c r="F132" i="30"/>
  <c r="G101" i="30"/>
  <c r="H101" i="30"/>
  <c r="I101" i="30"/>
  <c r="J101" i="30"/>
  <c r="K101" i="30"/>
  <c r="L101" i="30"/>
  <c r="F101" i="30"/>
  <c r="C14" i="24" l="1"/>
  <c r="D14" i="24"/>
  <c r="E14" i="24"/>
  <c r="F14" i="24"/>
  <c r="G14" i="24"/>
  <c r="H14" i="24"/>
  <c r="I14" i="24"/>
  <c r="D50" i="26" l="1"/>
  <c r="E50" i="26"/>
  <c r="F50" i="26"/>
  <c r="G50" i="26"/>
  <c r="H50" i="26"/>
  <c r="I50" i="26"/>
  <c r="D51" i="26"/>
  <c r="E51" i="26"/>
  <c r="F51" i="26"/>
  <c r="G51" i="26"/>
  <c r="H51" i="26"/>
  <c r="I51" i="26"/>
  <c r="D52" i="26"/>
  <c r="E52" i="26"/>
  <c r="F52" i="26"/>
  <c r="G52" i="26"/>
  <c r="H52" i="26"/>
  <c r="I52" i="26"/>
  <c r="B32" i="31"/>
  <c r="B31" i="31"/>
  <c r="B30" i="31"/>
  <c r="B29" i="31"/>
  <c r="B28" i="31"/>
  <c r="B27" i="31"/>
  <c r="B26" i="31"/>
  <c r="D96" i="15"/>
  <c r="E96" i="15"/>
  <c r="F96" i="15"/>
  <c r="G96" i="15"/>
  <c r="H96" i="15"/>
  <c r="I96" i="15"/>
  <c r="C96" i="15"/>
  <c r="D68" i="15"/>
  <c r="E68" i="15"/>
  <c r="F68" i="15"/>
  <c r="G68" i="15"/>
  <c r="H68" i="15"/>
  <c r="I68" i="15"/>
  <c r="C68" i="15"/>
  <c r="B1" i="40" l="1"/>
  <c r="B1" i="34"/>
  <c r="B1" i="26"/>
  <c r="B1" i="42"/>
  <c r="B1" i="25"/>
  <c r="B1" i="24"/>
  <c r="B1" i="22"/>
  <c r="B1" i="31"/>
  <c r="B1" i="30"/>
  <c r="B1" i="37"/>
  <c r="B1" i="29"/>
  <c r="B1" i="28"/>
  <c r="B1" i="23"/>
  <c r="B1" i="21"/>
  <c r="B1" i="19"/>
  <c r="B1" i="18"/>
  <c r="B1" i="16"/>
  <c r="B1" i="17"/>
  <c r="B1" i="15"/>
  <c r="B108" i="30" l="1"/>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07" i="30"/>
  <c r="I128" i="21" l="1"/>
  <c r="H128" i="21"/>
  <c r="G128" i="21"/>
  <c r="F128" i="21"/>
  <c r="E128" i="21"/>
  <c r="D128" i="21"/>
  <c r="C128" i="21"/>
  <c r="I109" i="21"/>
  <c r="H109" i="21"/>
  <c r="G109" i="21"/>
  <c r="F109" i="21"/>
  <c r="E109" i="21"/>
  <c r="D109" i="21"/>
  <c r="C109" i="21"/>
  <c r="I105" i="21"/>
  <c r="H105" i="21"/>
  <c r="G105" i="21"/>
  <c r="F105" i="21"/>
  <c r="E105" i="21"/>
  <c r="D105" i="21"/>
  <c r="C105" i="21"/>
  <c r="I67" i="21"/>
  <c r="H67" i="21"/>
  <c r="G67" i="21"/>
  <c r="F67" i="21"/>
  <c r="E67" i="21"/>
  <c r="D67" i="21"/>
  <c r="C67" i="21"/>
  <c r="D48" i="21"/>
  <c r="E48" i="21"/>
  <c r="F48" i="21"/>
  <c r="G48" i="21"/>
  <c r="H48" i="21"/>
  <c r="I48" i="21"/>
  <c r="C48" i="21"/>
  <c r="C113" i="15"/>
  <c r="D113" i="15"/>
  <c r="E113" i="15"/>
  <c r="F113" i="15"/>
  <c r="G113" i="15"/>
  <c r="H113" i="15"/>
  <c r="I113" i="15"/>
  <c r="E159" i="15"/>
  <c r="F159" i="15"/>
  <c r="G159" i="15"/>
  <c r="H159" i="15"/>
  <c r="I159" i="15"/>
  <c r="C159" i="15"/>
  <c r="D159" i="15"/>
  <c r="D179" i="40"/>
  <c r="E179" i="40"/>
  <c r="F179" i="40"/>
  <c r="G179" i="40"/>
  <c r="H179" i="40"/>
  <c r="I179" i="40"/>
  <c r="C179" i="40"/>
  <c r="D166" i="40"/>
  <c r="E166" i="40"/>
  <c r="F166" i="40"/>
  <c r="G166" i="40"/>
  <c r="H166" i="40"/>
  <c r="I166" i="40"/>
  <c r="C166" i="40"/>
  <c r="I329" i="26"/>
  <c r="H329" i="26"/>
  <c r="G329" i="26"/>
  <c r="F329" i="26"/>
  <c r="E329" i="26"/>
  <c r="D329" i="26"/>
  <c r="C329" i="26"/>
  <c r="I248" i="26"/>
  <c r="H248" i="26"/>
  <c r="G248" i="26"/>
  <c r="F248" i="26"/>
  <c r="E248" i="26"/>
  <c r="D248" i="26"/>
  <c r="C248" i="26"/>
  <c r="I167" i="26"/>
  <c r="H167" i="26"/>
  <c r="G167" i="26"/>
  <c r="F167" i="26"/>
  <c r="E167" i="26"/>
  <c r="D167" i="26"/>
  <c r="C167" i="26"/>
  <c r="C86" i="26"/>
  <c r="C140" i="21" l="1"/>
  <c r="D140" i="21"/>
  <c r="E140" i="21"/>
  <c r="F140" i="21"/>
  <c r="G140" i="21"/>
  <c r="H140" i="21"/>
  <c r="I140" i="21"/>
  <c r="B3" i="49"/>
  <c r="B3" i="40"/>
  <c r="B3" i="25"/>
  <c r="B3" i="29"/>
  <c r="B3" i="23"/>
  <c r="B3" i="16"/>
  <c r="B3" i="38"/>
  <c r="B3" i="42"/>
  <c r="B3" i="22"/>
  <c r="B3" i="37"/>
  <c r="B3" i="18"/>
  <c r="B3" i="26"/>
  <c r="B3" i="30"/>
  <c r="B3" i="28"/>
  <c r="B3" i="19"/>
  <c r="B3" i="15"/>
  <c r="B3" i="34"/>
  <c r="B3" i="24"/>
  <c r="B3" i="31"/>
  <c r="B3" i="21"/>
  <c r="B3" i="17"/>
  <c r="I117" i="16"/>
  <c r="H117" i="16"/>
  <c r="G117" i="16"/>
  <c r="F117" i="16"/>
  <c r="E117" i="16"/>
  <c r="D117" i="16"/>
  <c r="C117" i="16"/>
  <c r="I174" i="16"/>
  <c r="H174" i="16"/>
  <c r="G174" i="16"/>
  <c r="F174" i="16"/>
  <c r="E174" i="16"/>
  <c r="D174" i="16"/>
  <c r="C174" i="16"/>
  <c r="I231" i="16"/>
  <c r="H231" i="16"/>
  <c r="G231" i="16"/>
  <c r="F231" i="16"/>
  <c r="E231" i="16"/>
  <c r="D231" i="16"/>
  <c r="C231" i="16"/>
  <c r="I288" i="16"/>
  <c r="H288" i="16"/>
  <c r="G288" i="16"/>
  <c r="F288" i="16"/>
  <c r="E288" i="16"/>
  <c r="D288" i="16"/>
  <c r="C288" i="16"/>
  <c r="I295" i="16"/>
  <c r="H295" i="16"/>
  <c r="G295" i="16"/>
  <c r="F295" i="16"/>
  <c r="E295" i="16"/>
  <c r="D295" i="16"/>
  <c r="C295" i="16"/>
  <c r="B695" i="16"/>
  <c r="B694" i="16"/>
  <c r="B693" i="16"/>
  <c r="B692" i="16"/>
  <c r="B691" i="16"/>
  <c r="B690" i="16"/>
  <c r="B689" i="16"/>
  <c r="B688" i="16"/>
  <c r="B687" i="16"/>
  <c r="B686" i="16"/>
  <c r="B685" i="16"/>
  <c r="B684" i="16"/>
  <c r="B683" i="16"/>
  <c r="B682" i="16"/>
  <c r="B681" i="16"/>
  <c r="B680" i="16"/>
  <c r="B679" i="16"/>
  <c r="B678" i="16"/>
  <c r="B677" i="16"/>
  <c r="B676" i="16"/>
  <c r="B675" i="16"/>
  <c r="B674" i="16"/>
  <c r="B673" i="16"/>
  <c r="B672" i="16"/>
  <c r="B671" i="16"/>
  <c r="B670" i="16"/>
  <c r="B669" i="16"/>
  <c r="B668" i="16"/>
  <c r="B667" i="16"/>
  <c r="B666" i="16"/>
  <c r="B665" i="16"/>
  <c r="B664" i="16"/>
  <c r="B663" i="16"/>
  <c r="B662" i="16"/>
  <c r="B661" i="16"/>
  <c r="B660" i="16"/>
  <c r="B659" i="16"/>
  <c r="B658" i="16"/>
  <c r="B657" i="16"/>
  <c r="B656" i="16"/>
  <c r="B655" i="16"/>
  <c r="B654" i="16"/>
  <c r="B653" i="16"/>
  <c r="B652" i="16"/>
  <c r="B651" i="16"/>
  <c r="B650" i="16"/>
  <c r="B649" i="16"/>
  <c r="B648" i="16"/>
  <c r="B647" i="16"/>
  <c r="B646" i="16"/>
  <c r="B638" i="16"/>
  <c r="B637" i="16"/>
  <c r="B636" i="16"/>
  <c r="B635" i="16"/>
  <c r="B634" i="16"/>
  <c r="B633" i="16"/>
  <c r="B632" i="16"/>
  <c r="B631" i="16"/>
  <c r="B630" i="16"/>
  <c r="B629" i="16"/>
  <c r="B628" i="16"/>
  <c r="B627" i="16"/>
  <c r="B626" i="16"/>
  <c r="B625" i="16"/>
  <c r="B624" i="16"/>
  <c r="B623" i="16"/>
  <c r="B622" i="16"/>
  <c r="B621" i="16"/>
  <c r="B620" i="16"/>
  <c r="B619" i="16"/>
  <c r="B618" i="16"/>
  <c r="B617" i="16"/>
  <c r="B616" i="16"/>
  <c r="B615" i="16"/>
  <c r="B614" i="16"/>
  <c r="B613" i="16"/>
  <c r="B612" i="16"/>
  <c r="B611" i="16"/>
  <c r="B610" i="16"/>
  <c r="B609" i="16"/>
  <c r="B608" i="16"/>
  <c r="B607" i="16"/>
  <c r="B606" i="16"/>
  <c r="B605" i="16"/>
  <c r="B604" i="16"/>
  <c r="B603" i="16"/>
  <c r="B602" i="16"/>
  <c r="B601" i="16"/>
  <c r="B600" i="16"/>
  <c r="B599" i="16"/>
  <c r="B598" i="16"/>
  <c r="B597" i="16"/>
  <c r="B596" i="16"/>
  <c r="B595" i="16"/>
  <c r="B594" i="16"/>
  <c r="B593" i="16"/>
  <c r="B592" i="16"/>
  <c r="B591" i="16"/>
  <c r="B590" i="16"/>
  <c r="B589" i="16"/>
  <c r="B581" i="16"/>
  <c r="B580" i="16"/>
  <c r="B579" i="16"/>
  <c r="B578" i="16"/>
  <c r="B577" i="16"/>
  <c r="B576" i="16"/>
  <c r="B575" i="16"/>
  <c r="B574" i="16"/>
  <c r="B573" i="16"/>
  <c r="B572" i="16"/>
  <c r="B571" i="16"/>
  <c r="B570" i="16"/>
  <c r="B569" i="16"/>
  <c r="B568" i="16"/>
  <c r="B567" i="16"/>
  <c r="B566" i="16"/>
  <c r="B565" i="16"/>
  <c r="B564" i="16"/>
  <c r="B563" i="16"/>
  <c r="B562" i="16"/>
  <c r="B561" i="16"/>
  <c r="B560" i="16"/>
  <c r="B559" i="16"/>
  <c r="B558" i="16"/>
  <c r="B557" i="16"/>
  <c r="B556" i="16"/>
  <c r="B555" i="16"/>
  <c r="B554" i="16"/>
  <c r="B553" i="16"/>
  <c r="B552" i="16"/>
  <c r="B551" i="16"/>
  <c r="B550" i="16"/>
  <c r="B549" i="16"/>
  <c r="B548" i="16"/>
  <c r="B547" i="16"/>
  <c r="B546" i="16"/>
  <c r="B545" i="16"/>
  <c r="B544" i="16"/>
  <c r="B543" i="16"/>
  <c r="B542" i="16"/>
  <c r="B541" i="16"/>
  <c r="B540" i="16"/>
  <c r="B539" i="16"/>
  <c r="B538" i="16"/>
  <c r="B537" i="16"/>
  <c r="B536" i="16"/>
  <c r="B535" i="16"/>
  <c r="B534" i="16"/>
  <c r="B533" i="16"/>
  <c r="B532" i="16"/>
  <c r="B524" i="16"/>
  <c r="B523" i="16"/>
  <c r="B522" i="16"/>
  <c r="B521" i="16"/>
  <c r="B520" i="16"/>
  <c r="B519" i="16"/>
  <c r="B518" i="16"/>
  <c r="B517" i="16"/>
  <c r="B516" i="16"/>
  <c r="B515" i="16"/>
  <c r="B514" i="16"/>
  <c r="B513" i="16"/>
  <c r="B512" i="16"/>
  <c r="B511" i="16"/>
  <c r="B510" i="16"/>
  <c r="B509" i="16"/>
  <c r="B508" i="16"/>
  <c r="B507" i="16"/>
  <c r="B506" i="16"/>
  <c r="B505" i="16"/>
  <c r="B504" i="16"/>
  <c r="B503" i="16"/>
  <c r="B502" i="16"/>
  <c r="B501" i="16"/>
  <c r="B500" i="16"/>
  <c r="B499" i="16"/>
  <c r="B498" i="16"/>
  <c r="B497" i="16"/>
  <c r="B496" i="16"/>
  <c r="B495" i="16"/>
  <c r="B494" i="16"/>
  <c r="B493" i="16"/>
  <c r="B492" i="16"/>
  <c r="B491" i="16"/>
  <c r="B490" i="16"/>
  <c r="B489" i="16"/>
  <c r="B488" i="16"/>
  <c r="B487" i="16"/>
  <c r="B486" i="16"/>
  <c r="B485" i="16"/>
  <c r="B484" i="16"/>
  <c r="B483" i="16"/>
  <c r="B482" i="16"/>
  <c r="B481" i="16"/>
  <c r="B480" i="16"/>
  <c r="B479" i="16"/>
  <c r="B478" i="16"/>
  <c r="B477" i="16"/>
  <c r="B476" i="16"/>
  <c r="B475" i="16"/>
  <c r="B467" i="16"/>
  <c r="B466" i="16"/>
  <c r="B465" i="16"/>
  <c r="B464" i="16"/>
  <c r="B463" i="16"/>
  <c r="B462" i="16"/>
  <c r="B461" i="16"/>
  <c r="B460" i="16"/>
  <c r="B459" i="16"/>
  <c r="B458" i="16"/>
  <c r="B457" i="16"/>
  <c r="B456" i="16"/>
  <c r="B455" i="16"/>
  <c r="B454" i="16"/>
  <c r="B453" i="16"/>
  <c r="B452" i="16"/>
  <c r="B451" i="16"/>
  <c r="B450" i="16"/>
  <c r="B449" i="16"/>
  <c r="B448" i="16"/>
  <c r="B447" i="16"/>
  <c r="B446" i="16"/>
  <c r="B445" i="16"/>
  <c r="B444" i="16"/>
  <c r="B443" i="16"/>
  <c r="B442" i="16"/>
  <c r="B441" i="16"/>
  <c r="B440" i="16"/>
  <c r="B439" i="16"/>
  <c r="B438" i="16"/>
  <c r="B437" i="16"/>
  <c r="B436" i="16"/>
  <c r="B435" i="16"/>
  <c r="B434" i="16"/>
  <c r="B433" i="16"/>
  <c r="B432" i="16"/>
  <c r="B431" i="16"/>
  <c r="B430" i="16"/>
  <c r="B429" i="16"/>
  <c r="B428" i="16"/>
  <c r="B427" i="16"/>
  <c r="B426" i="16"/>
  <c r="B425" i="16"/>
  <c r="B424" i="16"/>
  <c r="B423" i="16"/>
  <c r="B422" i="16"/>
  <c r="B421" i="16"/>
  <c r="B420" i="16"/>
  <c r="B419" i="16"/>
  <c r="B418" i="16"/>
  <c r="B410" i="16"/>
  <c r="B409" i="16"/>
  <c r="B408" i="16"/>
  <c r="B407" i="16"/>
  <c r="B406" i="16"/>
  <c r="B405" i="16"/>
  <c r="B404" i="16"/>
  <c r="B403" i="16"/>
  <c r="B402" i="16"/>
  <c r="B401" i="16"/>
  <c r="B400" i="16"/>
  <c r="B399" i="16"/>
  <c r="B398" i="16"/>
  <c r="B397" i="16"/>
  <c r="B396" i="16"/>
  <c r="B395" i="16"/>
  <c r="B394" i="16"/>
  <c r="B393" i="16"/>
  <c r="B392" i="16"/>
  <c r="B391" i="16"/>
  <c r="B390" i="16"/>
  <c r="B389" i="16"/>
  <c r="B388" i="16"/>
  <c r="B387" i="16"/>
  <c r="B386" i="16"/>
  <c r="B385" i="16"/>
  <c r="B384" i="16"/>
  <c r="B383" i="16"/>
  <c r="B382" i="16"/>
  <c r="B381" i="16"/>
  <c r="B380" i="16"/>
  <c r="B379" i="16"/>
  <c r="B378" i="16"/>
  <c r="B377" i="16"/>
  <c r="B376" i="16"/>
  <c r="B375" i="16"/>
  <c r="B374" i="16"/>
  <c r="B373" i="16"/>
  <c r="B372" i="16"/>
  <c r="B371" i="16"/>
  <c r="B370" i="16"/>
  <c r="B369" i="16"/>
  <c r="B368" i="16"/>
  <c r="B367" i="16"/>
  <c r="B366" i="16"/>
  <c r="B365" i="16"/>
  <c r="B364" i="16"/>
  <c r="B363" i="16"/>
  <c r="B362" i="16"/>
  <c r="B361" i="16"/>
  <c r="B119" i="40" l="1"/>
  <c r="B120" i="40"/>
  <c r="B121" i="40"/>
  <c r="B122" i="40"/>
  <c r="B123" i="40"/>
  <c r="B124" i="40"/>
  <c r="B125" i="40"/>
  <c r="B126" i="40"/>
  <c r="B127" i="40"/>
  <c r="B128" i="40"/>
  <c r="B129" i="40"/>
  <c r="B130" i="40"/>
  <c r="B131" i="40"/>
  <c r="B132" i="40"/>
  <c r="B133" i="40"/>
  <c r="B134" i="40"/>
  <c r="B135" i="40"/>
  <c r="B136" i="40"/>
  <c r="B137" i="40"/>
  <c r="B118" i="40"/>
  <c r="B13" i="40" l="1"/>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8" i="40"/>
  <c r="B49" i="40"/>
  <c r="B50" i="40"/>
  <c r="B51" i="40"/>
  <c r="B52" i="40"/>
  <c r="B53" i="40"/>
  <c r="B54" i="40"/>
  <c r="B55" i="40"/>
  <c r="B56" i="40"/>
  <c r="B57" i="40"/>
  <c r="B58" i="40"/>
  <c r="B59" i="40"/>
  <c r="B60" i="40"/>
  <c r="B12" i="40"/>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293" i="26" s="1"/>
  <c r="B51" i="26"/>
  <c r="B294" i="26" s="1"/>
  <c r="B52" i="26"/>
  <c r="B214" i="26" s="1"/>
  <c r="B53" i="26"/>
  <c r="B54" i="26"/>
  <c r="B55" i="26"/>
  <c r="B56" i="26"/>
  <c r="B57" i="26"/>
  <c r="B58" i="26"/>
  <c r="B59" i="26"/>
  <c r="B212" i="26" l="1"/>
  <c r="B295" i="26"/>
  <c r="B131" i="26"/>
  <c r="B132" i="26"/>
  <c r="B133" i="26"/>
  <c r="B213" i="26"/>
  <c r="I697" i="16" l="1"/>
  <c r="H697" i="16"/>
  <c r="G697" i="16"/>
  <c r="F697" i="16"/>
  <c r="E697" i="16"/>
  <c r="D697" i="16"/>
  <c r="C697" i="16"/>
  <c r="I57" i="26" l="1"/>
  <c r="H57" i="26"/>
  <c r="G57" i="26"/>
  <c r="F57" i="26"/>
  <c r="E57" i="26"/>
  <c r="D57" i="26"/>
  <c r="I56" i="26"/>
  <c r="H56" i="26"/>
  <c r="G56" i="26"/>
  <c r="F56" i="26"/>
  <c r="E56" i="26"/>
  <c r="D56" i="26"/>
  <c r="I55" i="26"/>
  <c r="H55" i="26"/>
  <c r="G55" i="26"/>
  <c r="F55" i="26"/>
  <c r="E55" i="26"/>
  <c r="D55" i="26"/>
  <c r="I54" i="26"/>
  <c r="H54" i="26"/>
  <c r="G54" i="26"/>
  <c r="F54" i="26"/>
  <c r="E54" i="26"/>
  <c r="D54" i="26"/>
  <c r="I53" i="26"/>
  <c r="H53" i="26"/>
  <c r="G53" i="26"/>
  <c r="F53" i="26"/>
  <c r="E53" i="26"/>
  <c r="D53" i="26"/>
  <c r="I49" i="26"/>
  <c r="H49" i="26"/>
  <c r="G49" i="26"/>
  <c r="F49" i="26"/>
  <c r="E49" i="26"/>
  <c r="D49" i="26"/>
  <c r="I48" i="26"/>
  <c r="H48" i="26"/>
  <c r="G48" i="26"/>
  <c r="F48" i="26"/>
  <c r="E48" i="26"/>
  <c r="D48" i="26"/>
  <c r="I47" i="26"/>
  <c r="H47" i="26"/>
  <c r="G47" i="26"/>
  <c r="F47" i="26"/>
  <c r="E47" i="26"/>
  <c r="D47" i="26"/>
  <c r="I46" i="26"/>
  <c r="H46" i="26"/>
  <c r="G46" i="26"/>
  <c r="F46" i="26"/>
  <c r="E46" i="26"/>
  <c r="D46" i="26"/>
  <c r="I45" i="26"/>
  <c r="H45" i="26"/>
  <c r="G45" i="26"/>
  <c r="F45" i="26"/>
  <c r="E45" i="26"/>
  <c r="D45" i="26"/>
  <c r="I44" i="26"/>
  <c r="H44" i="26"/>
  <c r="G44" i="26"/>
  <c r="F44" i="26"/>
  <c r="E44" i="26"/>
  <c r="D44" i="26"/>
  <c r="I43" i="26"/>
  <c r="H43" i="26"/>
  <c r="G43" i="26"/>
  <c r="F43" i="26"/>
  <c r="E43" i="26"/>
  <c r="D43" i="26"/>
  <c r="I42" i="26"/>
  <c r="H42" i="26"/>
  <c r="G42" i="26"/>
  <c r="F42" i="26"/>
  <c r="E42" i="26"/>
  <c r="D42" i="26"/>
  <c r="D28" i="26"/>
  <c r="E28" i="26"/>
  <c r="F28" i="26"/>
  <c r="G28" i="26"/>
  <c r="H28" i="26"/>
  <c r="I28" i="26"/>
  <c r="D29" i="26"/>
  <c r="E29" i="26"/>
  <c r="F29" i="26"/>
  <c r="G29" i="26"/>
  <c r="H29" i="26"/>
  <c r="I29" i="26"/>
  <c r="D30" i="26"/>
  <c r="E30" i="26"/>
  <c r="F30" i="26"/>
  <c r="G30" i="26"/>
  <c r="H30" i="26"/>
  <c r="I30" i="26"/>
  <c r="D31" i="26"/>
  <c r="E31" i="26"/>
  <c r="F31" i="26"/>
  <c r="G31" i="26"/>
  <c r="H31" i="26"/>
  <c r="I31" i="26"/>
  <c r="D32" i="26"/>
  <c r="E32" i="26"/>
  <c r="F32" i="26"/>
  <c r="G32" i="26"/>
  <c r="H32" i="26"/>
  <c r="I32" i="26"/>
  <c r="D33" i="26"/>
  <c r="E33" i="26"/>
  <c r="F33" i="26"/>
  <c r="G33" i="26"/>
  <c r="H33" i="26"/>
  <c r="I33" i="26"/>
  <c r="D34" i="26"/>
  <c r="E34" i="26"/>
  <c r="F34" i="26"/>
  <c r="G34" i="26"/>
  <c r="H34" i="26"/>
  <c r="I34" i="26"/>
  <c r="D35" i="26"/>
  <c r="E35" i="26"/>
  <c r="F35" i="26"/>
  <c r="G35" i="26"/>
  <c r="H35" i="26"/>
  <c r="I35" i="26"/>
  <c r="D36" i="26"/>
  <c r="E36" i="26"/>
  <c r="F36" i="26"/>
  <c r="G36" i="26"/>
  <c r="H36" i="26"/>
  <c r="I36" i="26"/>
  <c r="D37" i="26"/>
  <c r="E37" i="26"/>
  <c r="F37" i="26"/>
  <c r="G37" i="26"/>
  <c r="H37" i="26"/>
  <c r="I37" i="26"/>
  <c r="D38" i="26"/>
  <c r="E38" i="26"/>
  <c r="F38" i="26"/>
  <c r="G38" i="26"/>
  <c r="H38" i="26"/>
  <c r="I38" i="26"/>
  <c r="D39" i="26"/>
  <c r="E39" i="26"/>
  <c r="F39" i="26"/>
  <c r="G39" i="26"/>
  <c r="H39" i="26"/>
  <c r="I39" i="26"/>
  <c r="D40" i="26"/>
  <c r="E40" i="26"/>
  <c r="F40" i="26"/>
  <c r="G40" i="26"/>
  <c r="H40" i="26"/>
  <c r="I40" i="26"/>
  <c r="D41" i="26"/>
  <c r="E41" i="26"/>
  <c r="F41" i="26"/>
  <c r="G41" i="26"/>
  <c r="H41" i="26"/>
  <c r="I41" i="26"/>
  <c r="E27" i="26"/>
  <c r="F27" i="26"/>
  <c r="G27" i="26"/>
  <c r="H27" i="26"/>
  <c r="I27" i="26"/>
  <c r="D27" i="26"/>
  <c r="D12" i="26"/>
  <c r="E12" i="26"/>
  <c r="F12" i="26"/>
  <c r="G12" i="26"/>
  <c r="H12" i="26"/>
  <c r="I12" i="26"/>
  <c r="D13" i="26"/>
  <c r="E13" i="26"/>
  <c r="F13" i="26"/>
  <c r="G13" i="26"/>
  <c r="H13" i="26"/>
  <c r="I13" i="26"/>
  <c r="D14" i="26"/>
  <c r="E14" i="26"/>
  <c r="F14" i="26"/>
  <c r="G14" i="26"/>
  <c r="H14" i="26"/>
  <c r="I14" i="26"/>
  <c r="D15" i="26"/>
  <c r="E15" i="26"/>
  <c r="F15" i="26"/>
  <c r="G15" i="26"/>
  <c r="H15" i="26"/>
  <c r="I15" i="26"/>
  <c r="D16" i="26"/>
  <c r="E16" i="26"/>
  <c r="F16" i="26"/>
  <c r="G16" i="26"/>
  <c r="H16" i="26"/>
  <c r="I16" i="26"/>
  <c r="D17" i="26"/>
  <c r="E17" i="26"/>
  <c r="F17" i="26"/>
  <c r="G17" i="26"/>
  <c r="H17" i="26"/>
  <c r="I17" i="26"/>
  <c r="D18" i="26"/>
  <c r="E18" i="26"/>
  <c r="F18" i="26"/>
  <c r="G18" i="26"/>
  <c r="H18" i="26"/>
  <c r="I18" i="26"/>
  <c r="D23" i="26"/>
  <c r="E23" i="26"/>
  <c r="F23" i="26"/>
  <c r="G23" i="26"/>
  <c r="H23" i="26"/>
  <c r="I23" i="26"/>
  <c r="D24" i="26"/>
  <c r="E24" i="26"/>
  <c r="F24" i="26"/>
  <c r="G24" i="26"/>
  <c r="H24" i="26"/>
  <c r="I24" i="26"/>
  <c r="D25" i="26"/>
  <c r="E25" i="26"/>
  <c r="F25" i="26"/>
  <c r="G25" i="26"/>
  <c r="H25" i="26"/>
  <c r="I25" i="26"/>
  <c r="D26" i="26"/>
  <c r="E26" i="26"/>
  <c r="F26" i="26"/>
  <c r="G26" i="26"/>
  <c r="H26" i="26"/>
  <c r="I26" i="26"/>
  <c r="B255" i="26"/>
  <c r="B256" i="26"/>
  <c r="B257" i="26"/>
  <c r="B258" i="26"/>
  <c r="B259" i="26"/>
  <c r="B260" i="26"/>
  <c r="B261" i="26"/>
  <c r="B262" i="26"/>
  <c r="B263" i="26"/>
  <c r="B264" i="26"/>
  <c r="B265" i="26"/>
  <c r="B266" i="26"/>
  <c r="B267" i="26"/>
  <c r="B268" i="26"/>
  <c r="B269" i="26"/>
  <c r="B270" i="26"/>
  <c r="B271" i="26"/>
  <c r="B272" i="26"/>
  <c r="B273" i="26"/>
  <c r="B274" i="26"/>
  <c r="B275" i="26"/>
  <c r="B276" i="26"/>
  <c r="B174" i="26"/>
  <c r="B175" i="26"/>
  <c r="B176" i="26"/>
  <c r="B177" i="26"/>
  <c r="B178" i="26"/>
  <c r="B179" i="26"/>
  <c r="B180" i="26"/>
  <c r="B181" i="26"/>
  <c r="B182" i="26"/>
  <c r="B183" i="26"/>
  <c r="B184" i="26"/>
  <c r="B185" i="26"/>
  <c r="B186" i="26"/>
  <c r="B187" i="26"/>
  <c r="B188" i="26"/>
  <c r="B189" i="26"/>
  <c r="B190" i="26"/>
  <c r="B191" i="26"/>
  <c r="B192" i="26"/>
  <c r="B193" i="26"/>
  <c r="B194" i="26"/>
  <c r="B93" i="26" l="1"/>
  <c r="B94" i="26"/>
  <c r="B95" i="26"/>
  <c r="B96" i="26"/>
  <c r="B97" i="26"/>
  <c r="B98" i="26"/>
  <c r="B99" i="26"/>
  <c r="B100" i="26"/>
  <c r="B101" i="26"/>
  <c r="B102" i="26"/>
  <c r="B103" i="26"/>
  <c r="B104" i="26"/>
  <c r="B105" i="26"/>
  <c r="B106" i="26"/>
  <c r="B107" i="26"/>
  <c r="B108" i="26"/>
  <c r="B109" i="26"/>
  <c r="B110" i="26"/>
  <c r="B111" i="26"/>
  <c r="B112" i="26"/>
  <c r="B92" i="26"/>
  <c r="B298" i="26" l="1"/>
  <c r="B299" i="26"/>
  <c r="B300" i="26"/>
  <c r="B301" i="26"/>
  <c r="B302" i="26"/>
  <c r="B217" i="26"/>
  <c r="B218" i="26"/>
  <c r="B219" i="26"/>
  <c r="B220" i="26"/>
  <c r="B221" i="26"/>
  <c r="B136" i="26"/>
  <c r="B137" i="26"/>
  <c r="B138" i="26"/>
  <c r="B139" i="26"/>
  <c r="B140" i="26"/>
  <c r="J742" i="17" l="1"/>
  <c r="I742" i="17"/>
  <c r="H742" i="17"/>
  <c r="G742" i="17"/>
  <c r="F742" i="17"/>
  <c r="E742" i="17"/>
  <c r="D742" i="17"/>
  <c r="J662" i="17"/>
  <c r="I662" i="17"/>
  <c r="H662" i="17"/>
  <c r="G662" i="17"/>
  <c r="F662" i="17"/>
  <c r="E662" i="17"/>
  <c r="D662" i="17"/>
  <c r="I153" i="40" l="1"/>
  <c r="H153" i="40"/>
  <c r="G153" i="40"/>
  <c r="F153" i="40"/>
  <c r="E153" i="40"/>
  <c r="D153" i="40"/>
  <c r="C153" i="40"/>
  <c r="I87" i="40"/>
  <c r="H87" i="40"/>
  <c r="G87" i="40"/>
  <c r="F87" i="40"/>
  <c r="E87" i="40"/>
  <c r="D87" i="40"/>
  <c r="C87" i="40"/>
  <c r="E186" i="40" l="1"/>
  <c r="C38" i="34"/>
  <c r="D38" i="34"/>
  <c r="E38" i="34"/>
  <c r="F38" i="34"/>
  <c r="G38" i="34"/>
  <c r="H38" i="34"/>
  <c r="I38" i="34"/>
  <c r="B297" i="26"/>
  <c r="B296" i="26"/>
  <c r="B292" i="26"/>
  <c r="B291" i="26"/>
  <c r="B290" i="26"/>
  <c r="B289" i="26"/>
  <c r="B288" i="26"/>
  <c r="B287" i="26"/>
  <c r="B286" i="26"/>
  <c r="B285" i="26"/>
  <c r="B284" i="26"/>
  <c r="B283" i="26"/>
  <c r="B282" i="26"/>
  <c r="B281" i="26"/>
  <c r="B280" i="26"/>
  <c r="B279" i="26"/>
  <c r="B278" i="26"/>
  <c r="B277" i="26"/>
  <c r="B254" i="26"/>
  <c r="B216" i="26"/>
  <c r="B215" i="26"/>
  <c r="B211" i="26"/>
  <c r="B210" i="26"/>
  <c r="B209" i="26"/>
  <c r="B208" i="26"/>
  <c r="B207" i="26"/>
  <c r="B206" i="26"/>
  <c r="B205" i="26"/>
  <c r="B204" i="26"/>
  <c r="B203" i="26"/>
  <c r="B202" i="26"/>
  <c r="B201" i="26"/>
  <c r="B200" i="26"/>
  <c r="B199" i="26"/>
  <c r="B198" i="26"/>
  <c r="B197" i="26"/>
  <c r="B196" i="26"/>
  <c r="B195" i="26"/>
  <c r="B173" i="26"/>
  <c r="B135" i="26"/>
  <c r="B134" i="26"/>
  <c r="B130" i="26"/>
  <c r="B129" i="26"/>
  <c r="B128" i="26"/>
  <c r="B127" i="26"/>
  <c r="B126" i="26"/>
  <c r="B125" i="26"/>
  <c r="B124" i="26"/>
  <c r="B123" i="26"/>
  <c r="B122" i="26"/>
  <c r="B121" i="26"/>
  <c r="B120" i="26"/>
  <c r="B119" i="26"/>
  <c r="B118" i="26"/>
  <c r="B117" i="26"/>
  <c r="B116" i="26"/>
  <c r="B115" i="26"/>
  <c r="B114" i="26"/>
  <c r="B113" i="26"/>
  <c r="I11" i="26"/>
  <c r="I86" i="26" s="1"/>
  <c r="H11" i="26"/>
  <c r="H86" i="26" s="1"/>
  <c r="G11" i="26"/>
  <c r="G86" i="26" s="1"/>
  <c r="F11" i="26"/>
  <c r="F86" i="26" s="1"/>
  <c r="E11" i="26"/>
  <c r="E86" i="26" s="1"/>
  <c r="D11" i="26"/>
  <c r="D86" i="26" s="1"/>
  <c r="I97" i="24" l="1"/>
  <c r="H97" i="24"/>
  <c r="G97" i="24"/>
  <c r="F97" i="24"/>
  <c r="E97" i="24"/>
  <c r="D97" i="24"/>
  <c r="C97" i="24"/>
  <c r="G84" i="30" l="1"/>
  <c r="H84" i="30"/>
  <c r="I84" i="30"/>
  <c r="J84" i="30"/>
  <c r="K84" i="30"/>
  <c r="L84" i="30"/>
  <c r="F84" i="30"/>
  <c r="B123" i="29" l="1"/>
  <c r="B122" i="29"/>
  <c r="B121" i="29"/>
  <c r="B120" i="29"/>
  <c r="B119" i="29"/>
  <c r="B118" i="29"/>
  <c r="B117" i="29"/>
  <c r="B116" i="29"/>
  <c r="B115" i="29"/>
  <c r="B114" i="29"/>
  <c r="B113" i="29"/>
  <c r="B112" i="29"/>
  <c r="B111" i="29"/>
  <c r="B110" i="29"/>
  <c r="B109" i="29"/>
  <c r="B100" i="29"/>
  <c r="B99" i="29"/>
  <c r="B98" i="29"/>
  <c r="B97" i="29"/>
  <c r="B96" i="29"/>
  <c r="B95" i="29"/>
  <c r="B94" i="29"/>
  <c r="B93" i="29"/>
  <c r="B92" i="29"/>
  <c r="B91" i="29"/>
  <c r="B90" i="29"/>
  <c r="B89" i="29"/>
  <c r="B88" i="29"/>
  <c r="B87" i="29"/>
  <c r="B86" i="29"/>
  <c r="B81" i="29"/>
  <c r="B80" i="29"/>
  <c r="B79" i="29"/>
  <c r="B78" i="29"/>
  <c r="B77" i="29"/>
  <c r="B76" i="29"/>
  <c r="B75" i="29"/>
  <c r="B74" i="29"/>
  <c r="B73" i="29"/>
  <c r="B72" i="29"/>
  <c r="B71" i="29"/>
  <c r="B70" i="29"/>
  <c r="B69" i="29"/>
  <c r="B68" i="29"/>
  <c r="B67" i="29"/>
  <c r="B62" i="29"/>
  <c r="B61" i="29"/>
  <c r="B60" i="29"/>
  <c r="B59" i="29"/>
  <c r="B58" i="29"/>
  <c r="B57" i="29"/>
  <c r="B56" i="29"/>
  <c r="B55" i="29"/>
  <c r="B54" i="29"/>
  <c r="B53" i="29"/>
  <c r="B52" i="29"/>
  <c r="B51" i="29"/>
  <c r="B50" i="29"/>
  <c r="B49" i="29"/>
  <c r="B48" i="29"/>
  <c r="B43" i="29"/>
  <c r="B42" i="29"/>
  <c r="B41" i="29"/>
  <c r="B40" i="29"/>
  <c r="B39" i="29"/>
  <c r="B38" i="29"/>
  <c r="B37" i="29"/>
  <c r="B36" i="29"/>
  <c r="B35" i="29"/>
  <c r="B34" i="29"/>
  <c r="B33" i="29"/>
  <c r="B32" i="29"/>
  <c r="B31" i="29"/>
  <c r="B30" i="29"/>
  <c r="B29" i="29"/>
  <c r="I125" i="29"/>
  <c r="H125" i="29"/>
  <c r="G125" i="29"/>
  <c r="F125" i="29"/>
  <c r="E125" i="29"/>
  <c r="D125" i="29"/>
  <c r="C125" i="29"/>
  <c r="I106" i="29"/>
  <c r="H106" i="29"/>
  <c r="G106" i="29"/>
  <c r="F106" i="29"/>
  <c r="E106" i="29"/>
  <c r="D106" i="29"/>
  <c r="C106" i="29"/>
  <c r="I102" i="29"/>
  <c r="H102" i="29"/>
  <c r="G102" i="29"/>
  <c r="F102" i="29"/>
  <c r="E102" i="29"/>
  <c r="D102" i="29"/>
  <c r="C102" i="29"/>
  <c r="I83" i="29"/>
  <c r="H83" i="29"/>
  <c r="G83" i="29"/>
  <c r="F83" i="29"/>
  <c r="E83" i="29"/>
  <c r="D83" i="29"/>
  <c r="C83" i="29"/>
  <c r="I64" i="29"/>
  <c r="H64" i="29"/>
  <c r="G64" i="29"/>
  <c r="F64" i="29"/>
  <c r="E64" i="29"/>
  <c r="D64" i="29"/>
  <c r="C64" i="29"/>
  <c r="I45" i="29"/>
  <c r="H45" i="29"/>
  <c r="G45" i="29"/>
  <c r="F45" i="29"/>
  <c r="E45" i="29"/>
  <c r="D45" i="29"/>
  <c r="C45" i="29"/>
  <c r="I125" i="28"/>
  <c r="I137" i="28" s="1"/>
  <c r="H125" i="28"/>
  <c r="H137" i="28" s="1"/>
  <c r="G125" i="28"/>
  <c r="G137" i="28" s="1"/>
  <c r="F125" i="28"/>
  <c r="F137" i="28" s="1"/>
  <c r="E125" i="28"/>
  <c r="E137" i="28" s="1"/>
  <c r="D125" i="28"/>
  <c r="D137" i="28" s="1"/>
  <c r="C125" i="28"/>
  <c r="B123" i="28"/>
  <c r="B122" i="28"/>
  <c r="B121" i="28"/>
  <c r="B120" i="28"/>
  <c r="B119" i="28"/>
  <c r="B118" i="28"/>
  <c r="B117" i="28"/>
  <c r="B116" i="28"/>
  <c r="B115" i="28"/>
  <c r="B114" i="28"/>
  <c r="B113" i="28"/>
  <c r="B112" i="28"/>
  <c r="B111" i="28"/>
  <c r="B110" i="28"/>
  <c r="B109" i="28"/>
  <c r="I106" i="28"/>
  <c r="H106" i="28"/>
  <c r="G106" i="28"/>
  <c r="F106" i="28"/>
  <c r="E106" i="28"/>
  <c r="D106" i="28"/>
  <c r="C106" i="28"/>
  <c r="I102" i="28"/>
  <c r="H102" i="28"/>
  <c r="G102" i="28"/>
  <c r="F102" i="28"/>
  <c r="E102" i="28"/>
  <c r="D102" i="28"/>
  <c r="C102" i="28"/>
  <c r="B100" i="28"/>
  <c r="B99" i="28"/>
  <c r="B98" i="28"/>
  <c r="B97" i="28"/>
  <c r="B96" i="28"/>
  <c r="B95" i="28"/>
  <c r="B94" i="28"/>
  <c r="B93" i="28"/>
  <c r="B92" i="28"/>
  <c r="B91" i="28"/>
  <c r="B90" i="28"/>
  <c r="B89" i="28"/>
  <c r="B88" i="28"/>
  <c r="B87" i="28"/>
  <c r="B86" i="28"/>
  <c r="I83" i="28"/>
  <c r="H83" i="28"/>
  <c r="G83" i="28"/>
  <c r="F83" i="28"/>
  <c r="E83" i="28"/>
  <c r="D83" i="28"/>
  <c r="C83" i="28"/>
  <c r="B81" i="28"/>
  <c r="B80" i="28"/>
  <c r="B79" i="28"/>
  <c r="B78" i="28"/>
  <c r="B77" i="28"/>
  <c r="B76" i="28"/>
  <c r="B75" i="28"/>
  <c r="B74" i="28"/>
  <c r="B73" i="28"/>
  <c r="B72" i="28"/>
  <c r="B71" i="28"/>
  <c r="B70" i="28"/>
  <c r="B69" i="28"/>
  <c r="B68" i="28"/>
  <c r="B67" i="28"/>
  <c r="I64" i="28"/>
  <c r="H64" i="28"/>
  <c r="G64" i="28"/>
  <c r="F64" i="28"/>
  <c r="E64" i="28"/>
  <c r="D64" i="28"/>
  <c r="C64" i="28"/>
  <c r="B62" i="28"/>
  <c r="B61" i="28"/>
  <c r="B60" i="28"/>
  <c r="B59" i="28"/>
  <c r="B58" i="28"/>
  <c r="B57" i="28"/>
  <c r="B56" i="28"/>
  <c r="B55" i="28"/>
  <c r="B54" i="28"/>
  <c r="B53" i="28"/>
  <c r="B52" i="28"/>
  <c r="B51" i="28"/>
  <c r="B50" i="28"/>
  <c r="B49" i="28"/>
  <c r="B48" i="28"/>
  <c r="I45" i="28"/>
  <c r="H45" i="28"/>
  <c r="G45" i="28"/>
  <c r="F45" i="28"/>
  <c r="E45" i="28"/>
  <c r="D45" i="28"/>
  <c r="C45" i="28"/>
  <c r="B43" i="28"/>
  <c r="B42" i="28"/>
  <c r="B41" i="28"/>
  <c r="B40" i="28"/>
  <c r="B39" i="28"/>
  <c r="B38" i="28"/>
  <c r="B37" i="28"/>
  <c r="B36" i="28"/>
  <c r="B35" i="28"/>
  <c r="B34" i="28"/>
  <c r="B33" i="28"/>
  <c r="B32" i="28"/>
  <c r="B31" i="28"/>
  <c r="B30" i="28"/>
  <c r="B29" i="28"/>
  <c r="B126" i="21"/>
  <c r="B125" i="21"/>
  <c r="B124" i="21"/>
  <c r="B123" i="21"/>
  <c r="B122" i="21"/>
  <c r="B121" i="21"/>
  <c r="B120" i="21"/>
  <c r="B119" i="21"/>
  <c r="B118" i="21"/>
  <c r="B117" i="21"/>
  <c r="B116" i="21"/>
  <c r="B115" i="21"/>
  <c r="B114" i="21"/>
  <c r="B113" i="21"/>
  <c r="B112" i="21"/>
  <c r="B103" i="21"/>
  <c r="B102" i="21"/>
  <c r="B101" i="21"/>
  <c r="B100" i="21"/>
  <c r="B99" i="21"/>
  <c r="B98" i="21"/>
  <c r="B97" i="21"/>
  <c r="B96" i="21"/>
  <c r="B95" i="21"/>
  <c r="B94" i="21"/>
  <c r="B93" i="21"/>
  <c r="B92" i="21"/>
  <c r="B91" i="21"/>
  <c r="B90" i="21"/>
  <c r="B89" i="21"/>
  <c r="B84" i="21"/>
  <c r="B83" i="21"/>
  <c r="B82" i="21"/>
  <c r="B81" i="21"/>
  <c r="B80" i="21"/>
  <c r="B79" i="21"/>
  <c r="B78" i="21"/>
  <c r="B77" i="21"/>
  <c r="B76" i="21"/>
  <c r="B75" i="21"/>
  <c r="B74" i="21"/>
  <c r="B73" i="21"/>
  <c r="B72" i="21"/>
  <c r="B71" i="21"/>
  <c r="B70" i="21"/>
  <c r="B65" i="21"/>
  <c r="B64" i="21"/>
  <c r="B63" i="21"/>
  <c r="B62" i="21"/>
  <c r="B61" i="21"/>
  <c r="B60" i="21"/>
  <c r="B59" i="21"/>
  <c r="B58" i="21"/>
  <c r="B57" i="21"/>
  <c r="B56" i="21"/>
  <c r="B55" i="21"/>
  <c r="B54" i="21"/>
  <c r="B53" i="21"/>
  <c r="B52" i="21"/>
  <c r="B51" i="21"/>
  <c r="B46" i="21"/>
  <c r="B45" i="21"/>
  <c r="B44" i="21"/>
  <c r="B43" i="21"/>
  <c r="B42" i="21"/>
  <c r="B41" i="21"/>
  <c r="B40" i="21"/>
  <c r="B39" i="21"/>
  <c r="B38" i="21"/>
  <c r="B37" i="21"/>
  <c r="B36" i="21"/>
  <c r="B35" i="21"/>
  <c r="B34" i="21"/>
  <c r="B33" i="21"/>
  <c r="B32" i="21"/>
  <c r="J746" i="17"/>
  <c r="I746" i="17"/>
  <c r="H746" i="17"/>
  <c r="G746" i="17"/>
  <c r="F746" i="17"/>
  <c r="E746" i="17"/>
  <c r="D746" i="17"/>
  <c r="J738" i="17"/>
  <c r="I738" i="17"/>
  <c r="H738" i="17"/>
  <c r="G738" i="17"/>
  <c r="F738" i="17"/>
  <c r="E738" i="17"/>
  <c r="D738" i="17"/>
  <c r="J734" i="17"/>
  <c r="I734" i="17"/>
  <c r="H734" i="17"/>
  <c r="G734" i="17"/>
  <c r="F734" i="17"/>
  <c r="E734" i="17"/>
  <c r="D734" i="17"/>
  <c r="J730" i="17"/>
  <c r="I730" i="17"/>
  <c r="H730" i="17"/>
  <c r="G730" i="17"/>
  <c r="F730" i="17"/>
  <c r="E730" i="17"/>
  <c r="D730" i="17"/>
  <c r="J726" i="17"/>
  <c r="I726" i="17"/>
  <c r="H726" i="17"/>
  <c r="G726" i="17"/>
  <c r="F726" i="17"/>
  <c r="E726" i="17"/>
  <c r="D726" i="17"/>
  <c r="J716" i="17"/>
  <c r="I716" i="17"/>
  <c r="H716" i="17"/>
  <c r="G716" i="17"/>
  <c r="F716" i="17"/>
  <c r="E716" i="17"/>
  <c r="D716" i="17"/>
  <c r="J608" i="17"/>
  <c r="I608" i="17"/>
  <c r="H608" i="17"/>
  <c r="G608" i="17"/>
  <c r="F608" i="17"/>
  <c r="E608" i="17"/>
  <c r="D608" i="17"/>
  <c r="J554" i="17"/>
  <c r="I554" i="17"/>
  <c r="H554" i="17"/>
  <c r="G554" i="17"/>
  <c r="F554" i="17"/>
  <c r="E554" i="17"/>
  <c r="D554" i="17"/>
  <c r="B552" i="17"/>
  <c r="B551" i="17"/>
  <c r="B550" i="17"/>
  <c r="B549" i="17"/>
  <c r="B548" i="17"/>
  <c r="B547" i="17"/>
  <c r="B546" i="17"/>
  <c r="B545" i="17"/>
  <c r="B544" i="17"/>
  <c r="B543" i="17"/>
  <c r="B542" i="17"/>
  <c r="B541" i="17"/>
  <c r="B540" i="17"/>
  <c r="B539" i="17"/>
  <c r="B538" i="17"/>
  <c r="B537" i="17"/>
  <c r="B536" i="17"/>
  <c r="B535" i="17"/>
  <c r="B534" i="17"/>
  <c r="B533" i="17"/>
  <c r="B532" i="17"/>
  <c r="B531" i="17"/>
  <c r="B530" i="17"/>
  <c r="B529" i="17"/>
  <c r="B528" i="17"/>
  <c r="B527" i="17"/>
  <c r="B526" i="17"/>
  <c r="B525" i="17"/>
  <c r="B524" i="17"/>
  <c r="B523" i="17"/>
  <c r="B522" i="17"/>
  <c r="B521" i="17"/>
  <c r="B520" i="17"/>
  <c r="B519" i="17"/>
  <c r="B518" i="17"/>
  <c r="B517" i="17"/>
  <c r="B516" i="17"/>
  <c r="B515" i="17"/>
  <c r="B514" i="17"/>
  <c r="B513" i="17"/>
  <c r="B512" i="17"/>
  <c r="B511" i="17"/>
  <c r="B510" i="17"/>
  <c r="B509" i="17"/>
  <c r="B508" i="17"/>
  <c r="B507" i="17"/>
  <c r="B506" i="17"/>
  <c r="B505" i="17"/>
  <c r="B504" i="17"/>
  <c r="B503" i="17"/>
  <c r="J500" i="17"/>
  <c r="I500" i="17"/>
  <c r="H500" i="17"/>
  <c r="G500" i="17"/>
  <c r="F500" i="17"/>
  <c r="E500" i="17"/>
  <c r="D500" i="17"/>
  <c r="J446" i="17"/>
  <c r="I446" i="17"/>
  <c r="H446" i="17"/>
  <c r="G446" i="17"/>
  <c r="F446" i="17"/>
  <c r="E446" i="17"/>
  <c r="D446" i="17"/>
  <c r="J384" i="17"/>
  <c r="I384" i="17"/>
  <c r="H384" i="17"/>
  <c r="G384" i="17"/>
  <c r="F384" i="17"/>
  <c r="E384" i="17"/>
  <c r="D384" i="17"/>
  <c r="J380" i="17"/>
  <c r="I380" i="17"/>
  <c r="H380" i="17"/>
  <c r="G380" i="17"/>
  <c r="F380" i="17"/>
  <c r="E380" i="17"/>
  <c r="D380" i="17"/>
  <c r="J376" i="17"/>
  <c r="I376" i="17"/>
  <c r="H376" i="17"/>
  <c r="G376" i="17"/>
  <c r="F376" i="17"/>
  <c r="E376" i="17"/>
  <c r="D376" i="17"/>
  <c r="J372" i="17"/>
  <c r="I372" i="17"/>
  <c r="H372" i="17"/>
  <c r="G372" i="17"/>
  <c r="F372" i="17"/>
  <c r="E372" i="17"/>
  <c r="D372" i="17"/>
  <c r="J368" i="17"/>
  <c r="I368" i="17"/>
  <c r="H368" i="17"/>
  <c r="G368" i="17"/>
  <c r="F368" i="17"/>
  <c r="E368" i="17"/>
  <c r="D368" i="17"/>
  <c r="J353" i="17"/>
  <c r="I353" i="17"/>
  <c r="H353" i="17"/>
  <c r="G353" i="17"/>
  <c r="F353" i="17"/>
  <c r="E353" i="17"/>
  <c r="D353" i="17"/>
  <c r="J296" i="17"/>
  <c r="I296" i="17"/>
  <c r="H296" i="17"/>
  <c r="G296" i="17"/>
  <c r="F296" i="17"/>
  <c r="E296" i="17"/>
  <c r="D296" i="17"/>
  <c r="J289" i="17"/>
  <c r="I289" i="17"/>
  <c r="H289" i="17"/>
  <c r="G289" i="17"/>
  <c r="F289" i="17"/>
  <c r="E289" i="17"/>
  <c r="D289" i="17"/>
  <c r="J232" i="17"/>
  <c r="I232" i="17"/>
  <c r="H232" i="17"/>
  <c r="G232" i="17"/>
  <c r="F232" i="17"/>
  <c r="E232" i="17"/>
  <c r="D232" i="17"/>
  <c r="J175" i="17"/>
  <c r="I175" i="17"/>
  <c r="H175" i="17"/>
  <c r="G175" i="17"/>
  <c r="F175" i="17"/>
  <c r="E175" i="17"/>
  <c r="D175" i="17"/>
  <c r="J217" i="19"/>
  <c r="I217" i="19"/>
  <c r="H217" i="19"/>
  <c r="G217" i="19"/>
  <c r="F217" i="19"/>
  <c r="E217" i="19"/>
  <c r="D217" i="19"/>
  <c r="J212" i="19"/>
  <c r="I212" i="19"/>
  <c r="H212" i="19"/>
  <c r="G212" i="19"/>
  <c r="F212" i="19"/>
  <c r="E212" i="19"/>
  <c r="D212" i="19"/>
  <c r="J207" i="19"/>
  <c r="I207" i="19"/>
  <c r="H207" i="19"/>
  <c r="G207" i="19"/>
  <c r="F207" i="19"/>
  <c r="E207" i="19"/>
  <c r="D207" i="19"/>
  <c r="J202" i="19"/>
  <c r="I202" i="19"/>
  <c r="H202" i="19"/>
  <c r="G202" i="19"/>
  <c r="F202" i="19"/>
  <c r="E202" i="19"/>
  <c r="D202" i="19"/>
  <c r="J197" i="19"/>
  <c r="I197" i="19"/>
  <c r="H197" i="19"/>
  <c r="G197" i="19"/>
  <c r="F197" i="19"/>
  <c r="E197" i="19"/>
  <c r="D197" i="19"/>
  <c r="J181" i="19"/>
  <c r="I181" i="19"/>
  <c r="H181" i="19"/>
  <c r="G181" i="19"/>
  <c r="F181" i="19"/>
  <c r="E181" i="19"/>
  <c r="D181" i="19"/>
  <c r="J176" i="19"/>
  <c r="I176" i="19"/>
  <c r="H176" i="19"/>
  <c r="G176" i="19"/>
  <c r="F176" i="19"/>
  <c r="E176" i="19"/>
  <c r="D176" i="19"/>
  <c r="J171" i="19"/>
  <c r="I171" i="19"/>
  <c r="H171" i="19"/>
  <c r="G171" i="19"/>
  <c r="F171" i="19"/>
  <c r="E171" i="19"/>
  <c r="D171" i="19"/>
  <c r="J166" i="19"/>
  <c r="I166" i="19"/>
  <c r="H166" i="19"/>
  <c r="G166" i="19"/>
  <c r="F166" i="19"/>
  <c r="E166" i="19"/>
  <c r="D166" i="19"/>
  <c r="J161" i="19"/>
  <c r="I161" i="19"/>
  <c r="H161" i="19"/>
  <c r="G161" i="19"/>
  <c r="F161" i="19"/>
  <c r="E161" i="19"/>
  <c r="D161" i="19"/>
  <c r="J145" i="19"/>
  <c r="I145" i="19"/>
  <c r="H145" i="19"/>
  <c r="G145" i="19"/>
  <c r="F145" i="19"/>
  <c r="E145" i="19"/>
  <c r="D145" i="19"/>
  <c r="J140" i="19"/>
  <c r="I140" i="19"/>
  <c r="H140" i="19"/>
  <c r="G140" i="19"/>
  <c r="F140" i="19"/>
  <c r="E140" i="19"/>
  <c r="D140" i="19"/>
  <c r="J135" i="19"/>
  <c r="I135" i="19"/>
  <c r="H135" i="19"/>
  <c r="G135" i="19"/>
  <c r="F135" i="19"/>
  <c r="E135" i="19"/>
  <c r="D135" i="19"/>
  <c r="J130" i="19"/>
  <c r="I130" i="19"/>
  <c r="H130" i="19"/>
  <c r="G130" i="19"/>
  <c r="F130" i="19"/>
  <c r="E130" i="19"/>
  <c r="D130" i="19"/>
  <c r="J125" i="19"/>
  <c r="I125" i="19"/>
  <c r="H125" i="19"/>
  <c r="G125" i="19"/>
  <c r="F125" i="19"/>
  <c r="E125" i="19"/>
  <c r="D125" i="19"/>
  <c r="J109" i="19"/>
  <c r="I109" i="19"/>
  <c r="H109" i="19"/>
  <c r="G109" i="19"/>
  <c r="F109" i="19"/>
  <c r="E109" i="19"/>
  <c r="D109" i="19"/>
  <c r="J104" i="19"/>
  <c r="I104" i="19"/>
  <c r="H104" i="19"/>
  <c r="G104" i="19"/>
  <c r="F104" i="19"/>
  <c r="E104" i="19"/>
  <c r="D104" i="19"/>
  <c r="J99" i="19"/>
  <c r="I99" i="19"/>
  <c r="H99" i="19"/>
  <c r="G99" i="19"/>
  <c r="F99" i="19"/>
  <c r="E99" i="19"/>
  <c r="D99" i="19"/>
  <c r="J94" i="19"/>
  <c r="I94" i="19"/>
  <c r="H94" i="19"/>
  <c r="G94" i="19"/>
  <c r="F94" i="19"/>
  <c r="E94" i="19"/>
  <c r="D94" i="19"/>
  <c r="J89" i="19"/>
  <c r="I89" i="19"/>
  <c r="H89" i="19"/>
  <c r="G89" i="19"/>
  <c r="F89" i="19"/>
  <c r="E89" i="19"/>
  <c r="D89" i="19"/>
  <c r="J73" i="19"/>
  <c r="I73" i="19"/>
  <c r="H73" i="19"/>
  <c r="G73" i="19"/>
  <c r="F73" i="19"/>
  <c r="E73" i="19"/>
  <c r="D73" i="19"/>
  <c r="J68" i="19"/>
  <c r="I68" i="19"/>
  <c r="H68" i="19"/>
  <c r="G68" i="19"/>
  <c r="F68" i="19"/>
  <c r="E68" i="19"/>
  <c r="D68" i="19"/>
  <c r="J63" i="19"/>
  <c r="I63" i="19"/>
  <c r="H63" i="19"/>
  <c r="G63" i="19"/>
  <c r="F63" i="19"/>
  <c r="E63" i="19"/>
  <c r="D63" i="19"/>
  <c r="J58" i="19"/>
  <c r="I58" i="19"/>
  <c r="H58" i="19"/>
  <c r="G58" i="19"/>
  <c r="F58" i="19"/>
  <c r="E58" i="19"/>
  <c r="D58" i="19"/>
  <c r="J53" i="19"/>
  <c r="I53" i="19"/>
  <c r="H53" i="19"/>
  <c r="G53" i="19"/>
  <c r="F53" i="19"/>
  <c r="E53" i="19"/>
  <c r="D53" i="19"/>
  <c r="J37" i="19"/>
  <c r="I37" i="19"/>
  <c r="H37" i="19"/>
  <c r="G37" i="19"/>
  <c r="F37" i="19"/>
  <c r="E37" i="19"/>
  <c r="D37" i="19"/>
  <c r="J32" i="19"/>
  <c r="I32" i="19"/>
  <c r="H32" i="19"/>
  <c r="G32" i="19"/>
  <c r="F32" i="19"/>
  <c r="E32" i="19"/>
  <c r="D32" i="19"/>
  <c r="J27" i="19"/>
  <c r="I27" i="19"/>
  <c r="H27" i="19"/>
  <c r="G27" i="19"/>
  <c r="F27" i="19"/>
  <c r="E27" i="19"/>
  <c r="D27" i="19"/>
  <c r="J22" i="19"/>
  <c r="I22" i="19"/>
  <c r="H22" i="19"/>
  <c r="G22" i="19"/>
  <c r="F22" i="19"/>
  <c r="E22" i="19"/>
  <c r="D22" i="19"/>
  <c r="J17" i="19"/>
  <c r="I17" i="19"/>
  <c r="H17" i="19"/>
  <c r="G17" i="19"/>
  <c r="F17" i="19"/>
  <c r="E17" i="19"/>
  <c r="D17" i="19"/>
  <c r="J314" i="19"/>
  <c r="I314" i="19"/>
  <c r="H314" i="19"/>
  <c r="G314" i="19"/>
  <c r="F314" i="19"/>
  <c r="E314" i="19"/>
  <c r="D314" i="19"/>
  <c r="J326" i="19"/>
  <c r="I326" i="19"/>
  <c r="H326" i="19"/>
  <c r="G326" i="19"/>
  <c r="F326" i="19"/>
  <c r="E326" i="19"/>
  <c r="D326" i="19"/>
  <c r="I208" i="18"/>
  <c r="H208" i="18"/>
  <c r="G208" i="18"/>
  <c r="F208" i="18"/>
  <c r="E208" i="18"/>
  <c r="D208" i="18"/>
  <c r="C208" i="18"/>
  <c r="I198" i="18"/>
  <c r="H198" i="18"/>
  <c r="G198" i="18"/>
  <c r="F198" i="18"/>
  <c r="E198" i="18"/>
  <c r="D198" i="18"/>
  <c r="C198" i="18"/>
  <c r="I161" i="18"/>
  <c r="H161" i="18"/>
  <c r="G161" i="18"/>
  <c r="F161" i="18"/>
  <c r="E161" i="18"/>
  <c r="D161" i="18"/>
  <c r="C161" i="18"/>
  <c r="I177" i="18"/>
  <c r="H177" i="18"/>
  <c r="G177" i="18"/>
  <c r="F177" i="18"/>
  <c r="E177" i="18"/>
  <c r="D177" i="18"/>
  <c r="C177" i="18"/>
  <c r="I172" i="18"/>
  <c r="H172" i="18"/>
  <c r="G172" i="18"/>
  <c r="F172" i="18"/>
  <c r="E172" i="18"/>
  <c r="D172" i="18"/>
  <c r="C172" i="18"/>
  <c r="I149" i="18"/>
  <c r="H149" i="18"/>
  <c r="G149" i="18"/>
  <c r="F149" i="18"/>
  <c r="E149" i="18"/>
  <c r="D149" i="18"/>
  <c r="C149" i="18"/>
  <c r="I144" i="18"/>
  <c r="H144" i="18"/>
  <c r="G144" i="18"/>
  <c r="F144" i="18"/>
  <c r="E144" i="18"/>
  <c r="D144" i="18"/>
  <c r="C144" i="18"/>
  <c r="I139" i="18"/>
  <c r="H139" i="18"/>
  <c r="G139" i="18"/>
  <c r="F139" i="18"/>
  <c r="E139" i="18"/>
  <c r="D139" i="18"/>
  <c r="C139" i="18"/>
  <c r="I134" i="18"/>
  <c r="H134" i="18"/>
  <c r="G134" i="18"/>
  <c r="F134" i="18"/>
  <c r="E134" i="18"/>
  <c r="D134" i="18"/>
  <c r="C134" i="18"/>
  <c r="I129" i="18"/>
  <c r="H129" i="18"/>
  <c r="G129" i="18"/>
  <c r="F129" i="18"/>
  <c r="E129" i="18"/>
  <c r="D129" i="18"/>
  <c r="C129" i="18"/>
  <c r="I124" i="18"/>
  <c r="H124" i="18"/>
  <c r="G124" i="18"/>
  <c r="F124" i="18"/>
  <c r="E124" i="18"/>
  <c r="D124" i="18"/>
  <c r="C124" i="18"/>
  <c r="I113" i="18"/>
  <c r="H113" i="18"/>
  <c r="G113" i="18"/>
  <c r="F113" i="18"/>
  <c r="E113" i="18"/>
  <c r="D113" i="18"/>
  <c r="C113" i="18"/>
  <c r="I108" i="18"/>
  <c r="H108" i="18"/>
  <c r="G108" i="18"/>
  <c r="F108" i="18"/>
  <c r="E108" i="18"/>
  <c r="D108" i="18"/>
  <c r="C108" i="18"/>
  <c r="I103" i="18"/>
  <c r="H103" i="18"/>
  <c r="G103" i="18"/>
  <c r="F103" i="18"/>
  <c r="E103" i="18"/>
  <c r="D103" i="18"/>
  <c r="C103" i="18"/>
  <c r="I98" i="18"/>
  <c r="H98" i="18"/>
  <c r="G98" i="18"/>
  <c r="F98" i="18"/>
  <c r="E98" i="18"/>
  <c r="D98" i="18"/>
  <c r="C98" i="18"/>
  <c r="I93" i="18"/>
  <c r="H93" i="18"/>
  <c r="G93" i="18"/>
  <c r="F93" i="18"/>
  <c r="E93" i="18"/>
  <c r="D93" i="18"/>
  <c r="C93" i="18"/>
  <c r="I88" i="18"/>
  <c r="H88" i="18"/>
  <c r="G88" i="18"/>
  <c r="F88" i="18"/>
  <c r="E88" i="18"/>
  <c r="D88" i="18"/>
  <c r="C88" i="18"/>
  <c r="I77" i="18"/>
  <c r="H77" i="18"/>
  <c r="G77" i="18"/>
  <c r="F77" i="18"/>
  <c r="E77" i="18"/>
  <c r="D77" i="18"/>
  <c r="C77" i="18"/>
  <c r="I72" i="18"/>
  <c r="H72" i="18"/>
  <c r="G72" i="18"/>
  <c r="F72" i="18"/>
  <c r="E72" i="18"/>
  <c r="D72" i="18"/>
  <c r="C72" i="18"/>
  <c r="I67" i="18"/>
  <c r="H67" i="18"/>
  <c r="G67" i="18"/>
  <c r="F67" i="18"/>
  <c r="E67" i="18"/>
  <c r="D67" i="18"/>
  <c r="C67" i="18"/>
  <c r="I62" i="18"/>
  <c r="H62" i="18"/>
  <c r="G62" i="18"/>
  <c r="F62" i="18"/>
  <c r="E62" i="18"/>
  <c r="D62" i="18"/>
  <c r="C62" i="18"/>
  <c r="I57" i="18"/>
  <c r="H57" i="18"/>
  <c r="G57" i="18"/>
  <c r="F57" i="18"/>
  <c r="E57" i="18"/>
  <c r="D57" i="18"/>
  <c r="C57" i="18"/>
  <c r="I52" i="18"/>
  <c r="H52" i="18"/>
  <c r="G52" i="18"/>
  <c r="F52" i="18"/>
  <c r="E52" i="18"/>
  <c r="D52" i="18"/>
  <c r="C52" i="18"/>
  <c r="I41" i="18"/>
  <c r="H41" i="18"/>
  <c r="G41" i="18"/>
  <c r="F41" i="18"/>
  <c r="E41" i="18"/>
  <c r="D41" i="18"/>
  <c r="C41" i="18"/>
  <c r="I36" i="18"/>
  <c r="H36" i="18"/>
  <c r="G36" i="18"/>
  <c r="F36" i="18"/>
  <c r="E36" i="18"/>
  <c r="D36" i="18"/>
  <c r="C36" i="18"/>
  <c r="I31" i="18"/>
  <c r="H31" i="18"/>
  <c r="G31" i="18"/>
  <c r="F31" i="18"/>
  <c r="E31" i="18"/>
  <c r="D31" i="18"/>
  <c r="C31" i="18"/>
  <c r="I26" i="18"/>
  <c r="H26" i="18"/>
  <c r="G26" i="18"/>
  <c r="F26" i="18"/>
  <c r="E26" i="18"/>
  <c r="D26" i="18"/>
  <c r="C26" i="18"/>
  <c r="I21" i="18"/>
  <c r="H21" i="18"/>
  <c r="G21" i="18"/>
  <c r="F21" i="18"/>
  <c r="E21" i="18"/>
  <c r="D21" i="18"/>
  <c r="C21" i="18"/>
  <c r="I16" i="18"/>
  <c r="H16" i="18"/>
  <c r="G16" i="18"/>
  <c r="F16" i="18"/>
  <c r="E16" i="18"/>
  <c r="D16" i="18"/>
  <c r="C16" i="18"/>
  <c r="J118" i="17"/>
  <c r="I118" i="17"/>
  <c r="H118" i="17"/>
  <c r="G118" i="17"/>
  <c r="F118" i="17"/>
  <c r="E118" i="17"/>
  <c r="D118" i="17"/>
  <c r="J364" i="17"/>
  <c r="I364" i="17"/>
  <c r="H364" i="17"/>
  <c r="G364" i="17"/>
  <c r="F364" i="17"/>
  <c r="E364" i="17"/>
  <c r="D364"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84" i="17"/>
  <c r="B83" i="17"/>
  <c r="B82" i="17"/>
  <c r="B81" i="17"/>
  <c r="B80" i="17"/>
  <c r="B79" i="17"/>
  <c r="B78" i="17"/>
  <c r="B77" i="17"/>
  <c r="B76" i="17"/>
  <c r="B75" i="17"/>
  <c r="B74" i="17"/>
  <c r="B73" i="17"/>
  <c r="B72" i="17"/>
  <c r="B71" i="17"/>
  <c r="B70" i="17"/>
  <c r="B69" i="17"/>
  <c r="B68" i="17"/>
  <c r="B67" i="17"/>
  <c r="I640" i="16"/>
  <c r="H640" i="16"/>
  <c r="G640" i="16"/>
  <c r="F640" i="16"/>
  <c r="E640" i="16"/>
  <c r="D640" i="16"/>
  <c r="C640" i="16"/>
  <c r="I583" i="16"/>
  <c r="H583" i="16"/>
  <c r="G583" i="16"/>
  <c r="F583" i="16"/>
  <c r="E583" i="16"/>
  <c r="D583" i="16"/>
  <c r="C583" i="16"/>
  <c r="I526" i="16"/>
  <c r="H526" i="16"/>
  <c r="G526" i="16"/>
  <c r="F526" i="16"/>
  <c r="E526" i="16"/>
  <c r="D526" i="16"/>
  <c r="C526" i="16"/>
  <c r="I469" i="16"/>
  <c r="H469" i="16"/>
  <c r="G469" i="16"/>
  <c r="F469" i="16"/>
  <c r="E469" i="16"/>
  <c r="D469" i="16"/>
  <c r="C469" i="16"/>
  <c r="I412" i="16"/>
  <c r="H412" i="16"/>
  <c r="G412" i="16"/>
  <c r="F412" i="16"/>
  <c r="E412" i="16"/>
  <c r="D412" i="16"/>
  <c r="C412" i="16"/>
  <c r="I352" i="16"/>
  <c r="H352" i="16"/>
  <c r="G352" i="16"/>
  <c r="F352" i="16"/>
  <c r="E352" i="16"/>
  <c r="D352" i="16"/>
  <c r="C352" i="16"/>
  <c r="B350" i="16"/>
  <c r="B349" i="16"/>
  <c r="B348" i="16"/>
  <c r="B347" i="16"/>
  <c r="B346" i="16"/>
  <c r="B345" i="16"/>
  <c r="B344" i="16"/>
  <c r="B343" i="16"/>
  <c r="B342" i="16"/>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B308" i="16"/>
  <c r="B307" i="16"/>
  <c r="B306" i="16"/>
  <c r="B305" i="16"/>
  <c r="B304" i="16"/>
  <c r="B303" i="16"/>
  <c r="B302" i="16"/>
  <c r="B301" i="16"/>
  <c r="B286" i="16"/>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B257" i="16"/>
  <c r="B256" i="16"/>
  <c r="B255" i="16"/>
  <c r="B254" i="16"/>
  <c r="B253" i="16"/>
  <c r="B252" i="16"/>
  <c r="B251" i="16"/>
  <c r="B250" i="16"/>
  <c r="B249" i="16"/>
  <c r="B248" i="16"/>
  <c r="B247" i="16"/>
  <c r="B246" i="16"/>
  <c r="B245" i="16"/>
  <c r="B244" i="16"/>
  <c r="B243" i="16"/>
  <c r="B242" i="16"/>
  <c r="B241" i="16"/>
  <c r="B240" i="16"/>
  <c r="B239" i="16"/>
  <c r="B238" i="16"/>
  <c r="B237"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C137" i="28" l="1"/>
  <c r="G187" i="19"/>
  <c r="D187" i="19"/>
  <c r="H187" i="19"/>
  <c r="G385" i="17"/>
  <c r="E385" i="17"/>
  <c r="I385" i="17"/>
  <c r="F385" i="17"/>
  <c r="J385" i="17"/>
  <c r="D385" i="17"/>
  <c r="H385" i="17"/>
  <c r="F43" i="19"/>
  <c r="J43" i="19"/>
  <c r="G43" i="19"/>
  <c r="D43" i="19"/>
  <c r="H43" i="19"/>
  <c r="E43" i="19"/>
  <c r="I43" i="19"/>
  <c r="D115" i="19"/>
  <c r="H115" i="19"/>
  <c r="E151" i="19"/>
  <c r="I151" i="19"/>
  <c r="F187" i="19"/>
  <c r="J187" i="19"/>
  <c r="D79" i="19"/>
  <c r="H79" i="19"/>
  <c r="G151" i="19"/>
  <c r="F151" i="19"/>
  <c r="J151" i="19"/>
  <c r="D223" i="19"/>
  <c r="H223" i="19"/>
  <c r="E79" i="19"/>
  <c r="I79" i="19"/>
  <c r="G115" i="19"/>
  <c r="E115" i="19"/>
  <c r="I115" i="19"/>
  <c r="F115" i="19"/>
  <c r="J115" i="19"/>
  <c r="G79" i="19"/>
  <c r="F79" i="19"/>
  <c r="J79" i="19"/>
  <c r="D151" i="19"/>
  <c r="H151" i="19"/>
  <c r="E187" i="19"/>
  <c r="I187" i="19"/>
  <c r="G223" i="19"/>
  <c r="E223" i="19"/>
  <c r="I223" i="19"/>
  <c r="F223" i="19"/>
  <c r="J223" i="19"/>
  <c r="F178" i="18"/>
  <c r="D178" i="18"/>
  <c r="H178" i="18"/>
  <c r="C178" i="18"/>
  <c r="G178" i="18"/>
  <c r="E178" i="18"/>
  <c r="I178" i="18"/>
  <c r="C114" i="18"/>
  <c r="E150" i="18"/>
  <c r="I150" i="18"/>
  <c r="G114" i="18"/>
  <c r="D114" i="18"/>
  <c r="H114" i="18"/>
  <c r="F114" i="18"/>
  <c r="C78" i="18"/>
  <c r="E114" i="18"/>
  <c r="I114" i="18"/>
  <c r="C150" i="18"/>
  <c r="G150" i="18"/>
  <c r="D150" i="18"/>
  <c r="H150" i="18"/>
  <c r="F150" i="18"/>
  <c r="F78" i="18"/>
  <c r="E42" i="18"/>
  <c r="I42" i="18"/>
  <c r="G78" i="18"/>
  <c r="D78" i="18"/>
  <c r="H78" i="18"/>
  <c r="E78" i="18"/>
  <c r="I78" i="18"/>
  <c r="F42" i="18"/>
  <c r="C42" i="18"/>
  <c r="G42" i="18"/>
  <c r="D42" i="18"/>
  <c r="H42" i="18"/>
  <c r="J71" i="37" l="1"/>
  <c r="L24" i="30" s="1"/>
  <c r="I71" i="37"/>
  <c r="K24" i="30" s="1"/>
  <c r="H71" i="37"/>
  <c r="J24" i="30" s="1"/>
  <c r="G71" i="37"/>
  <c r="I24" i="30" s="1"/>
  <c r="F71" i="37"/>
  <c r="H24" i="30" s="1"/>
  <c r="E71" i="37"/>
  <c r="G24" i="30" s="1"/>
  <c r="D71" i="37"/>
  <c r="F24" i="30" s="1"/>
  <c r="I64" i="25" l="1"/>
  <c r="I53" i="25"/>
  <c r="B9" i="30"/>
  <c r="H33" i="31"/>
  <c r="H18" i="31"/>
  <c r="J38" i="37"/>
  <c r="I38" i="37"/>
  <c r="H38" i="37"/>
  <c r="G38" i="37"/>
  <c r="F38" i="37"/>
  <c r="E38" i="37"/>
  <c r="D38" i="37"/>
  <c r="J22" i="37"/>
  <c r="I22" i="37"/>
  <c r="H22" i="37"/>
  <c r="G22" i="37"/>
  <c r="F22" i="37"/>
  <c r="E22" i="37"/>
  <c r="D22" i="37"/>
  <c r="G14" i="23"/>
  <c r="G18" i="23"/>
  <c r="G29" i="23"/>
  <c r="G33" i="23"/>
  <c r="I52" i="15" l="1"/>
  <c r="H52" i="15"/>
  <c r="G52" i="15"/>
  <c r="F52" i="15"/>
  <c r="E52" i="15"/>
  <c r="D52" i="15"/>
  <c r="I23" i="15"/>
  <c r="H23" i="15"/>
  <c r="G23" i="15"/>
  <c r="F23" i="15"/>
  <c r="E23" i="15"/>
  <c r="D23" i="15"/>
  <c r="C23" i="15"/>
  <c r="I143" i="15" l="1"/>
  <c r="H143" i="15"/>
  <c r="G143" i="15"/>
  <c r="F143" i="15"/>
  <c r="E143" i="15"/>
  <c r="D143" i="15"/>
  <c r="C143" i="15"/>
  <c r="J64" i="25" l="1"/>
  <c r="H64" i="25"/>
  <c r="G64" i="25"/>
  <c r="F64" i="25"/>
  <c r="E64" i="25"/>
  <c r="D64" i="25"/>
  <c r="J53" i="25"/>
  <c r="H53" i="25"/>
  <c r="G53" i="25"/>
  <c r="F53" i="25"/>
  <c r="E53" i="25"/>
  <c r="D53" i="25"/>
  <c r="I33" i="31"/>
  <c r="G33" i="31"/>
  <c r="F33" i="31"/>
  <c r="E33" i="31"/>
  <c r="D33" i="31"/>
  <c r="C33" i="31"/>
  <c r="I18" i="31"/>
  <c r="G18" i="31"/>
  <c r="F18" i="31"/>
  <c r="E18" i="31"/>
  <c r="D18" i="31"/>
  <c r="C18" i="31"/>
  <c r="I33" i="23"/>
  <c r="H33" i="23"/>
  <c r="F33" i="23"/>
  <c r="E33" i="23"/>
  <c r="D33" i="23"/>
  <c r="C33" i="23"/>
  <c r="I29" i="23"/>
  <c r="H29" i="23"/>
  <c r="F29" i="23"/>
  <c r="E29" i="23"/>
  <c r="D29" i="23"/>
  <c r="C29" i="23"/>
  <c r="I18" i="23"/>
  <c r="H18" i="23"/>
  <c r="F18" i="23"/>
  <c r="E18" i="23"/>
  <c r="D18" i="23"/>
  <c r="C18" i="23"/>
  <c r="I14" i="23"/>
  <c r="H14" i="23"/>
  <c r="F14" i="23"/>
  <c r="E14" i="23"/>
  <c r="D14" i="23"/>
  <c r="C14" i="23"/>
  <c r="J270" i="19"/>
  <c r="I270" i="19"/>
  <c r="H270" i="19"/>
  <c r="G270" i="19"/>
  <c r="F270" i="19"/>
  <c r="E270" i="19"/>
  <c r="D270" i="19"/>
  <c r="I188" i="18"/>
  <c r="H188" i="18"/>
  <c r="G188" i="18"/>
  <c r="F188" i="18"/>
  <c r="E188" i="18"/>
  <c r="D188" i="18"/>
  <c r="C188" i="18"/>
  <c r="F186" i="40" l="1"/>
  <c r="G186" i="40" l="1"/>
  <c r="D186" i="40"/>
  <c r="H186" i="40" l="1"/>
  <c r="C186" i="40"/>
  <c r="I186"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AL28" authorId="0" shapeId="0" xr:uid="{00000000-0006-0000-0200-000001000000}">
      <text>
        <r>
          <rPr>
            <b/>
            <sz val="9"/>
            <color indexed="81"/>
            <rFont val="Tahoma"/>
            <family val="2"/>
          </rPr>
          <t xml:space="preserve">20161017: </t>
        </r>
        <r>
          <rPr>
            <sz val="9"/>
            <color indexed="81"/>
            <rFont val="Tahoma"/>
            <family val="2"/>
          </rPr>
          <t xml:space="preserve">Updated ABN and contact person </t>
        </r>
      </text>
    </comment>
    <comment ref="H52" authorId="0" shapeId="0" xr:uid="{00000000-0006-0000-0200-000002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sharedStrings.xml><?xml version="1.0" encoding="utf-8"?>
<sst xmlns="http://schemas.openxmlformats.org/spreadsheetml/2006/main" count="3233" uniqueCount="1527">
  <si>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</si>
  <si>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</si>
  <si>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</si>
  <si>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</si>
  <si>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5"/>
        <rFont val="Arial"/>
        <family val="2"/>
      </rPr>
      <t>confidential</t>
    </r>
    <r>
      <rPr>
        <sz val="15"/>
        <rFont val="Arial"/>
        <family val="2"/>
      </rPr>
      <t xml:space="preserve"> workbook and
where confidential information has been 
removed in the </t>
    </r>
    <r>
      <rPr>
        <b/>
        <i/>
        <sz val="15"/>
        <rFont val="Arial"/>
        <family val="2"/>
      </rPr>
      <t xml:space="preserve">public </t>
    </r>
    <r>
      <rPr>
        <sz val="15"/>
        <rFont val="Arial"/>
        <family val="2"/>
      </rPr>
      <t xml:space="preserve">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</si>
  <si>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</si>
  <si>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</si>
  <si>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5"/>
        <rFont val="Arial"/>
        <family val="2"/>
      </rPr>
      <t>confidential</t>
    </r>
    <r>
      <rPr>
        <sz val="15"/>
        <rFont val="Arial"/>
        <family val="2"/>
      </rPr>
      <t xml:space="preserve"> workbook that is </t>
    </r>
    <r>
      <rPr>
        <b/>
        <sz val="15"/>
        <rFont val="Arial"/>
        <family val="2"/>
      </rPr>
      <t>protected 
information</t>
    </r>
    <r>
      <rPr>
        <sz val="15"/>
        <rFont val="Arial"/>
        <family val="2"/>
      </rPr>
      <t xml:space="preserve"> under the SOCI Act. All 
information marked </t>
    </r>
    <r>
      <rPr>
        <i/>
        <sz val="15"/>
        <rFont val="Arial"/>
        <family val="2"/>
      </rPr>
      <t xml:space="preserve">Protected (SOCI) </t>
    </r>
    <r>
      <rPr>
        <sz val="15"/>
        <rFont val="Arial"/>
        <family val="2"/>
      </rPr>
      <t xml:space="preserve">is also 
deemed to be </t>
    </r>
    <r>
      <rPr>
        <b/>
        <sz val="15"/>
        <rFont val="Arial"/>
        <family val="2"/>
      </rPr>
      <t>confidential</t>
    </r>
    <r>
      <rPr>
        <sz val="15"/>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</si>
  <si>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</si>
  <si>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</si>
  <si>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redacted or aggregated.
Use the drop down box on the </t>
    </r>
    <r>
      <rPr>
        <i/>
        <sz val="12"/>
        <rFont val="Arial"/>
        <family val="2"/>
      </rPr>
      <t>Business and other details</t>
    </r>
    <r>
      <rPr>
        <sz val="12"/>
        <rFont val="Arial"/>
        <family val="2"/>
      </rPr>
      <t xml:space="preserve"> worksheet to identify the file as either confidential or public. </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</si>
  <si>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</si>
  <si>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</si>
  <si>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</si>
  <si>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</si>
  <si>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</si>
  <si>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</si>
  <si>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</si>
  <si>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PLEASE DO NOT ENTER TEXT into cells that are to contain numbers 
</t>
    </r>
    <r>
      <rPr>
        <b/>
        <sz val="12"/>
        <color rgb="FFFF0000"/>
        <rFont val="Arial"/>
        <family val="2"/>
      </rPr>
      <t>(including 'numbers stored as text')</t>
    </r>
  </si>
  <si>
    <t>CONTENTS</t>
  </si>
  <si>
    <t>TEMPLATE DATE</t>
  </si>
  <si>
    <t>FEBRUARY 2024</t>
  </si>
  <si>
    <t>SUBMISSION</t>
  </si>
  <si>
    <t>Business &amp; other details</t>
  </si>
  <si>
    <t>EXPENDITURE</t>
  </si>
  <si>
    <t>E1. Expenditure Summary</t>
  </si>
  <si>
    <t>E2. Mains Repex</t>
  </si>
  <si>
    <t>E3. Mains Augex</t>
  </si>
  <si>
    <t>E4. Meter replacement</t>
  </si>
  <si>
    <t>E5. New Connections</t>
  </si>
  <si>
    <t>E6. Non-network</t>
  </si>
  <si>
    <t>E10. Overheads</t>
  </si>
  <si>
    <t>E12. ICT</t>
  </si>
  <si>
    <t>E13. Other capex</t>
  </si>
  <si>
    <t>E17. Step changes</t>
  </si>
  <si>
    <t>E20. Opex</t>
  </si>
  <si>
    <t>E21. ARS</t>
  </si>
  <si>
    <t>E25. Escalators</t>
  </si>
  <si>
    <t>NETWORK</t>
  </si>
  <si>
    <t>N1. Demand</t>
  </si>
  <si>
    <t>N2. Network characteristcs</t>
  </si>
  <si>
    <t>SERVICE</t>
  </si>
  <si>
    <t>S1. Customer numbers - by customer type</t>
  </si>
  <si>
    <t>S1.2. Customer numbers - by tariff</t>
  </si>
  <si>
    <t>S10. Supply Quality</t>
  </si>
  <si>
    <t>S11. Network reliability</t>
  </si>
  <si>
    <t>FINANCIAL</t>
  </si>
  <si>
    <t>F3. Revenue</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</si>
  <si>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</si>
  <si>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</si>
  <si>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</si>
  <si>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</si>
  <si>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</si>
  <si>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</si>
  <si>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</si>
  <si>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</si>
  <si>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AGN (SA)</t>
  </si>
  <si>
    <t>ACN/ABN</t>
  </si>
  <si>
    <t>Business Address</t>
  </si>
  <si>
    <t>Postal Address</t>
  </si>
  <si>
    <t>Address 1</t>
  </si>
  <si>
    <t>Level 6 400 King William Street</t>
  </si>
  <si>
    <t>Address 2</t>
  </si>
  <si>
    <t>Suburb</t>
  </si>
  <si>
    <t>Adelaide</t>
  </si>
  <si>
    <t>State</t>
  </si>
  <si>
    <t>SA</t>
  </si>
  <si>
    <t>Post code</t>
  </si>
  <si>
    <t>`</t>
  </si>
  <si>
    <t>Contact Names</t>
  </si>
  <si>
    <t>Name</t>
  </si>
  <si>
    <t>Phone</t>
  </si>
  <si>
    <t>Email</t>
  </si>
  <si>
    <t>REGULATORY CONTROL PERIODS</t>
  </si>
  <si>
    <t>Forthcoming period</t>
  </si>
  <si>
    <t>2026-27</t>
  </si>
  <si>
    <t>RESETS</t>
  </si>
  <si>
    <t>Current period</t>
  </si>
  <si>
    <t>Previous period</t>
  </si>
  <si>
    <t>Commencing year</t>
  </si>
  <si>
    <t>2025-26</t>
  </si>
  <si>
    <t>ANNUAL RINS</t>
  </si>
  <si>
    <t>Final year</t>
  </si>
  <si>
    <t>2029-30</t>
  </si>
  <si>
    <t>SUBMISSION DETAILS</t>
  </si>
  <si>
    <t>RIN type</t>
  </si>
  <si>
    <t>Source</t>
  </si>
  <si>
    <t>Regulatory proposal</t>
  </si>
  <si>
    <t>THIS FILE</t>
  </si>
  <si>
    <t>Data Quality</t>
  </si>
  <si>
    <t>Consolidated</t>
  </si>
  <si>
    <t>Confidentiality Status</t>
  </si>
  <si>
    <t>Confidential</t>
  </si>
  <si>
    <t>Amendment Reason</t>
  </si>
  <si>
    <t>Submission Date</t>
  </si>
  <si>
    <t>Please enter date this file submitted to AER</t>
  </si>
  <si>
    <t>#25C6FF</t>
  </si>
  <si>
    <t>Protected (SOCI)</t>
  </si>
  <si>
    <t>#FFCCCC</t>
  </si>
  <si>
    <t>12.5% Grey</t>
  </si>
  <si>
    <t>Amended</t>
  </si>
  <si>
    <t>E1. EXPENDITURE SUMMARY</t>
  </si>
  <si>
    <t>#FFCCCC &amp; 
12.5% Grey</t>
  </si>
  <si>
    <t>Amended Confidential</t>
  </si>
  <si>
    <t>DRAFT RIN TEMPLATE - OCTOBER 2024</t>
  </si>
  <si>
    <t>E1.1 - CAPEX</t>
  </si>
  <si>
    <t>E1.1.1 - REFERENCE SERVICES</t>
  </si>
  <si>
    <t>Connections (gas)</t>
  </si>
  <si>
    <t>Mains replacement</t>
  </si>
  <si>
    <t>Mains augmentation</t>
  </si>
  <si>
    <t>Telemetry</t>
  </si>
  <si>
    <t>Meter replacement</t>
  </si>
  <si>
    <t>ICT</t>
  </si>
  <si>
    <t>Capitalised network overheads</t>
  </si>
  <si>
    <t>Capitalised corporate overheads</t>
  </si>
  <si>
    <t>Other capex</t>
  </si>
  <si>
    <r>
      <t xml:space="preserve">Capital contributions </t>
    </r>
    <r>
      <rPr>
        <i/>
        <sz val="10"/>
        <color theme="0" tint="-0.499984740745262"/>
        <rFont val="Arial"/>
        <family val="2"/>
      </rPr>
      <t>included in the above</t>
    </r>
  </si>
  <si>
    <r>
      <t xml:space="preserve">Total </t>
    </r>
    <r>
      <rPr>
        <i/>
        <sz val="10"/>
        <color theme="1" tint="0.249977111117893"/>
        <rFont val="Calibri"/>
        <family val="2"/>
        <scheme val="minor"/>
      </rPr>
      <t>(less capital contributions)</t>
    </r>
  </si>
  <si>
    <t>E1.1.2 - NON-REFERENCE SERVICES</t>
  </si>
  <si>
    <t>Capital contributions included in the above</t>
  </si>
  <si>
    <t>Total</t>
  </si>
  <si>
    <t>E1.2 - OPEX</t>
  </si>
  <si>
    <t>E1.2.1 - REFERENCE SERVICES</t>
  </si>
  <si>
    <r>
      <rPr>
        <b/>
        <sz val="11"/>
        <rFont val="Calibri"/>
        <family val="2"/>
        <scheme val="minor"/>
      </rPr>
      <t>Total</t>
    </r>
    <r>
      <rPr>
        <b/>
        <sz val="9"/>
        <color theme="1" tint="0.34998626667073579"/>
        <rFont val="Calibri"/>
        <family val="2"/>
        <scheme val="minor"/>
      </rPr>
      <t/>
    </r>
  </si>
  <si>
    <t>E1.2.2 - NON-REFERENCE SERVICES</t>
  </si>
  <si>
    <t>E1.3 - CAPCONS</t>
  </si>
  <si>
    <t>E1.3.1 - REFERENCE SERVICES</t>
  </si>
  <si>
    <t>E1.3.2 - NON-REFERENCE SERVICES</t>
  </si>
  <si>
    <t>E1.4 - CAPITALISED OVERHEADS</t>
  </si>
  <si>
    <t>E1.4.1 - REFERENCE SERVICES</t>
  </si>
  <si>
    <r>
      <rPr>
        <sz val="10"/>
        <rFont val="Arial"/>
        <family val="2"/>
      </rPr>
      <t>Capital contributions</t>
    </r>
    <r>
      <rPr>
        <i/>
        <sz val="10"/>
        <rFont val="Arial"/>
        <family val="2"/>
      </rPr>
      <t xml:space="preserve"> </t>
    </r>
    <r>
      <rPr>
        <i/>
        <sz val="10"/>
        <color theme="0" tint="-0.499984740745262"/>
        <rFont val="Arial"/>
        <family val="2"/>
      </rPr>
      <t>included in the above</t>
    </r>
  </si>
  <si>
    <t>E1.4.2 - NON-REFERENCE SERVICES</t>
  </si>
  <si>
    <t>E2. MAINS REPLACEMENT</t>
  </si>
  <si>
    <t>Please list all projects or categories here:</t>
  </si>
  <si>
    <t>E2.1 - CAPEX</t>
  </si>
  <si>
    <t>E2.1.1 - PROACTIVE - BY PROJECT</t>
  </si>
  <si>
    <t>A. DIRECT INTERNAL LABOUR EXPENDITURE</t>
  </si>
  <si>
    <t>Other projects or categories with expenditure of less than $500,000</t>
  </si>
  <si>
    <t>B. DIRECT CONTRACTOR EXPENDITURE</t>
  </si>
  <si>
    <t>C. DIRECT MATERIAL EXPENDITURE</t>
  </si>
  <si>
    <t>D. OTHER DIRECT EXPENDITURE</t>
  </si>
  <si>
    <t>E. RELATED PARTY MARGIN EXPENDITURE</t>
  </si>
  <si>
    <r>
      <t xml:space="preserve">F. CAPITAL CONTRIBUTIONS </t>
    </r>
    <r>
      <rPr>
        <b/>
        <i/>
        <sz val="10"/>
        <color theme="1" tint="0.34998626667073579"/>
        <rFont val="Arial"/>
        <family val="2"/>
      </rPr>
      <t>included in the above</t>
    </r>
  </si>
  <si>
    <t>E2.1.2 - REACTIVE - BY CONNECTION TYPE</t>
  </si>
  <si>
    <t>Mains</t>
  </si>
  <si>
    <t>Services</t>
  </si>
  <si>
    <t>TOTAL</t>
  </si>
  <si>
    <t>E2.2 - VOLUMES</t>
  </si>
  <si>
    <t>E2.2.1 - PROACTIVE - BY CONNECTION TYPE - BY PROJECT</t>
  </si>
  <si>
    <t>LENGTH</t>
  </si>
  <si>
    <t>0s, metres</t>
  </si>
  <si>
    <t>A. LOW PRESSURE TO HIGH PRESSURE</t>
  </si>
  <si>
    <t>Aggregate of other projects or categories with total expenditure of less than $500,000</t>
  </si>
  <si>
    <t>B. LOW PRESSURE TO MEDIUM PRESSURE</t>
  </si>
  <si>
    <t>C. LOW PRESSURE TO LOW PRESSURE</t>
  </si>
  <si>
    <t>D. MEDIUM PRESSURE TO MEDIUM PRESSURE</t>
  </si>
  <si>
    <t>E. MEDIUM PRESSURE TO HIGH PRESSURE</t>
  </si>
  <si>
    <t>F. HIGH PRESSURE TO HIGH PRESSURE</t>
  </si>
  <si>
    <t>E2.2.2 - REACTIVE - BY CONNECTION TYPE</t>
  </si>
  <si>
    <t>VOLUMES</t>
  </si>
  <si>
    <t>0s</t>
  </si>
  <si>
    <t>Length of mains replaced</t>
  </si>
  <si>
    <t>Number of services replaced</t>
  </si>
  <si>
    <t>E3. MAINS AUGMENTATION</t>
  </si>
  <si>
    <t>E3.1 - CAPEX BY PROJECT</t>
  </si>
  <si>
    <t>E3.2 - VOLUMES - BY PRESSURE TYPE - BY PROJECT</t>
  </si>
  <si>
    <t>A. LOW PRESSURE TO LOW PRESSURE</t>
  </si>
  <si>
    <t>C. LOW PRESSURE TO HIGH PRESSURE</t>
  </si>
  <si>
    <t>E4. METER (GAS) REPLACEMENT</t>
  </si>
  <si>
    <t>E4.1 - CAPEX</t>
  </si>
  <si>
    <t>E4.1.1 - NEW METERS ACQUIRED</t>
  </si>
  <si>
    <t>Residential</t>
  </si>
  <si>
    <t>Industrial and Commercial</t>
  </si>
  <si>
    <t>Other</t>
  </si>
  <si>
    <t>E4.1.2 - METER (GAS) REFURBISHMENT</t>
  </si>
  <si>
    <t>E4.1.3 - METER (GAS) INSTALLATION</t>
  </si>
  <si>
    <t>E4.1.4 - OTHER METER (GAS) REPLACEMENT CAPEX</t>
  </si>
  <si>
    <t>E4.2 - VOLUMES</t>
  </si>
  <si>
    <t>E4.2.1 - NUMBER OF NEW METERS ACQUIRED</t>
  </si>
  <si>
    <t>Industrial and commercial</t>
  </si>
  <si>
    <t>Other meters</t>
  </si>
  <si>
    <t>E4.2.2 - NUMBER OF METERS REFURBISHED</t>
  </si>
  <si>
    <t>A. REFURBISHABLE METERS REMOVED</t>
  </si>
  <si>
    <t>B. METERS DECOMMISSIONED</t>
  </si>
  <si>
    <t>E4.2.3 - NUMBER OF METERS INSTALLED</t>
  </si>
  <si>
    <t>E4.2.4 - NUMBER OF METERS REMOVED / DECOMMISSIONED</t>
  </si>
  <si>
    <t>E4.2.5 - OTHER METER (GAS) REPLACEMENT VOLUMES</t>
  </si>
  <si>
    <t>E5. CONNECTIONS (GAS)</t>
  </si>
  <si>
    <t>E5.1 - EXPENDITURE</t>
  </si>
  <si>
    <t>E5.1.1 - CAPEX - BY CONNECTION TYPE</t>
  </si>
  <si>
    <t>(i)  ELECTRICITY TO GAS</t>
  </si>
  <si>
    <t>Distribution mains</t>
  </si>
  <si>
    <t>Inlet service pipes</t>
  </si>
  <si>
    <t>Meters (gas)</t>
  </si>
  <si>
    <t>(ii)  NEW HOMES</t>
  </si>
  <si>
    <t>(iii)  NEW MEDIUM DENSITY / HIGH RISE</t>
  </si>
  <si>
    <t>(iv)  INDUSTRIAL &amp; COMMERCIAL TARIFF</t>
  </si>
  <si>
    <t>(v)  INDUSTRIAL &amp; COMMERCIAL CONTRACT</t>
  </si>
  <si>
    <t>(vi)  GAS SUPPLIERS</t>
  </si>
  <si>
    <t>E5.2 - UNIT RATES</t>
  </si>
  <si>
    <t>E5.2.1 - UNIT RATES - PER CONNECTION - BY CONNECTION TYPE</t>
  </si>
  <si>
    <t>RATES PER CONNECTION</t>
  </si>
  <si>
    <t>Units</t>
  </si>
  <si>
    <t>A. ELECTRICITY TO GAS</t>
  </si>
  <si>
    <t>per metre per connection</t>
  </si>
  <si>
    <t>per service per connection</t>
  </si>
  <si>
    <t>number per connection</t>
  </si>
  <si>
    <t>B. NEW HOMES</t>
  </si>
  <si>
    <t>C. NEW MEDIUM DENSITY / HIGH RISE</t>
  </si>
  <si>
    <t>D. INDUSTRIAL &amp; COMMERCIAL TARIFF</t>
  </si>
  <si>
    <t>E. INDUSTRIAL &amp; COMMERCIAL CONTRACT</t>
  </si>
  <si>
    <t>F. GAS SUPPLIERS</t>
  </si>
  <si>
    <t>E5.3 - VOLUMES</t>
  </si>
  <si>
    <t>E5.3.1 - NUMBER OF NEW CONNECTIONS</t>
  </si>
  <si>
    <t>Electricity to gas</t>
  </si>
  <si>
    <t>New homes</t>
  </si>
  <si>
    <t>New medium density / high rise</t>
  </si>
  <si>
    <t>Industrial and commercial tariff</t>
  </si>
  <si>
    <t>Industrial and commercial contract</t>
  </si>
  <si>
    <t>Gas suppliers</t>
  </si>
  <si>
    <t>E5.3.2 - VOLUMES - PER CONNECTION - BY CONNECTION TYPE</t>
  </si>
  <si>
    <t>metres per connection</t>
  </si>
  <si>
    <t>E5.4 -  CAPITAL CONTRIBUTIONS</t>
  </si>
  <si>
    <t>E5.4.1 - VALUE OF CAPITAL CONTRIBUTIONS - BY CONNECTION TYPE</t>
  </si>
  <si>
    <t>VALUE</t>
  </si>
  <si>
    <t>Industrial &amp; commercial tariff</t>
  </si>
  <si>
    <t>Industrial &amp; commercial contract</t>
  </si>
  <si>
    <t>E5.4.2 - NUMBER OF CAPITAL CONTRIBUTIONS - BY CONNECTION TYPE</t>
  </si>
  <si>
    <t>0's</t>
  </si>
  <si>
    <t>E6. NON-NETWORK EXPENDITURE</t>
  </si>
  <si>
    <t>E6.5 - TELEMETRY</t>
  </si>
  <si>
    <t>E6.5.1 - CAPEX - BY PROJECT</t>
  </si>
  <si>
    <t>E6.5.2 - EXPENDITURE BY PURPOSE</t>
  </si>
  <si>
    <t>OPEX</t>
  </si>
  <si>
    <t>Recurrent expenditure</t>
  </si>
  <si>
    <t>Non-recurrent expenditure</t>
  </si>
  <si>
    <t>CAPEX</t>
  </si>
  <si>
    <t>E10. OVERHEADS EXPENDITURE</t>
  </si>
  <si>
    <t>E10.1 - NETWORK</t>
  </si>
  <si>
    <t>E10.1.1 - OPEX</t>
  </si>
  <si>
    <t>Reference services</t>
  </si>
  <si>
    <t>Non-reference services</t>
  </si>
  <si>
    <t>E10.1.2 - CAPEX</t>
  </si>
  <si>
    <t>E10.2 - CORPORATE</t>
  </si>
  <si>
    <t>E10.2.1 - OPEX</t>
  </si>
  <si>
    <t>E10.2.2 - CAPEX</t>
  </si>
  <si>
    <t>E12. INFORMATION AND COMMUNICATION TECHNOLOGY</t>
  </si>
  <si>
    <t>E12.1 - CAPEX - BY PROJECT</t>
  </si>
  <si>
    <t>E12.2 - EXPENDITURE BY PURPOSE</t>
  </si>
  <si>
    <t>E13. OTHER CAPITAL EXPENDITURE</t>
  </si>
  <si>
    <t>E13.1 - CAPEX - BY PROJECT</t>
  </si>
  <si>
    <t>E17. STEP CHANGES</t>
  </si>
  <si>
    <t>E17.1 - STEP CHANGES FOR REFERENCE SERVICES</t>
  </si>
  <si>
    <t>E17.1.1 - FORECAST OPEX</t>
  </si>
  <si>
    <t>Step change</t>
  </si>
  <si>
    <t>Description</t>
  </si>
  <si>
    <t>E17.1.2 - FORECAST CAPEX</t>
  </si>
  <si>
    <t>E17.2 - CATEGORY SPECIFIC FORECASTS</t>
  </si>
  <si>
    <t>Category desription</t>
  </si>
  <si>
    <t>E20. OPERATING EXPENDITURE</t>
  </si>
  <si>
    <t>IMPORTANT!</t>
  </si>
  <si>
    <t>Yes</t>
  </si>
  <si>
    <t>Yes /  No</t>
  </si>
  <si>
    <t>Please nominate the base year</t>
  </si>
  <si>
    <t>2024-25</t>
  </si>
  <si>
    <t>2015-16</t>
  </si>
  <si>
    <t>2016-17</t>
  </si>
  <si>
    <t>2017-18</t>
  </si>
  <si>
    <t>2018-19</t>
  </si>
  <si>
    <t>2019-20</t>
  </si>
  <si>
    <t>E20.1 - OPEX - BY DRIVER</t>
  </si>
  <si>
    <t xml:space="preserve">E20.1.1 - REFERENCE SERVICES  </t>
  </si>
  <si>
    <t>Base year total opex, excluding category specific</t>
  </si>
  <si>
    <t>Increment from base year to final year</t>
  </si>
  <si>
    <t>Price growth</t>
  </si>
  <si>
    <t>Output growth</t>
  </si>
  <si>
    <t>Productivity growth</t>
  </si>
  <si>
    <t>Step changes</t>
  </si>
  <si>
    <t>Category specific</t>
  </si>
  <si>
    <t xml:space="preserve">E20.1.2 - NON-REFERENCE SERVICES  </t>
  </si>
  <si>
    <t>E20.2 - OPEX - BY CATEGORY</t>
  </si>
  <si>
    <t>E20.2.1 - REFERENCE SERVICES</t>
  </si>
  <si>
    <t>repairs and maintenance</t>
  </si>
  <si>
    <t>marketing and retail incentives</t>
  </si>
  <si>
    <t>debt raising</t>
  </si>
  <si>
    <t>equity raising</t>
  </si>
  <si>
    <t>unaccounted for gas</t>
  </si>
  <si>
    <t>jurisdictional charges</t>
  </si>
  <si>
    <t>GSL payments</t>
  </si>
  <si>
    <t>other opex</t>
  </si>
  <si>
    <t>E20.2.2 - NON-REFERENCE SERVICES</t>
  </si>
  <si>
    <t>E20.3 - OPEX - BY CATEGORY - RELATED PARTY MARGIN EXPENDITURE</t>
  </si>
  <si>
    <t>20.3.1 - REFERENCE SERVICES</t>
  </si>
  <si>
    <t>20.3.2 - NON-REFERENCE SERVICES</t>
  </si>
  <si>
    <t>E21. ANCILLARY REFERENCE SERVICES</t>
  </si>
  <si>
    <t>E21.1 - VOLUMES</t>
  </si>
  <si>
    <t>NUMBER OF SERVICES</t>
  </si>
  <si>
    <t>E21.2 - omitted</t>
  </si>
  <si>
    <t>E21.3 - EXPENDITURE</t>
  </si>
  <si>
    <t>E25. ESCALATORS</t>
  </si>
  <si>
    <t>E25.1 - FORECAST CAPEX AND OPEX PRICE CHANGES</t>
  </si>
  <si>
    <t>Price changes (% YoY real)</t>
  </si>
  <si>
    <t>E25.1.1 - OPEX</t>
  </si>
  <si>
    <t>E25.1.2 - CAPEX</t>
  </si>
  <si>
    <t>N1. DEMAND</t>
  </si>
  <si>
    <t>N1.1 - DEMAND - BY CUSTOMER (GAS) TYPE</t>
  </si>
  <si>
    <t>VOLUME</t>
  </si>
  <si>
    <t>GJ</t>
  </si>
  <si>
    <t>Commercial</t>
  </si>
  <si>
    <t>Industrial</t>
  </si>
  <si>
    <t>N1.2 - DEMAND - BY TARIFF</t>
  </si>
  <si>
    <t>Tariff</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</si>
  <si>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</si>
  <si>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</si>
  <si>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</si>
  <si>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</si>
  <si>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</si>
  <si>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</si>
  <si>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</si>
  <si>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</si>
  <si>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</si>
  <si>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</si>
  <si>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</si>
  <si>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</si>
  <si>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</si>
  <si>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</si>
  <si>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</si>
  <si>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N2.1.2 - MEDIUM PRESSURE</t>
  </si>
  <si>
    <t>N2.1.3 - HIGH PRESSURE</t>
  </si>
  <si>
    <t>N2.1.4 - TRANSMISSION</t>
  </si>
  <si>
    <t>N2.2 - CITY GATES / REGULATORS</t>
  </si>
  <si>
    <t xml:space="preserve"> 0's</t>
  </si>
  <si>
    <t>City Gate</t>
  </si>
  <si>
    <t>Field Regulator</t>
  </si>
  <si>
    <t>District Regulator</t>
  </si>
  <si>
    <t>S1. CUSTOMER NUMBERS</t>
  </si>
  <si>
    <t xml:space="preserve">S1.1 - CUSTOMER NUMBERS - BY CUSTOMER (GAS) TYPE </t>
  </si>
  <si>
    <t>NUMBER OF CUSTOMERS</t>
  </si>
  <si>
    <t>A. RESIDENTIAL</t>
  </si>
  <si>
    <t>Customer numbers - beginning of year</t>
  </si>
  <si>
    <t>Customer numbers - end of year</t>
  </si>
  <si>
    <t>Total customer connections</t>
  </si>
  <si>
    <t>Total customer disconnections</t>
  </si>
  <si>
    <t>B. COMMERCIAL</t>
  </si>
  <si>
    <t>C. INDUSTRIAL</t>
  </si>
  <si>
    <t>S1.3 - CUSTOMER DISCONNECTIONS - BY CUSTOMER (GAS) TYPE</t>
  </si>
  <si>
    <t>Disconnection - meter not removed</t>
  </si>
  <si>
    <t>Disconnection - meter removed</t>
  </si>
  <si>
    <t>Disconnection - other</t>
  </si>
  <si>
    <t>Abolishment</t>
  </si>
  <si>
    <t>S1.4 - CONNECTION ACTIVITIES - BY CUSTOMER (GAS) TYPE</t>
  </si>
  <si>
    <t>NUMBER OF CONNECTIONS</t>
  </si>
  <si>
    <t>New connections (no previous supply)</t>
  </si>
  <si>
    <t>Reconnections (previous supply at the connection point)</t>
  </si>
  <si>
    <t>S1.5 - DORMANT CONNECTIONS - BY CUSTOMER (GAS) TYPE</t>
  </si>
  <si>
    <t>NUMBER OF DORMANT CONNECTIONS</t>
  </si>
  <si>
    <t>Dormant connection &lt;= 12 months</t>
  </si>
  <si>
    <t>Dormant connection &gt; 12 months</t>
  </si>
  <si>
    <t>S1.2 - CUSTOMER NUMBERS - BY TARIFF</t>
  </si>
  <si>
    <t>S1.2.1 - CUSTOMER NUMBERS - BEGINNING OF YEAR</t>
  </si>
  <si>
    <t>S1.2.2 - CUSTOMER NUMBERS - END OF YEAR</t>
  </si>
  <si>
    <t>S1.2.3 - TOTAL CUSTOMER CONNECTIONS</t>
  </si>
  <si>
    <t>S1.2.4 - TOTAL CUSTOMER DISCONNECTIONS</t>
  </si>
  <si>
    <t>S10. SUPPLY QUALITY</t>
  </si>
  <si>
    <t>S10.1 - PRESSURE FAULTS</t>
  </si>
  <si>
    <t>NUMBER OF EVENTS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</si>
  <si>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</si>
  <si>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</si>
  <si>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</si>
  <si>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</si>
  <si>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</si>
  <si>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</si>
  <si>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</si>
  <si>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</si>
  <si>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</si>
  <si>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</si>
  <si>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interruption</t>
  </si>
  <si>
    <t>S11.1.2 - UNPLANNED</t>
  </si>
  <si>
    <t>S11.3 - UNACCOUNTED FOR GAS - TRANSMISSION AND DISTRIBUTION</t>
  </si>
  <si>
    <t>Place of loss</t>
  </si>
  <si>
    <t>F3. REVENUE</t>
  </si>
  <si>
    <t>F3.1 - REFERENCE SERVICES</t>
  </si>
  <si>
    <t>F3.1.1 -  REVENUE - BY TARIFF</t>
  </si>
  <si>
    <t>REVENUE</t>
  </si>
  <si>
    <t>F3.1.2 - STAND ALONE COST PER UNIT - BY TARIFF CLASS</t>
  </si>
  <si>
    <t>STAND ALONE COST PER UNIT</t>
  </si>
  <si>
    <t>Tariff Class</t>
  </si>
  <si>
    <t>F3.1.3 -  AVOIDABLE COST PER UNIT - BY TARIFF CLASS</t>
  </si>
  <si>
    <t>AVOIDABLE COST PER UNIT</t>
  </si>
  <si>
    <t>F3.2 - ANCILLARY REFERENCE SERVICES</t>
  </si>
  <si>
    <t>Service Name</t>
  </si>
  <si>
    <t>F3.3 - REBATEABLE SERVICES</t>
  </si>
  <si>
    <t>F3.4 - NON-REFERENCE SERVICES</t>
  </si>
  <si>
    <t>F3.5 - TOTAL REVENUE</t>
  </si>
  <si>
    <t>AER CONDITIONAL FORMATTING</t>
  </si>
  <si>
    <t>CELLS FLAGED "Y" and greyed out will be greyed out in the worksheets.</t>
  </si>
  <si>
    <t>CONDITIONAL FORMATTING MAP</t>
  </si>
  <si>
    <t>=INDEX(dms_CF_3.6.1, MATCH(dms_TradingName,dms_CF_TradingName))="Y"</t>
  </si>
  <si>
    <t>=INDEX(dms_CF_3.6.5, MATCH(dms_TradingName,dms_CF_TradingName))="Y"</t>
  </si>
  <si>
    <t>=INDEX(dms_CF_3.6.6.1, MATCH(dms_TradingName,dms_CF_TradingName))="Y"</t>
  </si>
  <si>
    <t>=INDEX(dms_CF_3.6.6.2, MATCH(dms_TradingName,dms_CF_TradingName))="Y"</t>
  </si>
  <si>
    <t>=INDEX(dms_CF_3.6.6.3,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</si>
  <si>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</si>
  <si>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</si>
  <si>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</si>
  <si>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</si>
  <si>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=INDEX(dms_CF_3.6.8, MATCH(dms_TradingName,dms_CF_TradingName))="Y"</t>
  </si>
  <si>
    <t>=INDEX(dms_CF_4.1,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</si>
  <si>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</si>
  <si>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</si>
  <si>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</si>
  <si>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</si>
  <si>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=INDEX(dms_CF_4.4.1_Neg, MATCH(dms_TradingName,dms_CF_TradingName))="Y"</t>
  </si>
  <si>
    <t>=INDEX(dms_CF_F10, MATCH(dms_TradingName,dms_CF_TradingName))="Y"</t>
  </si>
  <si>
    <t>dms_CF_TradingName</t>
  </si>
  <si>
    <t>JurisdictionList</t>
  </si>
  <si>
    <t>Sector</t>
  </si>
  <si>
    <t>Segment</t>
  </si>
  <si>
    <t>dms_CF_3.6.1</t>
  </si>
  <si>
    <t>dms_CF_3.6.5</t>
  </si>
  <si>
    <t>dms_CF_3.6.6.1</t>
  </si>
  <si>
    <t>dms_CF_3.6.6.2</t>
  </si>
  <si>
    <t>dms_CF_3.6.6.3</t>
  </si>
  <si>
    <t>dms_CF_3.6.7.1</t>
  </si>
  <si>
    <t>dms_CF_3.6.7.2</t>
  </si>
  <si>
    <t>dms_CF_3.6.7.3</t>
  </si>
  <si>
    <t>dms_CF_3.6.7.4</t>
  </si>
  <si>
    <t>dms_CF_3.6.8</t>
  </si>
  <si>
    <t>dms_CF_4.1</t>
  </si>
  <si>
    <t>dms_CF_6.8 (set from dms_MAIFI_flag)</t>
  </si>
  <si>
    <t>dms_CF_7.12</t>
  </si>
  <si>
    <t>dms_CF_8.1_A  (and 8.4)</t>
  </si>
  <si>
    <t>dms_CF_8.1_B  (and 8.4)</t>
  </si>
  <si>
    <t>dms_CF_8.1_Neg  (and 8.4)</t>
  </si>
  <si>
    <t>dms_CF_4.4.1</t>
  </si>
  <si>
    <t>dms_CF_MAIFI_flag (set from dms_MAIFI_flag)</t>
  </si>
  <si>
    <t>9.5 TUOS (set from Jurisdiction)</t>
  </si>
  <si>
    <t>dms_CF_F10</t>
  </si>
  <si>
    <t>Amadeus</t>
  </si>
  <si>
    <t>NT</t>
  </si>
  <si>
    <t>Gas</t>
  </si>
  <si>
    <t>Transmission</t>
  </si>
  <si>
    <t>-</t>
  </si>
  <si>
    <t>APA GasNet</t>
  </si>
  <si>
    <t>Vic</t>
  </si>
  <si>
    <t>Worksheet 6.2 STPIS reliability</t>
  </si>
  <si>
    <t>Formula</t>
  </si>
  <si>
    <t>Applied to:</t>
  </si>
  <si>
    <t>=INDEX(dms_CBD_flag,MATCH(dms_TradingName,dms_TradingName_List))="NO"</t>
  </si>
  <si>
    <t>$D$11,$D$17,$D$23,$D$33,$D$39,$D$45,$D$55,$D$61,$D$67,$D$77,$D$83,$D$89</t>
  </si>
  <si>
    <t>=INDEX(dms_Urban_flag,MATCH(dms_TradingName,dms_TradingName_List))="NO"</t>
  </si>
  <si>
    <t>$D$12,$D$18,$D$24,$D$56,$D$62,$D$78,$D$68,$D$84</t>
  </si>
  <si>
    <t>=INDEX(dms_ShortRural_flag,MATCH(dms_TradingName,dms_TradingName_List))="NO"</t>
  </si>
  <si>
    <t>$D$13,$D$19,$D$25,$D$57,$D$63,$D$69,$D$79,$D$85</t>
  </si>
  <si>
    <t>=INDEX(dms_LongRural_flag,MATCH(dms_TradingName,dms_TradingName_List))="NO"</t>
  </si>
  <si>
    <t>$D$14,$D$20,$D$26,$D$58,$D$64,$D$65,$D$70,$D$71,$D$80,$D$86</t>
  </si>
  <si>
    <t>=INDEX(dms_FeederType_5_flag,MATCH(dms_TradingName,dms_TradingName_List))="NO"</t>
  </si>
  <si>
    <t>$D$87,$D$81,$D$71,$D$65,$D$59,$D$49,$D$43,$D$37,$D$21,$D$15</t>
  </si>
  <si>
    <t>=dms_MAIFI_Flag="No"</t>
  </si>
  <si>
    <t>$D$55:$D$72</t>
  </si>
  <si>
    <t>=(INDEX(dms_Model_Span,MATCH(dms_Model,dms_Model_List))&gt;1)</t>
  </si>
  <si>
    <t>=(INDEX(dms_Model_Span,MATCH(dms_Model,dms_Model_List))=1)</t>
  </si>
  <si>
    <t>STYLES IN USE</t>
  </si>
  <si>
    <t>HEADING ONE</t>
  </si>
  <si>
    <t>dms_1</t>
  </si>
  <si>
    <t>HEADING TWO</t>
  </si>
  <si>
    <t>dms_2</t>
  </si>
  <si>
    <t>HEADING THREE</t>
  </si>
  <si>
    <t>dms_3</t>
  </si>
  <si>
    <t>HEADING FOUR</t>
  </si>
  <si>
    <t>dms_4</t>
  </si>
  <si>
    <t>HEADING FIVE</t>
  </si>
  <si>
    <t>dms_5</t>
  </si>
  <si>
    <t>dms_NUM</t>
  </si>
  <si>
    <t>dms_NUM%</t>
  </si>
  <si>
    <t>dms_NUM3d</t>
  </si>
  <si>
    <t>Text description</t>
  </si>
  <si>
    <t>dms_Row_Locked</t>
  </si>
  <si>
    <t>dms_Row1</t>
  </si>
  <si>
    <t>dms_Row2</t>
  </si>
  <si>
    <t>dms_T1</t>
  </si>
  <si>
    <t>dms_T2</t>
  </si>
  <si>
    <t>EXPENSES</t>
  </si>
  <si>
    <t>dms_BH</t>
  </si>
  <si>
    <t>dms_BY1</t>
  </si>
  <si>
    <t>dms_BY2</t>
  </si>
  <si>
    <t>dms_GH</t>
  </si>
  <si>
    <t>dms_GY1</t>
  </si>
  <si>
    <t>dms_GY2</t>
  </si>
  <si>
    <t>AER NAMED RANGES</t>
  </si>
  <si>
    <t>DROP DOWN SELECTORS USED IN WORKBOOKS</t>
  </si>
  <si>
    <t>COVER SHEET</t>
  </si>
  <si>
    <t>dms_DataQuality_List</t>
  </si>
  <si>
    <t>dms_Confid_status_List</t>
  </si>
  <si>
    <t>-- select --</t>
  </si>
  <si>
    <t>Actual</t>
  </si>
  <si>
    <t>Public</t>
  </si>
  <si>
    <t>Estimate</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</si>
  <si>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</si>
  <si>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</si>
  <si>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</si>
  <si>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</si>
  <si>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</si>
  <si>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</si>
  <si>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</si>
  <si>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</si>
  <si>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Tariff cap</t>
  </si>
  <si>
    <t>Final decision</t>
  </si>
  <si>
    <t>Weighted average price cap</t>
  </si>
  <si>
    <t>PTRM update 1</t>
  </si>
  <si>
    <t>PTRM update 2</t>
  </si>
  <si>
    <t>PTRM update 3</t>
  </si>
  <si>
    <t>PTRM update 4</t>
  </si>
  <si>
    <t>PTRM update 5</t>
  </si>
  <si>
    <t>PTRM update 6</t>
  </si>
  <si>
    <t>PTRM update 7</t>
  </si>
  <si>
    <t>Reallocated</t>
  </si>
  <si>
    <t>Recast</t>
  </si>
  <si>
    <t>Reporting</t>
  </si>
  <si>
    <t>Revised regulatory proposal</t>
  </si>
  <si>
    <t>This is used to create an image to insert on 6.3 STPIS sheet - not for dropdown lists.</t>
  </si>
  <si>
    <t>GAS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</si>
  <si>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</si>
  <si>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</si>
  <si>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</si>
  <si>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</si>
  <si>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</si>
  <si>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</si>
  <si>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</si>
  <si>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</si>
  <si>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</si>
  <si>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</si>
  <si>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</si>
  <si>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</si>
  <si>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</si>
  <si>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</si>
  <si>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</si>
  <si>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</si>
  <si>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</si>
  <si>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</si>
  <si>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Zone substation</t>
  </si>
  <si>
    <t>Substation upgrade - capacity</t>
  </si>
  <si>
    <t xml:space="preserve"> Voltage issues</t>
  </si>
  <si>
    <t>New line on new route - dual circuit</t>
  </si>
  <si>
    <t>Equipment failure</t>
  </si>
  <si>
    <t>Asset failure</t>
  </si>
  <si>
    <t>Animal nesting/burrowing, etc and other</t>
  </si>
  <si>
    <t>Switching station</t>
  </si>
  <si>
    <t>Substation upgrade - voltage</t>
  </si>
  <si>
    <t xml:space="preserve"> Reactive power issue</t>
  </si>
  <si>
    <t>New line on new route - other</t>
  </si>
  <si>
    <t>Operational error</t>
  </si>
  <si>
    <t xml:space="preserve"> Fault level issues</t>
  </si>
  <si>
    <t>Line rebuild over existing route - single circuit</t>
  </si>
  <si>
    <t>Vegetation</t>
  </si>
  <si>
    <t>Overloads</t>
  </si>
  <si>
    <t>LV</t>
  </si>
  <si>
    <t xml:space="preserve"> Safety</t>
  </si>
  <si>
    <t>Line rebuild over existing route - dual circuit</t>
  </si>
  <si>
    <t xml:space="preserve"> Net market benefit</t>
  </si>
  <si>
    <t>Animals</t>
  </si>
  <si>
    <t>Planned</t>
  </si>
  <si>
    <t>Distribution substation</t>
  </si>
  <si>
    <t xml:space="preserve"> Environment</t>
  </si>
  <si>
    <t>Reconductor - Single circuit</t>
  </si>
  <si>
    <t>Third party impacts</t>
  </si>
  <si>
    <t>Network business</t>
  </si>
  <si>
    <t>HV</t>
  </si>
  <si>
    <t xml:space="preserve"> Other</t>
  </si>
  <si>
    <t>Reconductor - Dual circuit</t>
  </si>
  <si>
    <t>Transmission failure</t>
  </si>
  <si>
    <t>Third party</t>
  </si>
  <si>
    <t>Reconductor - Other</t>
  </si>
  <si>
    <t>Load shedding</t>
  </si>
  <si>
    <t>Unknown</t>
  </si>
  <si>
    <t>Subtransmission</t>
  </si>
  <si>
    <t>Line upgrade - raising/retensoring</t>
  </si>
  <si>
    <t>Inter-distributor connection failure</t>
  </si>
  <si>
    <t>insert description of 'other'</t>
  </si>
  <si>
    <t>Line upgrade - voltage upgrade</t>
  </si>
  <si>
    <t>Network error</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</si>
  <si>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</si>
  <si>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</si>
  <si>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</si>
  <si>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</si>
  <si>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</si>
  <si>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</si>
  <si>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</si>
  <si>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</si>
  <si>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</si>
  <si>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</si>
  <si>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</si>
  <si>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</si>
  <si>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</si>
  <si>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</si>
  <si>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</si>
  <si>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</si>
  <si>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</si>
  <si>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</si>
  <si>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</si>
  <si>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</si>
  <si>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</si>
  <si>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</si>
  <si>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</si>
  <si>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</si>
  <si>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</si>
  <si>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</si>
  <si>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</si>
  <si>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</si>
  <si>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</si>
  <si>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GAS ARR &amp; RESET</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</si>
  <si>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</si>
  <si>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</si>
  <si>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</si>
  <si>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</si>
  <si>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</si>
  <si>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</si>
  <si>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</si>
  <si>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</si>
  <si>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</si>
  <si>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</si>
  <si>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</si>
  <si>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dms_S140101_UOM</t>
  </si>
  <si>
    <t>dms_S140201_UOM</t>
  </si>
  <si>
    <t>dms_E050201_UOM</t>
  </si>
  <si>
    <t>dms_E050202_UOM</t>
  </si>
  <si>
    <t>Circuit line length in km</t>
  </si>
  <si>
    <t>km</t>
  </si>
  <si>
    <t>Route line length within zone</t>
  </si>
  <si>
    <t>days</t>
  </si>
  <si>
    <t>number</t>
  </si>
  <si>
    <t>number per km</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</si>
  <si>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</si>
  <si>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</si>
  <si>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</si>
  <si>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</si>
  <si>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</si>
  <si>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</si>
  <si>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</si>
  <si>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</si>
  <si>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</si>
  <si>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</si>
  <si>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</si>
  <si>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CA &amp; RESET RINS 
TNSP ONLY</t>
  </si>
  <si>
    <t>metres</t>
  </si>
  <si>
    <t>CA &amp; RESET RINS 
DNSP &amp; TNSP</t>
  </si>
  <si>
    <t>dms_020603_01_UOM</t>
  </si>
  <si>
    <t>(per cent)</t>
  </si>
  <si>
    <r>
      <t xml:space="preserve">EB &amp; RESET RINS 
</t>
    </r>
    <r>
      <rPr>
        <sz val="26"/>
        <color rgb="FFFF0000"/>
        <rFont val="Calibri"/>
        <family val="2"/>
        <scheme val="minor"/>
      </rPr>
      <t>DNSP ONLY</t>
    </r>
  </si>
  <si>
    <t>dms_030601_01_UOM</t>
  </si>
  <si>
    <t>dms_030601_02_UOM</t>
  </si>
  <si>
    <t>dms_030701_01_UOM</t>
  </si>
  <si>
    <t>dms_030702_01_UOM</t>
  </si>
  <si>
    <t>dms_030703_01_UOM</t>
  </si>
  <si>
    <t>minutes/customer</t>
  </si>
  <si>
    <t>Customer / km</t>
  </si>
  <si>
    <t>%</t>
  </si>
  <si>
    <t>MWh/customer</t>
  </si>
  <si>
    <t>Number of spans</t>
  </si>
  <si>
    <t>interruptions/customer</t>
  </si>
  <si>
    <t>kVA / customer</t>
  </si>
  <si>
    <t>Years</t>
  </si>
  <si>
    <t>Trees</t>
  </si>
  <si>
    <t>Defects</t>
  </si>
  <si>
    <t>Spans</t>
  </si>
  <si>
    <t>WHEN INSERTING COVER SHEET INTO A TNSP FILE - APPLY THESE NAMED RANGES</t>
  </si>
  <si>
    <r>
      <t xml:space="preserve">EB &amp; RESET RINS 
</t>
    </r>
    <r>
      <rPr>
        <sz val="26"/>
        <color rgb="FFFF0000"/>
        <rFont val="Calibri"/>
        <family val="2"/>
        <scheme val="minor"/>
      </rPr>
      <t>TNSP ONLY</t>
    </r>
  </si>
  <si>
    <t>EB &amp; RESET RINS 
DNSP &amp; TNSP</t>
  </si>
  <si>
    <t>dms_EB_RAB_PIT</t>
  </si>
  <si>
    <t>Beginning of year</t>
  </si>
  <si>
    <t>End of year</t>
  </si>
  <si>
    <t>ARR 
DNSP ONLY</t>
  </si>
  <si>
    <t>dms_030605_UOM</t>
  </si>
  <si>
    <t>dms_03060703_UOM</t>
  </si>
  <si>
    <t>dms_E020202_UOM</t>
  </si>
  <si>
    <t>Spare</t>
  </si>
  <si>
    <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</si>
  <si>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</si>
  <si>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</si>
  <si>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</si>
  <si>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</si>
  <si>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</si>
  <si>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</si>
  <si>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</si>
  <si>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</si>
  <si>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</si>
  <si>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</si>
  <si>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</si>
  <si>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</si>
  <si>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</si>
  <si>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</si>
  <si>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</si>
  <si>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</si>
  <si>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</si>
  <si>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</si>
  <si>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</si>
  <si>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</si>
  <si>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</si>
  <si>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</si>
  <si>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</si>
  <si>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</si>
  <si>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</si>
  <si>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</si>
  <si>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</si>
  <si>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</si>
  <si>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</si>
  <si>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</si>
  <si>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</si>
  <si>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</si>
  <si>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</si>
  <si>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</si>
  <si>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</si>
  <si>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</si>
  <si>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</si>
  <si>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</si>
  <si>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</si>
  <si>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</si>
  <si>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</si>
  <si>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</si>
  <si>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</si>
  <si>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</si>
  <si>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Network</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</si>
  <si>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</si>
  <si>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</si>
  <si>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</si>
  <si>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</si>
  <si>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</si>
  <si>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</si>
  <si>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</si>
  <si>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</si>
  <si>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</si>
  <si>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</si>
  <si>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</si>
  <si>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</si>
  <si>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</si>
  <si>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</si>
  <si>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</si>
  <si>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</si>
  <si>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</si>
  <si>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</si>
  <si>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</si>
  <si>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</si>
  <si>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</si>
  <si>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</si>
  <si>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</si>
  <si>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</si>
  <si>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</si>
  <si>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</si>
  <si>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</si>
  <si>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</si>
  <si>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</si>
  <si>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</si>
  <si>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</si>
  <si>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</si>
  <si>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</si>
  <si>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</si>
  <si>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</si>
  <si>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PTRM input sheet</t>
  </si>
  <si>
    <t>DMS_50_01_01a</t>
  </si>
  <si>
    <t>DMS_50_01_01aa</t>
  </si>
  <si>
    <t>DMS_50_01_01b</t>
  </si>
  <si>
    <t>DMS_50_01_01bb</t>
  </si>
  <si>
    <t>DMS_50_01_01c</t>
  </si>
  <si>
    <t>DMS_50_01_01d</t>
  </si>
  <si>
    <t>DMS_50_01_01dd</t>
  </si>
  <si>
    <t>AER LOOKUP TABLES</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</si>
  <si>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</si>
  <si>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</si>
  <si>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</si>
  <si>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</si>
  <si>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</si>
  <si>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</si>
  <si>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major changes to accommodate STPIS</t>
  </si>
  <si>
    <t>Template Version</t>
  </si>
  <si>
    <t>FOR ELECTRICITY BUSINESSES ONLY</t>
  </si>
  <si>
    <t>Feeder Types</t>
  </si>
  <si>
    <t>TasNetworks (D)</t>
  </si>
  <si>
    <t>Feeder Names</t>
  </si>
  <si>
    <t>CBD</t>
  </si>
  <si>
    <t>Urban</t>
  </si>
  <si>
    <t>Short rural</t>
  </si>
  <si>
    <t>long rural</t>
  </si>
  <si>
    <t>EXTRA</t>
  </si>
  <si>
    <t>dms_TradingName_List</t>
  </si>
  <si>
    <t>dms_TradingNameFull_List</t>
  </si>
  <si>
    <t>dms_ABN_List</t>
  </si>
  <si>
    <t>dms_UniqueID_List</t>
  </si>
  <si>
    <t>dms_JurisdictionList</t>
  </si>
  <si>
    <t>dms_Sector_List</t>
  </si>
  <si>
    <t>dms_Segment_List</t>
  </si>
  <si>
    <t>dms_FormControl_List</t>
  </si>
  <si>
    <t>dms_RPT_List</t>
  </si>
  <si>
    <t>dms_RPTMonth_List</t>
  </si>
  <si>
    <t>dms_CRCPlength_List</t>
  </si>
  <si>
    <t>dms_FRCPlength_List</t>
  </si>
  <si>
    <t>dms_PRCPlength_List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</si>
  <si>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</si>
  <si>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</si>
  <si>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</si>
  <si>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</si>
  <si>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</si>
  <si>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</si>
  <si>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</si>
  <si>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</si>
  <si>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</si>
  <si>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</si>
  <si>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</si>
  <si>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</si>
  <si>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</si>
  <si>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</si>
  <si>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</si>
  <si>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</si>
  <si>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</si>
  <si>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</si>
  <si>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</si>
  <si>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</si>
  <si>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</si>
  <si>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</si>
  <si>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dms_Public_Lighting_List</t>
  </si>
  <si>
    <t>AGN (Albury and Victoria)</t>
  </si>
  <si>
    <t>Australian Gas Networks Limited (reporting data for Albury and Victoria)</t>
  </si>
  <si>
    <t>GDDVIC100</t>
  </si>
  <si>
    <t>Distribution</t>
  </si>
  <si>
    <t>Financial</t>
  </si>
  <si>
    <t>June</t>
  </si>
  <si>
    <t>x</t>
  </si>
  <si>
    <t>Level 6</t>
  </si>
  <si>
    <t>400 King William Street</t>
  </si>
  <si>
    <t>ADELAIDE</t>
  </si>
  <si>
    <t>PO Box 6468</t>
  </si>
  <si>
    <t>Halifax Street</t>
  </si>
  <si>
    <t>NO</t>
  </si>
  <si>
    <t>Long rural</t>
  </si>
  <si>
    <t>AGN (Albury)</t>
  </si>
  <si>
    <t>Australian Gas Networks Limited (reporting data for Albury)</t>
  </si>
  <si>
    <t>GDDVIC200</t>
  </si>
  <si>
    <t>Australian Gas Networks Limited (reporting data for SA)</t>
  </si>
  <si>
    <t>GDDSTH100</t>
  </si>
  <si>
    <t>distribution determination</t>
  </si>
  <si>
    <t>AGN (Victoria)</t>
  </si>
  <si>
    <t>Australian Gas Networks Limited (reporting data for Victoria)</t>
  </si>
  <si>
    <t>GDDVIC300</t>
  </si>
  <si>
    <t>APT Pipelines (NT) Pty Ltd</t>
  </si>
  <si>
    <t>GTTNTY100</t>
  </si>
  <si>
    <t>n/a</t>
  </si>
  <si>
    <t>Level 19, HSBC Building</t>
  </si>
  <si>
    <t>580 George Street</t>
  </si>
  <si>
    <t>SYDNEY</t>
  </si>
  <si>
    <t>NSW</t>
  </si>
  <si>
    <t>APA GasNet Australia (Operations) Pty Ltd</t>
  </si>
  <si>
    <t>065083009</t>
  </si>
  <si>
    <t>GNTNSW100</t>
  </si>
  <si>
    <t>PO Box R41</t>
  </si>
  <si>
    <t>ROYAL EXCHANGE</t>
  </si>
  <si>
    <t>Alexandra Curran</t>
  </si>
  <si>
    <t>02 9275 0020</t>
  </si>
  <si>
    <t>alexandra.curran@apa.com.au</t>
  </si>
  <si>
    <t>APA VTS</t>
  </si>
  <si>
    <t>APA VTS Australia (Operations) Pty Ltd</t>
  </si>
  <si>
    <t>GTTVIC100</t>
  </si>
  <si>
    <t>AusNet (Gas)</t>
  </si>
  <si>
    <t>AusNet Gas Services</t>
  </si>
  <si>
    <t>086015036</t>
  </si>
  <si>
    <t>GDDVIC400</t>
  </si>
  <si>
    <t>Level 31</t>
  </si>
  <si>
    <t>2 Southbank Boulevard</t>
  </si>
  <si>
    <t>SOUTHBANK</t>
  </si>
  <si>
    <t>Australian Distribution Co. (Gas)</t>
  </si>
  <si>
    <t xml:space="preserve">Australian Gas Distribution Co. </t>
  </si>
  <si>
    <t>GDXXX000</t>
  </si>
  <si>
    <t>123 Straight Street</t>
  </si>
  <si>
    <t>MELBOURNE</t>
  </si>
  <si>
    <t>PO Box 123</t>
  </si>
  <si>
    <t>Australian Transmission Co. (Gas)</t>
  </si>
  <si>
    <t>GTXXX000</t>
  </si>
  <si>
    <t>transmission determination</t>
  </si>
  <si>
    <t>Evoenergy Gas</t>
  </si>
  <si>
    <t>Icon Distribution Investments Limited (ABN 83 073 025 224) and Jemena Networks (ACT) Pty Ltd (ABN 24 008 552 663)</t>
  </si>
  <si>
    <t>GDDACT100</t>
  </si>
  <si>
    <t>ACT</t>
  </si>
  <si>
    <t>40 Bunda Street</t>
  </si>
  <si>
    <t>CANBERRA</t>
  </si>
  <si>
    <t>GPO BOX 366</t>
  </si>
  <si>
    <t>JGN</t>
  </si>
  <si>
    <t>Jemena Gas Networks (NSW) Ltd</t>
  </si>
  <si>
    <t>003 004 322</t>
  </si>
  <si>
    <t>GDDNSW100</t>
  </si>
  <si>
    <t>Multinet Gas</t>
  </si>
  <si>
    <t>Multinet Gas (DB No.1) Pty Ltd (ACN 086 026 986), Multinet Gas (DB No.2) Pty Ltd (ACN 086 230 122)</t>
  </si>
  <si>
    <t>086026986</t>
  </si>
  <si>
    <t>GDDVIC500</t>
  </si>
  <si>
    <t>43-45 Centreway</t>
  </si>
  <si>
    <t>MT WAVERLEY</t>
  </si>
  <si>
    <t>Roma to Brisbane Pipeline</t>
  </si>
  <si>
    <t>APT Petroleum Pipelines Limited t/a Roma to Brisbane Pipeline</t>
  </si>
  <si>
    <t>009 737 393</t>
  </si>
  <si>
    <t>GTTQLD100</t>
  </si>
  <si>
    <t>Qld</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</si>
  <si>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</si>
  <si>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</si>
  <si>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</si>
  <si>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</si>
  <si>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</si>
  <si>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</si>
  <si>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</si>
  <si>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</si>
  <si>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</si>
  <si>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</si>
  <si>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</si>
  <si>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</si>
  <si>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</si>
  <si>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</si>
  <si>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</si>
  <si>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EBSS</t>
  </si>
  <si>
    <t>Efficiency Benefit Sharing Scheme</t>
  </si>
  <si>
    <t>EFFICIENCY BENEFIT SHARING SCHEME</t>
  </si>
  <si>
    <t>Pricing</t>
  </si>
  <si>
    <t>Pricing Proposal</t>
  </si>
  <si>
    <t>PRICING PROPOSAL</t>
  </si>
  <si>
    <t>Profitability</t>
  </si>
  <si>
    <t>PROFITABILITY</t>
  </si>
  <si>
    <t>Post Tax Revenue Model</t>
  </si>
  <si>
    <t>POST TAX REVENUE MODEL</t>
  </si>
  <si>
    <t>Reset</t>
  </si>
  <si>
    <t>Regulatory Reporting (Reset)</t>
  </si>
  <si>
    <t>REGULATORY REPORTING STATEMENT</t>
  </si>
  <si>
    <t>Roll Forward Model</t>
  </si>
  <si>
    <t>ROLL FORWARD MODEL</t>
  </si>
  <si>
    <t>WACC</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</si>
  <si>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</si>
  <si>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</si>
  <si>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</si>
  <si>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</si>
  <si>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</si>
  <si>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</si>
  <si>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</si>
  <si>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</si>
  <si>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</si>
  <si>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</si>
  <si>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</si>
  <si>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</si>
  <si>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</si>
  <si>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</si>
  <si>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</si>
  <si>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</si>
  <si>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</si>
  <si>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</si>
  <si>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</si>
  <si>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</si>
  <si>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</si>
  <si>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</si>
  <si>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</si>
  <si>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</si>
  <si>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</si>
  <si>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</si>
  <si>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</si>
  <si>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</si>
  <si>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</si>
  <si>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</si>
  <si>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</si>
  <si>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</si>
  <si>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</si>
  <si>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</si>
  <si>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</si>
  <si>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</si>
  <si>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</si>
  <si>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</si>
  <si>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</si>
  <si>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</si>
  <si>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</si>
  <si>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</si>
  <si>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</si>
  <si>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</si>
  <si>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</si>
  <si>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</si>
  <si>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</si>
  <si>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</si>
  <si>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</si>
  <si>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</si>
  <si>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</si>
  <si>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</si>
  <si>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</si>
  <si>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</si>
  <si>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</si>
  <si>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</si>
  <si>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</si>
  <si>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</si>
  <si>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</si>
  <si>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</si>
  <si>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</si>
  <si>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</si>
  <si>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</si>
  <si>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</si>
  <si>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</si>
  <si>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</si>
  <si>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</si>
  <si>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</si>
  <si>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</si>
  <si>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</si>
  <si>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</si>
  <si>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</si>
  <si>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</si>
  <si>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</si>
  <si>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</si>
  <si>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</si>
  <si>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</si>
  <si>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</si>
  <si>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</si>
  <si>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</si>
  <si>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</si>
  <si>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</si>
  <si>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</si>
  <si>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</si>
  <si>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</si>
  <si>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</si>
  <si>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</si>
  <si>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PRCP_y17</t>
  </si>
  <si>
    <t>2031-32</t>
  </si>
  <si>
    <t>CRCP_y17</t>
  </si>
  <si>
    <t>2036-37</t>
  </si>
  <si>
    <t>FRCP_y17</t>
  </si>
  <si>
    <t>2004-05</t>
  </si>
  <si>
    <t>PRCP_y18</t>
  </si>
  <si>
    <t>2032-33</t>
  </si>
  <si>
    <t>CRCP_y18</t>
  </si>
  <si>
    <t>2037-38</t>
  </si>
  <si>
    <t>FRCP_y18</t>
  </si>
  <si>
    <t>2005-06</t>
  </si>
  <si>
    <t>PRCP_y19</t>
  </si>
  <si>
    <t>2033-34</t>
  </si>
  <si>
    <t>CRCP_y19</t>
  </si>
  <si>
    <t>2038-39</t>
  </si>
  <si>
    <t>FRCP_y19</t>
  </si>
  <si>
    <t>2006-07</t>
  </si>
  <si>
    <t>PRCP_y20</t>
  </si>
  <si>
    <t>2034-35</t>
  </si>
  <si>
    <t>CRCP_y20</t>
  </si>
  <si>
    <t>2039-40</t>
  </si>
  <si>
    <t>FRCP_y20</t>
  </si>
  <si>
    <t>2007-08</t>
  </si>
  <si>
    <t>PRCP_y21</t>
  </si>
  <si>
    <t>2035-36</t>
  </si>
  <si>
    <t>CRCP_y21</t>
  </si>
  <si>
    <t>2040-41</t>
  </si>
  <si>
    <t>FRCP_y21</t>
  </si>
  <si>
    <t>2008-09</t>
  </si>
  <si>
    <t>PRCP_y22</t>
  </si>
  <si>
    <t>CRCP_y22</t>
  </si>
  <si>
    <t>2041-42</t>
  </si>
  <si>
    <t>FRCP_y22</t>
  </si>
  <si>
    <t>2009-10</t>
  </si>
  <si>
    <t>PRCP_y23</t>
  </si>
  <si>
    <t>CRCP_y23</t>
  </si>
  <si>
    <t>2042-43</t>
  </si>
  <si>
    <t>FRCP_y23</t>
  </si>
  <si>
    <t>2010-11</t>
  </si>
  <si>
    <t>PRCP_y24</t>
  </si>
  <si>
    <t>CRCP_y24</t>
  </si>
  <si>
    <t>2043-44</t>
  </si>
  <si>
    <t>FRCP_y24</t>
  </si>
  <si>
    <t>2011-12</t>
  </si>
  <si>
    <t>PRCP_y25</t>
  </si>
  <si>
    <t>CRCP_y25</t>
  </si>
  <si>
    <t>2044-45</t>
  </si>
  <si>
    <t>FRCP_y25</t>
  </si>
  <si>
    <t>2012-13</t>
  </si>
  <si>
    <t>2013-14</t>
  </si>
  <si>
    <t>2014-15</t>
  </si>
  <si>
    <t>2020-21</t>
  </si>
  <si>
    <t>2021-22</t>
  </si>
  <si>
    <t>2022-23</t>
  </si>
  <si>
    <t>2023-24</t>
  </si>
  <si>
    <t>CRY - FRY</t>
  </si>
  <si>
    <t>dms_y1</t>
  </si>
  <si>
    <t>2027-28</t>
  </si>
  <si>
    <t>dms_y2</t>
  </si>
  <si>
    <t>2028-29</t>
  </si>
  <si>
    <t>dms_y3</t>
  </si>
  <si>
    <t>dms_y4</t>
  </si>
  <si>
    <t>2030-31</t>
  </si>
  <si>
    <t>dms_y5</t>
  </si>
  <si>
    <t>dms_y6</t>
  </si>
  <si>
    <t>dms_y7</t>
  </si>
  <si>
    <t>dms_y8</t>
  </si>
  <si>
    <t>dms_y9</t>
  </si>
  <si>
    <t>dms_y10</t>
  </si>
  <si>
    <t>dms_y11</t>
  </si>
  <si>
    <t>dms_y12</t>
  </si>
  <si>
    <t>dms_y13</t>
  </si>
  <si>
    <t>dms_y14</t>
  </si>
  <si>
    <t>dms_y15</t>
  </si>
  <si>
    <t>dms_y16</t>
  </si>
  <si>
    <t>dms_y17</t>
  </si>
  <si>
    <t>dms_y18</t>
  </si>
  <si>
    <t>dms_y19</t>
  </si>
  <si>
    <t>2045-46</t>
  </si>
  <si>
    <t>dms_y20</t>
  </si>
  <si>
    <t>2046-47</t>
  </si>
  <si>
    <t>dms_y21</t>
  </si>
  <si>
    <t>2047-48</t>
  </si>
  <si>
    <t>dms_y22</t>
  </si>
  <si>
    <t>2048-49</t>
  </si>
  <si>
    <t>2049</t>
  </si>
  <si>
    <t>dms_y23</t>
  </si>
  <si>
    <t>2049-50</t>
  </si>
  <si>
    <t>2050</t>
  </si>
  <si>
    <t>dms_y24</t>
  </si>
  <si>
    <t>dms_y25</t>
  </si>
  <si>
    <t>dms_y26</t>
  </si>
  <si>
    <t>dms_y27</t>
  </si>
  <si>
    <t>dms_y28</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</si>
  <si>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</si>
  <si>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</si>
  <si>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</si>
  <si>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</si>
  <si>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</si>
  <si>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</si>
  <si>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</si>
  <si>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</si>
  <si>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</si>
  <si>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</si>
  <si>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</si>
  <si>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dms_UID</t>
  </si>
  <si>
    <t>Selected here</t>
  </si>
  <si>
    <t>Model / RIN</t>
  </si>
  <si>
    <t>dms_Model</t>
  </si>
  <si>
    <r>
      <t xml:space="preserve">Read from </t>
    </r>
    <r>
      <rPr>
        <i/>
        <sz val="11"/>
        <color theme="1"/>
        <rFont val="Calibri"/>
        <family val="2"/>
        <scheme val="minor"/>
      </rPr>
      <t>Business &amp; other details</t>
    </r>
  </si>
  <si>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</si>
  <si>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</si>
  <si>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</si>
  <si>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</si>
  <si>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</si>
  <si>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</si>
  <si>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</si>
  <si>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</si>
  <si>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</si>
  <si>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</si>
  <si>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</si>
  <si>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</si>
  <si>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</si>
  <si>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</si>
  <si>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</si>
  <si>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</si>
  <si>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</si>
  <si>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</si>
  <si>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</si>
  <si>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</si>
  <si>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</si>
  <si>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</si>
  <si>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</si>
  <si>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</si>
  <si>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</si>
  <si>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</si>
  <si>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</si>
  <si>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</si>
  <si>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</si>
  <si>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</si>
  <si>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</si>
  <si>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</si>
  <si>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</si>
  <si>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</si>
  <si>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</si>
  <si>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</si>
  <si>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</si>
  <si>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</si>
  <si>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</si>
  <si>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</si>
  <si>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</si>
  <si>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</si>
  <si>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</si>
  <si>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</si>
  <si>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</si>
  <si>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</si>
  <si>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</si>
  <si>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</si>
  <si>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December 2017</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</si>
  <si>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</si>
  <si>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</si>
  <si>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</si>
  <si>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</si>
  <si>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</si>
  <si>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</si>
  <si>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</si>
  <si>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</si>
  <si>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</si>
  <si>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</si>
  <si>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theme="1"/>
        <rFont val="Calibri"/>
        <family val="2"/>
        <scheme val="minor"/>
      </rPr>
      <t>FRCP_y1</t>
    </r>
    <r>
      <rPr>
        <sz val="11"/>
        <color theme="1"/>
        <rFont val="Calibri"/>
        <family val="2"/>
        <scheme val="minor"/>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</si>
  <si>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</si>
  <si>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</si>
  <si>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</si>
  <si>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</si>
  <si>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</si>
  <si>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</si>
  <si>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</si>
  <si>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</si>
  <si>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t>=dms_FRCP_start_row-dms_CRCPlength_Num</t>
  </si>
  <si>
    <r>
      <t xml:space="preserve">Uses the value in </t>
    </r>
    <r>
      <rPr>
        <b/>
        <sz val="11"/>
        <color theme="1"/>
        <rFont val="Calibri"/>
        <family val="2"/>
        <scheme val="minor"/>
      </rPr>
      <t>dms_CRCPlength_Num</t>
    </r>
  </si>
  <si>
    <t>dms_PRCP_start_row</t>
  </si>
  <si>
    <t>=dms_FRCP_start_row-dms_CRCPlength_Num-dms_PRCPlength_Num</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</si>
  <si>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</si>
  <si>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</si>
  <si>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t>=dms_FRCP_start_row+(dms_FRCPlength_Num-1)</t>
  </si>
  <si>
    <r>
      <t xml:space="preserve">Uses the value in </t>
    </r>
    <r>
      <rPr>
        <b/>
        <sz val="11"/>
        <color theme="1"/>
        <rFont val="Calibri"/>
        <family val="2"/>
        <scheme val="minor"/>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</si>
  <si>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</si>
  <si>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</si>
  <si>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</si>
  <si>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</si>
  <si>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</si>
  <si>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</si>
  <si>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</si>
  <si>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</si>
  <si>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</si>
  <si>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</si>
  <si>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</si>
  <si>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</si>
  <si>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</si>
  <si>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</si>
  <si>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</si>
  <si>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</si>
  <si>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</si>
  <si>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</si>
  <si>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</si>
  <si>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</si>
  <si>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</si>
  <si>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</si>
  <si>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</si>
  <si>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theme="1"/>
        <rFont val="Calibri"/>
        <family val="2"/>
        <scheme val="minor"/>
      </rPr>
      <t xml:space="preserve">FRY </t>
    </r>
    <r>
      <rPr>
        <sz val="11"/>
        <color theme="1"/>
        <rFont val="Calibri"/>
        <family val="2"/>
        <scheme val="minor"/>
      </rPr>
      <t>from cover sheet</t>
    </r>
  </si>
  <si>
    <t>dms_DollarReal_year</t>
  </si>
  <si>
    <t>=LEFT(CRCP_final_year,2)&amp;RIGHT(CRCP_final_year,2)</t>
  </si>
  <si>
    <r>
      <t xml:space="preserve">Uses the value in </t>
    </r>
    <r>
      <rPr>
        <b/>
        <sz val="11"/>
        <color theme="1"/>
        <rFont val="Calibri"/>
        <family val="2"/>
        <scheme val="minor"/>
      </rPr>
      <t>CRCP_final_year</t>
    </r>
  </si>
  <si>
    <t>dms_Previous_DollarReal_year</t>
  </si>
  <si>
    <t>=LEFT(PRCP_final_year,2)&amp;RIGHT(PRCP_final_year,2)</t>
  </si>
  <si>
    <r>
      <t>Uses the value in P</t>
    </r>
    <r>
      <rPr>
        <b/>
        <sz val="11"/>
        <color theme="1"/>
        <rFont val="Calibri"/>
        <family val="2"/>
        <scheme val="minor"/>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</si>
  <si>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</si>
  <si>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</si>
  <si>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</si>
  <si>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</si>
  <si>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</si>
  <si>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</si>
  <si>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</si>
  <si>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t>=IF(dms_MultiYear_ResponseFlag="Yes",(LEFT(dms_Specified_FinalYear,2)&amp;RIGHT(dms_Specified_FinalYear,2)),0)</t>
  </si>
  <si>
    <r>
      <t xml:space="preserve">If multi year ABC - uses </t>
    </r>
    <r>
      <rPr>
        <b/>
        <sz val="11"/>
        <color theme="1"/>
        <rFont val="Calibri"/>
        <family val="2"/>
        <scheme val="minor"/>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</si>
  <si>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</si>
  <si>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</si>
  <si>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</si>
  <si>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</si>
  <si>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</si>
  <si>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theme="1"/>
        <rFont val="Calibri"/>
        <family val="2"/>
        <scheme val="minor"/>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</si>
  <si>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</si>
  <si>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</si>
  <si>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</si>
  <si>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</si>
  <si>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</si>
  <si>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</si>
  <si>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</si>
  <si>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</si>
  <si>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theme="1"/>
        <rFont val="Calibri"/>
        <family val="2"/>
        <scheme val="minor"/>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</si>
  <si>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</si>
  <si>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</si>
  <si>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</si>
  <si>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</si>
  <si>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</si>
  <si>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</si>
  <si>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</si>
  <si>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</si>
  <si>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</si>
  <si>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</si>
  <si>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</si>
  <si>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</si>
  <si>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</si>
  <si>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</si>
  <si>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</si>
  <si>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</si>
  <si>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</si>
  <si>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</si>
  <si>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</si>
  <si>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</si>
  <si>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</si>
  <si>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</si>
  <si>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</si>
  <si>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</si>
  <si>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</si>
  <si>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</si>
  <si>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</si>
  <si>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</si>
  <si>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</si>
  <si>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</si>
  <si>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</si>
  <si>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</si>
  <si>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</si>
  <si>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</si>
  <si>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</si>
  <si>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</si>
  <si>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</si>
  <si>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</si>
  <si>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</si>
  <si>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</si>
  <si>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</si>
  <si>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</si>
  <si>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</si>
  <si>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</si>
  <si>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</si>
  <si>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</si>
  <si>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</si>
  <si>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</si>
  <si>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</si>
  <si>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</si>
  <si>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</si>
  <si>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</si>
  <si>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</si>
  <si>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</si>
  <si>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</si>
  <si>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</si>
  <si>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</si>
  <si>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</si>
  <si>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</si>
  <si>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</si>
  <si>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</si>
  <si>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</si>
  <si>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</si>
  <si>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</si>
  <si>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</si>
  <si>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</si>
  <si>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</si>
  <si>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</si>
  <si>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</si>
  <si>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</si>
  <si>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</si>
  <si>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</si>
  <si>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</si>
  <si>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</si>
  <si>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</si>
  <si>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</si>
  <si>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</si>
  <si>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</si>
  <si>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</si>
  <si>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</si>
  <si>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</si>
  <si>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</si>
  <si>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</si>
  <si>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</si>
  <si>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</si>
  <si>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</si>
  <si>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</si>
  <si>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</si>
  <si>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</si>
  <si>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</si>
  <si>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</si>
  <si>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</si>
  <si>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</si>
  <si>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</si>
  <si>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</si>
  <si>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</si>
  <si>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</si>
  <si>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</si>
  <si>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</si>
  <si>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</si>
  <si>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</si>
  <si>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</si>
  <si>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</si>
  <si>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</si>
  <si>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</si>
  <si>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</si>
  <si>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</si>
  <si>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</si>
  <si>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</si>
  <si>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</si>
  <si>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</si>
  <si>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</si>
  <si>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</si>
  <si>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</si>
  <si>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</si>
  <si>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</si>
  <si>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</si>
  <si>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</si>
  <si>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</si>
  <si>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</si>
  <si>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</si>
  <si>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</si>
  <si>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</si>
  <si>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</si>
  <si>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</si>
  <si>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</si>
  <si>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</si>
  <si>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</si>
  <si>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</si>
  <si>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</si>
  <si>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</si>
  <si>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</si>
  <si>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</si>
  <si>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</si>
  <si>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</si>
  <si>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</si>
  <si>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</si>
  <si>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</si>
  <si>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</si>
  <si>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</si>
  <si>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</si>
  <si>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</si>
  <si>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</si>
  <si>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</si>
  <si>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</si>
  <si>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</si>
  <si>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</si>
  <si>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</si>
  <si>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</si>
  <si>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</si>
  <si>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</si>
  <si>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</si>
  <si>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</si>
  <si>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</si>
  <si>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S_MRH575_CY23 North West</t>
  </si>
  <si>
    <t>S_MRH575_CY24 HDPE575 South</t>
  </si>
  <si>
    <t>S_MRH575_CY24 GoldenGroveB</t>
  </si>
  <si>
    <t>S_MRH575_CY24_PortPirie_1</t>
  </si>
  <si>
    <t>S_MRH575_CY24_SHEIDOW_PARK</t>
  </si>
  <si>
    <t>S_MRH575_CY24_ONKAPARINGAHILLS</t>
  </si>
  <si>
    <t>S_MRH575_CY25_Aberfoyle Park</t>
  </si>
  <si>
    <t>2362_MAINS RENEWAL - HDPE 575</t>
  </si>
  <si>
    <t>S_MRB_CY21 Semaphore</t>
  </si>
  <si>
    <t>2366_S_MRB_CY24_North Adelaide_C</t>
  </si>
  <si>
    <t>S_MRB_CY24_Semaphore_Sth</t>
  </si>
  <si>
    <t>S_MRB_CY24_Millswood</t>
  </si>
  <si>
    <t>S_MRB_CY24_PASADENA</t>
  </si>
  <si>
    <t>S_MRB_CY24_ROSTREVOR</t>
  </si>
  <si>
    <t>S_MRB_CY24_WOODVILLE_PARK</t>
  </si>
  <si>
    <t>S_MRB_CY24_PORT_ADELAIDE_A</t>
  </si>
  <si>
    <t>S_MRB_CY25_Edwardstown A</t>
  </si>
  <si>
    <t>S_MRB_CY25_Burnside A</t>
  </si>
  <si>
    <t>S_MRB_CY25_Auldana_A</t>
  </si>
  <si>
    <t>S_MRB_CY25_Devon Park</t>
  </si>
  <si>
    <t>S_MRB_CY25_Gilles Plains</t>
  </si>
  <si>
    <t>S_MRB_CY25_Ingle Farm A</t>
  </si>
  <si>
    <t>S_MRB_CY25_Ingle Farm B</t>
  </si>
  <si>
    <t>S_MRB_CY25_Para Hills West</t>
  </si>
  <si>
    <t>S_MRB_CY25_Para Vista A</t>
  </si>
  <si>
    <t>HDPE 575 Camera Inspection and sampling</t>
  </si>
  <si>
    <t>Steel Mains Replacement</t>
  </si>
  <si>
    <t>Multi User Sites (MUS) renewal</t>
  </si>
  <si>
    <t>Northern Corridor - Angle Vale</t>
  </si>
  <si>
    <t>Southern Corridor - Seaford Aldinga</t>
  </si>
  <si>
    <t>Northern Metro HP Main and Gawler Gate Station</t>
  </si>
  <si>
    <t>SCADA Equipment/ RTU Replacement</t>
  </si>
  <si>
    <t xml:space="preserve">Network Pressure Monitoring </t>
  </si>
  <si>
    <t>Enterprise Asset Management</t>
  </si>
  <si>
    <t>FRC Gateway</t>
  </si>
  <si>
    <t>Geospatial Information System Upgrade</t>
  </si>
  <si>
    <t>Meter &amp; Billing</t>
  </si>
  <si>
    <t>Middleware</t>
  </si>
  <si>
    <t>Mobility Applications</t>
  </si>
  <si>
    <t>Business Intelligence</t>
  </si>
  <si>
    <t>Historian</t>
  </si>
  <si>
    <t>Workday management</t>
  </si>
  <si>
    <t>AGIG IT Strategy &amp; Roadmap</t>
  </si>
  <si>
    <t>IT Corporate Application</t>
  </si>
  <si>
    <t>Cyber Security</t>
  </si>
  <si>
    <t>IT Infrastructure</t>
  </si>
  <si>
    <t>AGN APA IT Transition</t>
  </si>
  <si>
    <t>Replacement of Valves</t>
  </si>
  <si>
    <t>TP Modifications for ILI</t>
  </si>
  <si>
    <t>I&amp;C Overpressure risk reduction</t>
  </si>
  <si>
    <t>DRS Overpressure risk reduction</t>
  </si>
  <si>
    <t>DRS Operability Risk Reduction</t>
  </si>
  <si>
    <t>CP Assets Replacement</t>
  </si>
  <si>
    <t>Isolated Steel Sections from CP</t>
  </si>
  <si>
    <t>Small Plant and Equipment</t>
  </si>
  <si>
    <t>Corrosion Management of Steel Pipework</t>
  </si>
  <si>
    <t>Asset Protection</t>
  </si>
  <si>
    <t>End of life I&amp;C meter sets</t>
  </si>
  <si>
    <t>Non-compliant domestic meter sets</t>
  </si>
  <si>
    <t xml:space="preserve"> Purchase of Renewable Gas Guarantee of Origin Certificates (RGGOs) </t>
  </si>
  <si>
    <t>Anticipated net cost to purchase RGGO certificates and sell them to industrial customers as part of the introduction of a jurisdictional scheme for the proposed Hyp Adelaide hydrogen production facility project.</t>
  </si>
  <si>
    <t xml:space="preserve"> Overheads to be expensed (Capex to opex) </t>
  </si>
  <si>
    <t>Changes in our approach regarding the capitalisation of overheads and a more efficient allocation of a share of these costs to opex (59%). Activities to be expensed are related to operations and maintenance of capital projects, associated indirect costs (HR/HSE) and procurement of vehicles.</t>
  </si>
  <si>
    <t xml:space="preserve"> Transition from APA - AGN IT costs </t>
  </si>
  <si>
    <t>Non-recurrent opex for insourcing the expiring service delivery contract at the end of its 30-year term (on 1 July 2027). Costs for software applications, infrastructure, security, IT support staff and other service needs will be incurred to bring the current  environment within AGN before merging and transforming the environments into one consolidated and optimised end-state environment.</t>
  </si>
  <si>
    <t xml:space="preserve"> Cybersecurity</t>
  </si>
  <si>
    <t xml:space="preserve"> Application upgrades &amp; enhancements </t>
  </si>
  <si>
    <t>Various IT corporate applications are being upgraded or replaced by newer applications to ensure they remain fit-for-purpose, including those hosted on the SAP RISE cloud platform and/or offered on a Software as a Service (SaaS) basis. Also includes non recurrent expenditure to run operational technology (OT) applications in a steady-state environment, to best manage risks associated with the transition, and uplifts in recurrent opex for ongoing data and storage costs for integrating digital metering data into our metering &amp; billing system (Oracle CC&amp;B) and for data centre infrastructure.</t>
  </si>
  <si>
    <t xml:space="preserve"> Abolishments for safety at redundant sites </t>
  </si>
  <si>
    <t>Permanent removal of service line at redundant 'inlet only' residential sites (700 p.a.), where the meter has been removed for 24 months or longer, presenting a potential safety hazard.</t>
  </si>
  <si>
    <t>N/A</t>
  </si>
  <si>
    <t>Unaccounted for gas</t>
  </si>
  <si>
    <t>Debt raising costs</t>
  </si>
  <si>
    <t>Priority Services Program (formerly the Vulnerable Customers Assistance Program)</t>
  </si>
  <si>
    <t>Ancillary Reference Services</t>
  </si>
  <si>
    <t>Special Meter Read</t>
  </si>
  <si>
    <t>Disconnection</t>
  </si>
  <si>
    <t>Reconnection</t>
  </si>
  <si>
    <t>Meter Removal</t>
  </si>
  <si>
    <t>Meter Reinstallation</t>
  </si>
  <si>
    <t>Meter Gas and Installation Test</t>
  </si>
  <si>
    <t>Service Abolishment</t>
  </si>
  <si>
    <t>Input Price Escalation</t>
  </si>
  <si>
    <t>Output Growth Escalation</t>
  </si>
  <si>
    <t>Productivity Growth Escalation</t>
  </si>
  <si>
    <t>Weighted real input cost escalation</t>
  </si>
  <si>
    <t>Residential - SA excl New Towns (GJ/d)</t>
  </si>
  <si>
    <t>Residential - New Towns (GJ/d)</t>
  </si>
  <si>
    <t>Commercial - SA excl New Towns (GJ/d)</t>
  </si>
  <si>
    <t>Commercial - New Towns (GJ/d)</t>
  </si>
  <si>
    <t xml:space="preserve">Tariff D Zone - Northern </t>
  </si>
  <si>
    <t>Tariff D Zone - Central</t>
  </si>
  <si>
    <t xml:space="preserve">Tariff D Zone - Southern </t>
  </si>
  <si>
    <t>Tariff D Zone - Peterborough</t>
  </si>
  <si>
    <t>Tariff D Zone - Port Pirie</t>
  </si>
  <si>
    <t>Tariff D Zone - Riverland</t>
  </si>
  <si>
    <t>Tariff D Zone - South East</t>
  </si>
  <si>
    <t>Tariff D Zone - Whyalla</t>
  </si>
  <si>
    <t>Various locations across South Australian Distribution Network</t>
  </si>
  <si>
    <t>Out of Hours Special Read</t>
  </si>
  <si>
    <t>Meter Alter Position</t>
  </si>
  <si>
    <t>Same Day Premium Service</t>
  </si>
  <si>
    <t>Relocate/Remove Service Pipe</t>
  </si>
  <si>
    <t>No Access/Incomplete Meter Fix</t>
  </si>
  <si>
    <t>Other Negotiated Service</t>
  </si>
  <si>
    <t>Tariff R</t>
  </si>
  <si>
    <t>Tariff C</t>
  </si>
  <si>
    <t>Tariff D - Adelaide Northern</t>
  </si>
  <si>
    <t>Tariff D - Adelaide Central</t>
  </si>
  <si>
    <t>Tariff D - Adelaide Southern</t>
  </si>
  <si>
    <t>Tariff D - Port Pirie</t>
  </si>
  <si>
    <t>Tariff D - Petersborough</t>
  </si>
  <si>
    <t>Tariff D - Riverlands</t>
  </si>
  <si>
    <t>Tariff D - South East</t>
  </si>
  <si>
    <t>Tariff D - Whyalla</t>
  </si>
  <si>
    <t>Uplift in data privacy, security and access control maturity levels (including a new Privacy Officer, software licensing costs and access control extended to all users) to fill gaps in our cybersecurity, address risks and meet Foreign Investment Review Board (FIRB) conditions and Security of Critical Infrastructure (SOCI) legislative obligations.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</si>
</sst>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2" formatCode="_-&quot;$&quot;* #,##0_-;\-&quot;$&quot;* #,##0_-;_-&quot;$&quot;* &quot;-&quot;_-;_-@_-"/>
    <numFmt numFmtId="164" formatCode="_(* #,##0_);_(* \(#,##0\);_(* &quot;-&quot;_);_(@_)"/>
    <numFmt numFmtId="165" formatCode="_(* #,##0.00_);_(* \(#,##0.00\);_(* &quot;-&quot;??_);_(@_)"/>
    <numFmt numFmtId="166" formatCode="##\ ###\ ###\ ###\ ##0"/>
    <numFmt numFmtId="167" formatCode="_-* #,##0_-;[Red]\(#,##0\)_-;_-* &quot;-&quot;??_-;_-@_-"/>
    <numFmt numFmtId="168" formatCode="#,##0.00000"/>
    <numFmt numFmtId="169" formatCode="#,##0.0000"/>
    <numFmt numFmtId="170" formatCode="_-* #,##0_-;\-* #,##0_-;_-* &quot;-&quot;??_-;_-@_-"/>
    <numFmt numFmtId="171" formatCode="0000"/>
    <numFmt numFmtId="172" formatCode="0#\ ####\ ####"/>
    <numFmt numFmtId="173" formatCode="#,##0.000_ ;[Red]\-#,##0.000\ "/>
    <numFmt numFmtId="174" formatCode="###\ ###\ ##0"/>
    <numFmt numFmtId="175" formatCode="0##\ ###\ ##0"/>
    <numFmt numFmtId="176" formatCode="_(* #,##0_);_(* \(#,##0\);_(* &quot;-&quot;??_);_(@_)"/>
  </numFmts>
  <fonts count="16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theme="7" tint="-0.249977111117893"/>
      <name val="Arial"/>
      <family val="2"/>
    </font>
    <font>
      <sz val="11"/>
      <color theme="4" tint="-0.249977111117893"/>
      <name val="Calibri"/>
      <family val="2"/>
      <scheme val="minor"/>
    </font>
    <font>
      <sz val="11"/>
      <color theme="8" tint="-0.249977111117893"/>
      <name val="Arial"/>
      <family val="2"/>
    </font>
    <font>
      <sz val="10"/>
      <color rgb="FFFF0000"/>
      <name val="Arial"/>
      <family val="2"/>
    </font>
    <font>
      <b/>
      <sz val="11"/>
      <color rgb="FFFF0000"/>
      <name val="Arial"/>
      <family val="2"/>
    </font>
    <font>
      <sz val="11"/>
      <color theme="1"/>
      <name val="Calibri"/>
      <family val="2"/>
    </font>
    <font>
      <sz val="9"/>
      <name val="Arial"/>
      <family val="2"/>
    </font>
    <font>
      <sz val="10"/>
      <color rgb="FF00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1"/>
      <color rgb="FF000000"/>
      <name val="Arial"/>
      <family val="2"/>
    </font>
    <font>
      <sz val="11"/>
      <color rgb="FF000000"/>
      <name val="Arial"/>
      <family val="2"/>
    </font>
    <font>
      <sz val="10"/>
      <color rgb="FF808080"/>
      <name val="Arial"/>
      <family val="2"/>
    </font>
    <font>
      <b/>
      <sz val="10"/>
      <color rgb="FFFF0000"/>
      <name val="Arial"/>
      <family val="2"/>
    </font>
    <font>
      <sz val="10"/>
      <color theme="4"/>
      <name val="Arial"/>
      <family val="2"/>
    </font>
    <font>
      <sz val="10"/>
      <color theme="0" tint="-0.499984740745262"/>
      <name val="Arial"/>
      <family val="2"/>
    </font>
    <font>
      <b/>
      <i/>
      <sz val="10"/>
      <name val="Arial"/>
      <family val="2"/>
    </font>
    <font>
      <b/>
      <i/>
      <sz val="11"/>
      <color theme="1"/>
      <name val="Calibri"/>
      <family val="2"/>
      <scheme val="minor"/>
    </font>
    <font>
      <b/>
      <sz val="9"/>
      <color rgb="FF000000"/>
      <name val="Tahoma"/>
      <family val="2"/>
    </font>
    <font>
      <sz val="9"/>
      <color rgb="FF000000"/>
      <name val="Tahoma"/>
      <family val="2"/>
    </font>
    <font>
      <b/>
      <sz val="16"/>
      <color indexed="9"/>
      <name val="Arial"/>
      <family val="2"/>
    </font>
    <font>
      <b/>
      <sz val="16"/>
      <name val="Arial"/>
      <family val="2"/>
    </font>
    <font>
      <sz val="10"/>
      <color indexed="9"/>
      <name val="Arial"/>
      <family val="2"/>
    </font>
    <font>
      <sz val="10"/>
      <color theme="4" tint="-0.499984740745262"/>
      <name val="Arial"/>
      <family val="2"/>
    </font>
    <font>
      <sz val="10"/>
      <color theme="0"/>
      <name val="Arial"/>
      <family val="2"/>
    </font>
    <font>
      <b/>
      <sz val="10"/>
      <color theme="1" tint="0.14999847407452621"/>
      <name val="Arial"/>
      <family val="2"/>
    </font>
    <font>
      <sz val="10"/>
      <color theme="4" tint="0.59999389629810485"/>
      <name val="Arial"/>
      <family val="2"/>
    </font>
    <font>
      <sz val="11"/>
      <color rgb="FFFF0000"/>
      <name val="Arial"/>
      <family val="2"/>
    </font>
    <font>
      <sz val="11"/>
      <color theme="5" tint="-0.249977111117893"/>
      <name val="Arial"/>
      <family val="2"/>
    </font>
    <font>
      <b/>
      <sz val="10"/>
      <color theme="1"/>
      <name val="Arial"/>
      <family val="2"/>
    </font>
    <font>
      <sz val="14"/>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i/>
      <sz val="11"/>
      <color theme="1"/>
      <name val="Arial"/>
      <family val="2"/>
    </font>
    <font>
      <b/>
      <sz val="10"/>
      <color theme="0" tint="-0.499984740745262"/>
      <name val="Arial"/>
      <family val="2"/>
    </font>
    <font>
      <sz val="16"/>
      <color rgb="FFFF0000"/>
      <name val="Arial"/>
      <family val="2"/>
    </font>
    <font>
      <sz val="14"/>
      <color rgb="FFFF0000"/>
      <name val="Arial"/>
      <family val="2"/>
    </font>
    <font>
      <sz val="10"/>
      <color theme="5" tint="-0.249977111117893"/>
      <name val="Arial"/>
      <family val="2"/>
    </font>
    <font>
      <b/>
      <sz val="10"/>
      <color rgb="FF808080"/>
      <name val="Arial"/>
      <family val="2"/>
    </font>
    <font>
      <sz val="12"/>
      <name val="Arial"/>
      <family val="2"/>
    </font>
    <font>
      <b/>
      <sz val="9"/>
      <name val="Arial"/>
      <family val="2"/>
    </font>
    <font>
      <b/>
      <sz val="10"/>
      <color indexed="8"/>
      <name val="Arial"/>
      <family val="2"/>
    </font>
    <font>
      <sz val="8"/>
      <name val="Arial"/>
      <family val="2"/>
    </font>
    <font>
      <u/>
      <sz val="11"/>
      <color theme="10"/>
      <name val="Calibri"/>
      <family val="2"/>
      <scheme val="minor"/>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20"/>
      <color indexed="9"/>
      <name val="Arial"/>
      <family val="2"/>
    </font>
    <font>
      <sz val="16"/>
      <name val="Arial Black"/>
      <family val="2"/>
    </font>
    <font>
      <sz val="12"/>
      <color theme="1"/>
      <name val="Calibri"/>
      <family val="2"/>
      <scheme val="minor"/>
    </font>
    <font>
      <sz val="14"/>
      <color theme="1"/>
      <name val="Calibri"/>
      <family val="2"/>
      <scheme val="minor"/>
    </font>
    <font>
      <sz val="11"/>
      <color rgb="FF000000"/>
      <name val="Calibri"/>
      <family val="2"/>
    </font>
    <font>
      <sz val="11"/>
      <name val="Calibri"/>
      <family val="2"/>
    </font>
    <font>
      <b/>
      <sz val="20"/>
      <color rgb="FFFF0000"/>
      <name val="Calibri"/>
      <family val="2"/>
    </font>
    <font>
      <b/>
      <sz val="12"/>
      <name val="Calibri"/>
      <family val="2"/>
    </font>
    <font>
      <b/>
      <sz val="24"/>
      <color rgb="FFFFFFFF"/>
      <name val="Calibri"/>
      <family val="2"/>
    </font>
    <font>
      <b/>
      <sz val="12"/>
      <color rgb="FFFF0000"/>
      <name val="Calibri"/>
      <family val="2"/>
    </font>
    <font>
      <b/>
      <sz val="18"/>
      <color rgb="FFFFFFFF"/>
      <name val="Calibri"/>
      <family val="2"/>
    </font>
    <font>
      <b/>
      <sz val="11"/>
      <color theme="0"/>
      <name val="Arial"/>
      <family val="2"/>
    </font>
    <font>
      <sz val="11"/>
      <color indexed="18"/>
      <name val="Calibri"/>
      <family val="2"/>
      <scheme val="minor"/>
    </font>
    <font>
      <sz val="12"/>
      <color indexed="18"/>
      <name val="Calibri"/>
      <family val="2"/>
      <scheme val="minor"/>
    </font>
    <font>
      <b/>
      <sz val="12"/>
      <color indexed="18"/>
      <name val="Calibri"/>
      <family val="2"/>
      <scheme val="minor"/>
    </font>
    <font>
      <u/>
      <sz val="12"/>
      <color theme="10"/>
      <name val="Calibri"/>
      <family val="2"/>
      <scheme val="minor"/>
    </font>
    <font>
      <sz val="12"/>
      <name val="Calibri"/>
      <family val="2"/>
      <scheme val="minor"/>
    </font>
    <font>
      <b/>
      <sz val="12"/>
      <color theme="0"/>
      <name val="Calibri"/>
      <family val="2"/>
      <scheme val="minor"/>
    </font>
    <font>
      <sz val="12"/>
      <color theme="0"/>
      <name val="Calibri"/>
      <family val="2"/>
      <scheme val="minor"/>
    </font>
    <font>
      <b/>
      <sz val="12"/>
      <name val="Calibri"/>
      <family val="2"/>
      <scheme val="minor"/>
    </font>
    <font>
      <b/>
      <sz val="18"/>
      <color indexed="18"/>
      <name val="Calibri"/>
      <family val="2"/>
      <scheme val="minor"/>
    </font>
    <font>
      <b/>
      <sz val="22"/>
      <color theme="1"/>
      <name val="Calibri"/>
      <family val="2"/>
      <scheme val="minor"/>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4"/>
      <color theme="1"/>
      <name val="Calibri"/>
      <family val="2"/>
      <scheme val="minor"/>
    </font>
    <font>
      <b/>
      <sz val="9"/>
      <name val="Calibri"/>
      <family val="2"/>
      <scheme val="minor"/>
    </font>
    <font>
      <i/>
      <sz val="11"/>
      <color theme="1"/>
      <name val="Calibri"/>
      <family val="2"/>
      <scheme val="minor"/>
    </font>
    <font>
      <b/>
      <sz val="10"/>
      <color theme="1"/>
      <name val="Calibri"/>
      <family val="2"/>
      <scheme val="minor"/>
    </font>
    <font>
      <b/>
      <sz val="14"/>
      <color rgb="FFFF0000"/>
      <name val="Calibri"/>
      <family val="2"/>
      <scheme val="minor"/>
    </font>
    <font>
      <b/>
      <sz val="9"/>
      <color theme="1" tint="0.34998626667073579"/>
      <name val="Calibri"/>
      <family val="2"/>
      <scheme val="minor"/>
    </font>
    <font>
      <b/>
      <sz val="10"/>
      <color indexed="8"/>
      <name val="Calibri"/>
      <family val="2"/>
      <scheme val="minor"/>
    </font>
    <font>
      <u/>
      <sz val="11"/>
      <name val="Calibri"/>
      <family val="2"/>
      <scheme val="minor"/>
    </font>
    <font>
      <b/>
      <sz val="36"/>
      <color theme="0"/>
      <name val="Calibri"/>
      <family val="2"/>
      <scheme val="minor"/>
    </font>
    <font>
      <sz val="11"/>
      <color theme="1" tint="0.34998626667073579"/>
      <name val="Calibri"/>
      <family val="2"/>
      <scheme val="minor"/>
    </font>
    <font>
      <b/>
      <sz val="11"/>
      <color theme="3" tint="0.39994506668294322"/>
      <name val="Calibri"/>
      <family val="2"/>
      <scheme val="minor"/>
    </font>
    <font>
      <sz val="22"/>
      <color theme="0"/>
      <name val="Calibri"/>
      <family val="2"/>
      <scheme val="minor"/>
    </font>
    <font>
      <sz val="26"/>
      <color theme="0"/>
      <name val="Calibri"/>
      <family val="2"/>
      <scheme val="minor"/>
    </font>
    <font>
      <sz val="22"/>
      <color theme="1"/>
      <name val="Calibri"/>
      <family val="2"/>
      <scheme val="minor"/>
    </font>
    <font>
      <sz val="26"/>
      <name val="Calibri"/>
      <family val="2"/>
      <scheme val="minor"/>
    </font>
    <font>
      <sz val="24"/>
      <color theme="0"/>
      <name val="Calibri"/>
      <family val="2"/>
      <scheme val="minor"/>
    </font>
    <font>
      <sz val="26"/>
      <color rgb="FFFF0000"/>
      <name val="Calibri"/>
      <family val="2"/>
      <scheme val="minor"/>
    </font>
    <font>
      <b/>
      <sz val="11"/>
      <color theme="3" tint="0.39997558519241921"/>
      <name val="Calibri"/>
      <family val="2"/>
      <scheme val="minor"/>
    </font>
    <font>
      <b/>
      <sz val="11"/>
      <color theme="4"/>
      <name val="Arial"/>
      <family val="2"/>
    </font>
    <font>
      <b/>
      <i/>
      <sz val="12"/>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i/>
      <sz val="10"/>
      <color theme="1" tint="0.34998626667073579"/>
      <name val="Arial"/>
      <family val="2"/>
    </font>
    <font>
      <i/>
      <sz val="11"/>
      <color theme="0"/>
      <name val="Arial"/>
      <family val="2"/>
    </font>
    <font>
      <i/>
      <sz val="10"/>
      <color theme="1" tint="0.249977111117893"/>
      <name val="Calibri"/>
      <family val="2"/>
      <scheme val="minor"/>
    </font>
    <font>
      <sz val="10"/>
      <color theme="1" tint="0.34998626667073579"/>
      <name val="Arial"/>
      <family val="2"/>
    </font>
    <font>
      <b/>
      <sz val="11"/>
      <color theme="1" tint="0.34998626667073579"/>
      <name val="Calibri"/>
      <family val="2"/>
      <scheme val="minor"/>
    </font>
    <font>
      <sz val="10"/>
      <color theme="1" tint="0.34998626667073579"/>
      <name val="Calibri"/>
      <family val="2"/>
      <scheme val="minor"/>
    </font>
    <font>
      <b/>
      <sz val="12"/>
      <color theme="1"/>
      <name val="Calibri"/>
      <family val="2"/>
      <scheme val="minor"/>
    </font>
    <font>
      <b/>
      <sz val="9"/>
      <color indexed="81"/>
      <name val="Tahoma"/>
      <family val="2"/>
    </font>
    <font>
      <sz val="9"/>
      <color indexed="81"/>
      <name val="Tahoma"/>
      <family val="2"/>
    </font>
    <font>
      <b/>
      <sz val="11"/>
      <color indexed="18"/>
      <name val="Calibri"/>
      <family val="2"/>
      <scheme val="minor"/>
    </font>
    <font>
      <b/>
      <sz val="36"/>
      <name val="Arial"/>
      <family val="2"/>
    </font>
    <font>
      <sz val="15"/>
      <name val="Arial"/>
      <family val="2"/>
    </font>
    <font>
      <b/>
      <i/>
      <sz val="15"/>
      <name val="Arial"/>
      <family val="2"/>
    </font>
    <font>
      <b/>
      <sz val="15"/>
      <name val="Arial"/>
      <family val="2"/>
    </font>
    <font>
      <i/>
      <sz val="15"/>
      <name val="Arial"/>
      <family val="2"/>
    </font>
    <font>
      <b/>
      <sz val="16"/>
      <color rgb="FFFF0000"/>
      <name val="Arial"/>
      <family val="2"/>
    </font>
    <font>
      <b/>
      <sz val="16"/>
      <color rgb="FFE26B0A"/>
      <name val="Calibri"/>
      <family val="2"/>
    </font>
    <font>
      <sz val="9"/>
      <name val="Calibri"/>
      <family val="2"/>
      <scheme val="minor"/>
    </font>
    <font>
      <b/>
      <sz val="9"/>
      <color theme="1"/>
      <name val="Arial"/>
      <family val="2"/>
    </font>
    <font>
      <b/>
      <sz val="10"/>
      <color rgb="FFFFFFFF"/>
      <name val="Calibri"/>
      <family val="2"/>
      <scheme val="minor"/>
    </font>
    <font>
      <b/>
      <sz val="10"/>
      <color theme="0"/>
      <name val="Tahoma"/>
      <family val="2"/>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CCCCFF"/>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rgb="FFB8CCE4"/>
        <bgColor rgb="FF000000"/>
      </patternFill>
    </fill>
    <fill>
      <patternFill patternType="solid">
        <fgColor theme="9" tint="0.39997558519241921"/>
        <bgColor rgb="FF000000"/>
      </patternFill>
    </fill>
    <fill>
      <patternFill patternType="solid">
        <fgColor rgb="FFFABF8F"/>
        <bgColor rgb="FF000000"/>
      </patternFill>
    </fill>
    <fill>
      <patternFill patternType="solid">
        <fgColor rgb="FFFCD5B4"/>
        <bgColor rgb="FF000000"/>
      </patternFill>
    </fill>
    <fill>
      <patternFill patternType="solid">
        <fgColor theme="0" tint="-0.14999847407452621"/>
        <bgColor rgb="FF000000"/>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rgb="FFFF0000"/>
        <bgColor rgb="FF000000"/>
      </patternFill>
    </fill>
    <fill>
      <patternFill patternType="solid">
        <fgColor indexed="43"/>
        <bgColor indexed="64"/>
      </patternFill>
    </fill>
    <fill>
      <patternFill patternType="solid">
        <fgColor indexed="43"/>
        <bgColor rgb="FF000000"/>
      </patternFill>
    </fill>
    <fill>
      <patternFill patternType="solid">
        <fgColor rgb="FFFFCCCC"/>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D3CDB1"/>
        <bgColor rgb="FF000000"/>
      </patternFill>
    </fill>
    <fill>
      <patternFill patternType="solid">
        <fgColor rgb="FFE3E3E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theme="3"/>
        <bgColor indexed="64"/>
      </patternFill>
    </fill>
    <fill>
      <patternFill patternType="gray125">
        <fgColor theme="3" tint="0.39991454817346722"/>
        <bgColor rgb="FFFFFFCC"/>
      </patternFill>
    </fill>
    <fill>
      <patternFill patternType="solid">
        <fgColor theme="5" tint="-0.249977111117893"/>
        <bgColor indexed="64"/>
      </patternFill>
    </fill>
    <fill>
      <patternFill patternType="solid">
        <fgColor theme="6"/>
        <bgColor indexed="64"/>
      </patternFill>
    </fill>
    <fill>
      <patternFill patternType="solid">
        <fgColor theme="4"/>
        <bgColor indexed="64"/>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2" tint="-0.749992370372631"/>
        <bgColor indexed="64"/>
      </patternFill>
    </fill>
    <fill>
      <patternFill patternType="solid">
        <fgColor theme="0" tint="-0.249977111117893"/>
        <bgColor rgb="FF000000"/>
      </patternFill>
    </fill>
    <fill>
      <patternFill patternType="solid">
        <fgColor rgb="FFEEECE1"/>
        <bgColor rgb="FF000000"/>
      </patternFill>
    </fill>
    <fill>
      <patternFill patternType="solid">
        <fgColor rgb="FF808080"/>
        <bgColor rgb="FF000000"/>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theme="4"/>
        <bgColor theme="4"/>
      </patternFill>
    </fill>
    <fill>
      <patternFill patternType="solid">
        <fgColor theme="2" tint="-9.9948118533890809E-2"/>
        <bgColor indexed="64"/>
      </patternFill>
    </fill>
    <fill>
      <patternFill patternType="solid">
        <fgColor rgb="FFF79747"/>
        <bgColor indexed="64"/>
      </patternFill>
    </fill>
    <fill>
      <patternFill patternType="solid">
        <fgColor theme="5" tint="0.79998168889431442"/>
        <bgColor indexed="64"/>
      </patternFill>
    </fill>
    <fill>
      <patternFill patternType="solid">
        <fgColor theme="0" tint="-0.14999847407452621"/>
        <bgColor theme="4" tint="0.79998168889431442"/>
      </patternFill>
    </fill>
    <fill>
      <patternFill patternType="solid">
        <fgColor rgb="FFFDE9D9"/>
        <bgColor rgb="FF000000"/>
      </patternFill>
    </fill>
    <fill>
      <patternFill patternType="solid">
        <fgColor rgb="FF25C6FF"/>
        <bgColor indexed="64"/>
      </patternFill>
    </fill>
    <fill>
      <patternFill patternType="gray125">
        <fgColor theme="3"/>
        <bgColor rgb="FFFFFFCC"/>
      </patternFill>
    </fill>
    <fill>
      <patternFill patternType="gray125">
        <fgColor theme="3" tint="0.39991454817346722"/>
        <bgColor rgb="FFFFCCCC"/>
      </patternFill>
    </fill>
    <fill>
      <patternFill patternType="gray125">
        <fgColor theme="3"/>
        <bgColor rgb="FFFFCCCC"/>
      </patternFill>
    </fill>
    <fill>
      <patternFill patternType="solid">
        <fgColor rgb="FFFFCCCC"/>
        <bgColor rgb="FF000000"/>
      </patternFill>
    </fill>
  </fills>
  <borders count="3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top style="thin">
        <color theme="0" tint="-0.34998626667073579"/>
      </top>
      <bottom style="medium">
        <color auto="1"/>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rgb="FFFF0000"/>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FF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right style="medium">
        <color indexed="64"/>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indexed="64"/>
      </left>
      <right/>
      <top style="thin">
        <color indexed="64"/>
      </top>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diagonal/>
    </border>
    <border>
      <left/>
      <right style="medium">
        <color auto="1"/>
      </right>
      <top style="thin">
        <color theme="0" tint="-0.24994659260841701"/>
      </top>
      <bottom style="medium">
        <color auto="1"/>
      </bottom>
      <diagonal/>
    </border>
    <border>
      <left style="medium">
        <color indexed="64"/>
      </left>
      <right/>
      <top style="thin">
        <color indexed="64"/>
      </top>
      <bottom style="thin">
        <color indexed="64"/>
      </bottom>
      <diagonal/>
    </border>
    <border>
      <left style="medium">
        <color indexed="64"/>
      </left>
      <right style="medium">
        <color auto="1"/>
      </right>
      <top/>
      <bottom style="thin">
        <color auto="1"/>
      </bottom>
      <diagonal/>
    </border>
    <border>
      <left style="medium">
        <color auto="1"/>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rgb="FFBFBFBF"/>
      </left>
      <right style="medium">
        <color indexed="64"/>
      </right>
      <top style="medium">
        <color indexed="64"/>
      </top>
      <bottom style="medium">
        <color indexed="64"/>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thin">
        <color rgb="FFBFBFBF"/>
      </left>
      <right style="medium">
        <color indexed="64"/>
      </right>
      <top style="thin">
        <color rgb="FFBFBFBF"/>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right/>
      <top style="medium">
        <color indexed="64"/>
      </top>
      <bottom style="thin">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style="thin">
        <color indexed="64"/>
      </left>
      <right/>
      <top/>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theme="0" tint="-0.34998626667073579"/>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theme="0" tint="-0.34998626667073579"/>
      </right>
      <top style="thin">
        <color theme="0" tint="-0.34998626667073579"/>
      </top>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style="medium">
        <color indexed="64"/>
      </left>
      <right style="thin">
        <color theme="0" tint="-0.34998626667073579"/>
      </right>
      <top/>
      <bottom style="medium">
        <color auto="1"/>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auto="1"/>
      </bottom>
      <diagonal/>
    </border>
    <border>
      <left/>
      <right style="medium">
        <color indexed="64"/>
      </right>
      <top style="thin">
        <color rgb="FFA6A6A6"/>
      </top>
      <bottom style="thin">
        <color rgb="FFA6A6A6"/>
      </bottom>
      <diagonal/>
    </border>
    <border>
      <left style="medium">
        <color indexed="64"/>
      </left>
      <right/>
      <top style="thin">
        <color rgb="FFA6A6A6"/>
      </top>
      <bottom style="medium">
        <color indexed="64"/>
      </bottom>
      <diagonal/>
    </border>
    <border>
      <left/>
      <right style="medium">
        <color indexed="64"/>
      </right>
      <top style="thin">
        <color rgb="FFA6A6A6"/>
      </top>
      <bottom style="medium">
        <color indexed="64"/>
      </bottom>
      <diagonal/>
    </border>
    <border>
      <left style="medium">
        <color indexed="64"/>
      </left>
      <right/>
      <top/>
      <bottom style="thin">
        <color rgb="FFA6A6A6"/>
      </bottom>
      <diagonal/>
    </border>
    <border>
      <left/>
      <right style="medium">
        <color indexed="64"/>
      </right>
      <top/>
      <bottom style="thin">
        <color rgb="FFA6A6A6"/>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style="thin">
        <color indexed="64"/>
      </right>
      <top style="thin">
        <color theme="0" tint="-0.24994659260841701"/>
      </top>
      <bottom/>
      <diagonal/>
    </border>
    <border>
      <left style="thin">
        <color indexed="64"/>
      </left>
      <right style="thin">
        <color theme="0" tint="-0.34998626667073579"/>
      </right>
      <top style="thin">
        <color theme="0" tint="-0.34998626667073579"/>
      </top>
      <bottom style="thin">
        <color indexed="64"/>
      </bottom>
      <diagonal/>
    </border>
    <border>
      <left style="thin">
        <color indexed="64"/>
      </left>
      <right style="thin">
        <color theme="0" tint="-0.34998626667073579"/>
      </right>
      <top/>
      <bottom style="medium">
        <color indexed="64"/>
      </bottom>
      <diagonal/>
    </border>
    <border>
      <left style="thin">
        <color indexed="64"/>
      </left>
      <right style="thin">
        <color theme="0" tint="-0.34998626667073579"/>
      </right>
      <top/>
      <bottom style="thin">
        <color theme="0" tint="-0.34998626667073579"/>
      </bottom>
      <diagonal/>
    </border>
    <border>
      <left style="thin">
        <color theme="0" tint="-0.34998626667073579"/>
      </left>
      <right/>
      <top/>
      <bottom style="medium">
        <color auto="1"/>
      </bottom>
      <diagonal/>
    </border>
    <border>
      <left style="thin">
        <color indexed="64"/>
      </left>
      <right style="thin">
        <color theme="0" tint="-0.34998626667073579"/>
      </right>
      <top/>
      <bottom style="thin">
        <color indexed="64"/>
      </bottom>
      <diagonal/>
    </border>
    <border>
      <left/>
      <right style="thin">
        <color rgb="FFBFBFBF"/>
      </right>
      <top/>
      <bottom style="thin">
        <color rgb="FFBFBFBF"/>
      </bottom>
      <diagonal/>
    </border>
    <border>
      <left style="thin">
        <color rgb="FFBFBFBF"/>
      </left>
      <right style="thin">
        <color indexed="64"/>
      </right>
      <top style="medium">
        <color auto="1"/>
      </top>
      <bottom style="thin">
        <color rgb="FFBFBFBF"/>
      </bottom>
      <diagonal/>
    </border>
    <border>
      <left/>
      <right style="thin">
        <color rgb="FFBFBFBF"/>
      </right>
      <top style="thin">
        <color rgb="FFBFBFBF"/>
      </top>
      <bottom style="thin">
        <color rgb="FFBFBFBF"/>
      </bottom>
      <diagonal/>
    </border>
    <border>
      <left style="thin">
        <color rgb="FFBFBFBF"/>
      </left>
      <right style="thin">
        <color indexed="64"/>
      </right>
      <top style="thin">
        <color rgb="FFBFBFBF"/>
      </top>
      <bottom style="thin">
        <color rgb="FFBFBFBF"/>
      </bottom>
      <diagonal/>
    </border>
    <border>
      <left/>
      <right style="thin">
        <color rgb="FFBFBFBF"/>
      </right>
      <top style="thin">
        <color rgb="FFBFBFBF"/>
      </top>
      <bottom/>
      <diagonal/>
    </border>
    <border>
      <left style="thin">
        <color rgb="FFBFBFBF"/>
      </left>
      <right style="thin">
        <color auto="1"/>
      </right>
      <top style="thin">
        <color rgb="FFBFBFBF"/>
      </top>
      <bottom/>
      <diagonal/>
    </border>
    <border>
      <left/>
      <right style="thin">
        <color theme="0" tint="-0.24994659260841701"/>
      </right>
      <top style="thin">
        <color theme="0" tint="-0.24994659260841701"/>
      </top>
      <bottom style="thin">
        <color indexed="64"/>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indexed="64"/>
      </left>
      <right style="thin">
        <color theme="0" tint="-0.14996795556505021"/>
      </right>
      <top style="thin">
        <color theme="0" tint="-0.24994659260841701"/>
      </top>
      <bottom style="thin">
        <color indexed="64"/>
      </bottom>
      <diagonal/>
    </border>
    <border>
      <left style="thin">
        <color theme="0" tint="-0.14996795556505021"/>
      </left>
      <right/>
      <top style="thin">
        <color theme="0" tint="-0.24994659260841701"/>
      </top>
      <bottom style="thin">
        <color indexed="64"/>
      </bottom>
      <diagonal/>
    </border>
    <border>
      <left style="thin">
        <color theme="0" tint="-0.14996795556505021"/>
      </left>
      <right style="thin">
        <color theme="0" tint="-0.14996795556505021"/>
      </right>
      <top style="thin">
        <color theme="0" tint="-0.24994659260841701"/>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indexed="64"/>
      </bottom>
      <diagonal/>
    </border>
    <border>
      <left/>
      <right style="thin">
        <color indexed="64"/>
      </right>
      <top style="medium">
        <color auto="1"/>
      </top>
      <bottom style="thin">
        <color theme="0" tint="-0.24994659260841701"/>
      </bottom>
      <diagonal/>
    </border>
    <border>
      <left/>
      <right style="thin">
        <color indexed="64"/>
      </right>
      <top style="thin">
        <color theme="0" tint="-0.24994659260841701"/>
      </top>
      <bottom style="medium">
        <color indexed="64"/>
      </bottom>
      <diagonal/>
    </border>
    <border>
      <left/>
      <right style="thin">
        <color indexed="64"/>
      </right>
      <top/>
      <bottom style="thin">
        <color theme="0" tint="-0.24994659260841701"/>
      </bottom>
      <diagonal/>
    </border>
    <border>
      <left/>
      <right style="thin">
        <color theme="0" tint="-0.14996795556505021"/>
      </right>
      <top/>
      <bottom style="thin">
        <color theme="0" tint="-0.24994659260841701"/>
      </bottom>
      <diagonal/>
    </border>
    <border>
      <left style="thin">
        <color theme="0" tint="-0.14996795556505021"/>
      </left>
      <right/>
      <top/>
      <bottom style="thin">
        <color theme="0" tint="-0.24994659260841701"/>
      </bottom>
      <diagonal/>
    </border>
    <border>
      <left style="thin">
        <color indexed="64"/>
      </left>
      <right style="thin">
        <color theme="0" tint="-0.14996795556505021"/>
      </right>
      <top/>
      <bottom style="thin">
        <color theme="0" tint="-0.24994659260841701"/>
      </bottom>
      <diagonal/>
    </border>
    <border>
      <left style="thin">
        <color theme="0" tint="-0.14996795556505021"/>
      </left>
      <right style="thin">
        <color theme="0" tint="-0.14996795556505021"/>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indexed="64"/>
      </left>
      <right/>
      <top style="thin">
        <color rgb="FFA6A6A6"/>
      </top>
      <bottom style="thin">
        <color indexed="64"/>
      </bottom>
      <diagonal/>
    </border>
    <border>
      <left/>
      <right style="medium">
        <color indexed="64"/>
      </right>
      <top style="thin">
        <color rgb="FFA6A6A6"/>
      </top>
      <bottom style="thin">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top style="medium">
        <color indexed="64"/>
      </top>
      <bottom style="thin">
        <color rgb="FFA6A6A6"/>
      </bottom>
      <diagonal/>
    </border>
    <border>
      <left/>
      <right style="medium">
        <color indexed="64"/>
      </right>
      <top style="medium">
        <color indexed="64"/>
      </top>
      <bottom style="thin">
        <color indexed="64"/>
      </bottom>
      <diagonal/>
    </border>
    <border>
      <left style="thin">
        <color theme="0" tint="-0.34998626667073579"/>
      </left>
      <right/>
      <top/>
      <bottom style="thin">
        <color indexed="64"/>
      </bottom>
      <diagonal/>
    </border>
    <border>
      <left style="thin">
        <color theme="0" tint="-0.34998626667073579"/>
      </left>
      <right style="medium">
        <color indexed="64"/>
      </right>
      <top/>
      <bottom style="thin">
        <color indexed="64"/>
      </bottom>
      <diagonal/>
    </border>
    <border>
      <left style="thin">
        <color theme="0" tint="-0.34998626667073579"/>
      </left>
      <right/>
      <top style="medium">
        <color indexed="64"/>
      </top>
      <bottom style="thin">
        <color theme="0" tint="-0.34998626667073579"/>
      </bottom>
      <diagonal/>
    </border>
    <border>
      <left/>
      <right style="medium">
        <color indexed="64"/>
      </right>
      <top style="thin">
        <color rgb="FFA6A6A6"/>
      </top>
      <bottom/>
      <diagonal/>
    </border>
    <border>
      <left style="thin">
        <color theme="0" tint="-0.34998626667073579"/>
      </left>
      <right style="thin">
        <color auto="1"/>
      </right>
      <top style="thin">
        <color theme="0" tint="-0.34998626667073579"/>
      </top>
      <bottom style="medium">
        <color auto="1"/>
      </bottom>
      <diagonal/>
    </border>
    <border>
      <left/>
      <right style="medium">
        <color indexed="64"/>
      </right>
      <top style="medium">
        <color indexed="64"/>
      </top>
      <bottom style="thin">
        <color rgb="FFA6A6A6"/>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thin">
        <color indexed="64"/>
      </left>
      <right style="thin">
        <color theme="0" tint="-0.24994659260841701"/>
      </right>
      <top style="thin">
        <color theme="0" tint="-0.24994659260841701"/>
      </top>
      <bottom/>
      <diagonal/>
    </border>
    <border>
      <left style="medium">
        <color indexed="64"/>
      </left>
      <right style="medium">
        <color indexed="64"/>
      </right>
      <top style="thin">
        <color rgb="FFA6A6A6"/>
      </top>
      <bottom style="thin">
        <color indexed="64"/>
      </bottom>
      <diagonal/>
    </border>
    <border>
      <left style="thin">
        <color indexed="64"/>
      </left>
      <right style="thin">
        <color theme="0" tint="-0.14996795556505021"/>
      </right>
      <top style="thin">
        <color theme="0" tint="-0.24994659260841701"/>
      </top>
      <bottom style="medium">
        <color indexed="64"/>
      </bottom>
      <diagonal/>
    </border>
    <border>
      <left style="thin">
        <color theme="0" tint="-0.14996795556505021"/>
      </left>
      <right/>
      <top style="thin">
        <color theme="0" tint="-0.24994659260841701"/>
      </top>
      <bottom style="medium">
        <color indexed="64"/>
      </bottom>
      <diagonal/>
    </border>
    <border>
      <left style="thin">
        <color theme="0" tint="-0.14996795556505021"/>
      </left>
      <right style="thin">
        <color theme="0" tint="-0.14996795556505021"/>
      </right>
      <top style="thin">
        <color theme="0" tint="-0.24994659260841701"/>
      </top>
      <bottom style="medium">
        <color indexed="64"/>
      </bottom>
      <diagonal/>
    </border>
    <border>
      <left style="thin">
        <color theme="0" tint="-0.14996795556505021"/>
      </left>
      <right style="medium">
        <color indexed="64"/>
      </right>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indexed="64"/>
      </bottom>
      <diagonal/>
    </border>
    <border>
      <left style="thin">
        <color indexed="64"/>
      </left>
      <right style="thin">
        <color theme="0" tint="-0.14996795556505021"/>
      </right>
      <top style="medium">
        <color indexed="64"/>
      </top>
      <bottom style="thin">
        <color theme="0" tint="-0.24994659260841701"/>
      </bottom>
      <diagonal/>
    </border>
    <border>
      <left style="thin">
        <color theme="0" tint="-0.14996795556505021"/>
      </left>
      <right/>
      <top style="medium">
        <color indexed="64"/>
      </top>
      <bottom style="thin">
        <color theme="0" tint="-0.24994659260841701"/>
      </bottom>
      <diagonal/>
    </border>
    <border>
      <left style="thin">
        <color theme="0" tint="-0.14996795556505021"/>
      </left>
      <right style="thin">
        <color theme="0" tint="-0.14996795556505021"/>
      </right>
      <top style="medium">
        <color indexed="64"/>
      </top>
      <bottom style="thin">
        <color theme="0" tint="-0.24994659260841701"/>
      </bottom>
      <diagonal/>
    </border>
    <border>
      <left style="thin">
        <color theme="0" tint="-0.14996795556505021"/>
      </left>
      <right style="medium">
        <color indexed="64"/>
      </right>
      <top style="medium">
        <color indexed="64"/>
      </top>
      <bottom style="thin">
        <color theme="0" tint="-0.24994659260841701"/>
      </bottom>
      <diagonal/>
    </border>
    <border>
      <left style="thin">
        <color theme="0" tint="-0.1499679555650502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top style="thin">
        <color rgb="FFA6A6A6"/>
      </top>
      <bottom style="thin">
        <color rgb="FFA6A6A6"/>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top style="thin">
        <color rgb="FFA6A6A6"/>
      </top>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style="medium">
        <color indexed="64"/>
      </right>
      <top style="thin">
        <color indexed="64"/>
      </top>
      <bottom style="thin">
        <color theme="0" tint="-0.24994659260841701"/>
      </bottom>
      <diagonal/>
    </border>
    <border>
      <left style="thin">
        <color theme="0" tint="-0.24994659260841701"/>
      </left>
      <right style="medium">
        <color indexed="64"/>
      </right>
      <top/>
      <bottom style="thin">
        <color indexed="64"/>
      </bottom>
      <diagonal/>
    </border>
    <border>
      <left style="thin">
        <color rgb="FFBFBFBF"/>
      </left>
      <right style="thin">
        <color rgb="FFBFBFBF"/>
      </right>
      <top style="medium">
        <color indexed="64"/>
      </top>
      <bottom/>
      <diagonal/>
    </border>
    <border>
      <left style="dotted">
        <color rgb="FFFF0000"/>
      </left>
      <right style="medium">
        <color indexed="64"/>
      </right>
      <top style="dotted">
        <color rgb="FFFF0000"/>
      </top>
      <bottom/>
      <diagonal/>
    </border>
    <border>
      <left style="medium">
        <color indexed="64"/>
      </left>
      <right style="thin">
        <color indexed="64"/>
      </right>
      <top style="dotted">
        <color rgb="FFFF0000"/>
      </top>
      <bottom style="medium">
        <color indexed="64"/>
      </bottom>
      <diagonal/>
    </border>
    <border>
      <left style="thin">
        <color rgb="FFBFBFBF"/>
      </left>
      <right style="thin">
        <color indexed="64"/>
      </right>
      <top style="dotted">
        <color rgb="FFFF0000"/>
      </top>
      <bottom style="medium">
        <color auto="1"/>
      </bottom>
      <diagonal/>
    </border>
    <border>
      <left style="thin">
        <color rgb="FFBFBFBF"/>
      </left>
      <right style="dotted">
        <color rgb="FFFF0000"/>
      </right>
      <top style="dotted">
        <color rgb="FFFF0000"/>
      </top>
      <bottom style="medium">
        <color indexed="64"/>
      </bottom>
      <diagonal/>
    </border>
    <border>
      <left style="dotted">
        <color rgb="FFFF0000"/>
      </left>
      <right style="medium">
        <color indexed="64"/>
      </right>
      <top/>
      <bottom/>
      <diagonal/>
    </border>
    <border>
      <left style="thin">
        <color theme="0" tint="-0.24994659260841701"/>
      </left>
      <right style="dotted">
        <color rgb="FFFF0000"/>
      </right>
      <top/>
      <bottom style="thin">
        <color theme="0" tint="-0.24994659260841701"/>
      </bottom>
      <diagonal/>
    </border>
    <border>
      <left style="thin">
        <color theme="0" tint="-0.24994659260841701"/>
      </left>
      <right style="dotted">
        <color rgb="FFFF0000"/>
      </right>
      <top style="thin">
        <color theme="0" tint="-0.24994659260841701"/>
      </top>
      <bottom style="thin">
        <color theme="0" tint="-0.24994659260841701"/>
      </bottom>
      <diagonal/>
    </border>
    <border>
      <left style="thin">
        <color theme="0" tint="-0.24994659260841701"/>
      </left>
      <right style="dotted">
        <color rgb="FFFF0000"/>
      </right>
      <top style="thin">
        <color theme="0" tint="-0.24994659260841701"/>
      </top>
      <bottom style="medium">
        <color indexed="64"/>
      </bottom>
      <diagonal/>
    </border>
    <border>
      <left style="dotted">
        <color rgb="FFFF0000"/>
      </left>
      <right/>
      <top/>
      <bottom/>
      <diagonal/>
    </border>
    <border>
      <left/>
      <right style="dotted">
        <color rgb="FFFF0000"/>
      </right>
      <top/>
      <bottom/>
      <diagonal/>
    </border>
    <border>
      <left style="medium">
        <color rgb="FFFF0000"/>
      </left>
      <right style="thin">
        <color theme="0" tint="-0.24994659260841701"/>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thin">
        <color theme="0" tint="-0.24994659260841701"/>
      </left>
      <right style="medium">
        <color rgb="FFFF0000"/>
      </right>
      <top style="medium">
        <color rgb="FFFF0000"/>
      </top>
      <bottom style="medium">
        <color rgb="FFFF0000"/>
      </bottom>
      <diagonal/>
    </border>
    <border>
      <left style="dotted">
        <color rgb="FFFF0000"/>
      </left>
      <right style="medium">
        <color rgb="FFFF0000"/>
      </right>
      <top/>
      <bottom/>
      <diagonal/>
    </border>
    <border>
      <left style="dotted">
        <color rgb="FFFF0000"/>
      </left>
      <right style="medium">
        <color rgb="FFFF0000"/>
      </right>
      <top/>
      <bottom style="dotted">
        <color rgb="FFFF0000"/>
      </bottom>
      <diagonal/>
    </border>
    <border>
      <left style="medium">
        <color rgb="FFFF0000"/>
      </left>
      <right style="thin">
        <color theme="0" tint="-0.24994659260841701"/>
      </right>
      <top style="thin">
        <color theme="0" tint="-0.24994659260841701"/>
      </top>
      <bottom style="dotted">
        <color rgb="FFFF0000"/>
      </bottom>
      <diagonal/>
    </border>
    <border>
      <left style="thin">
        <color theme="0" tint="-0.24994659260841701"/>
      </left>
      <right style="thin">
        <color theme="0" tint="-0.24994659260841701"/>
      </right>
      <top style="thin">
        <color theme="0" tint="-0.24994659260841701"/>
      </top>
      <bottom style="dotted">
        <color rgb="FFFF0000"/>
      </bottom>
      <diagonal/>
    </border>
    <border>
      <left style="thin">
        <color theme="0" tint="-0.24994659260841701"/>
      </left>
      <right style="medium">
        <color rgb="FFFF0000"/>
      </right>
      <top style="thin">
        <color theme="0" tint="-0.24994659260841701"/>
      </top>
      <bottom style="dotted">
        <color rgb="FFFF0000"/>
      </bottom>
      <diagonal/>
    </border>
    <border>
      <left/>
      <right style="dotted">
        <color rgb="FFFF0000"/>
      </right>
      <top/>
      <bottom style="dotted">
        <color rgb="FFFF0000"/>
      </bottom>
      <diagonal/>
    </border>
    <border>
      <left style="thin">
        <color rgb="FFBFBFBF"/>
      </left>
      <right style="thin">
        <color indexed="64"/>
      </right>
      <top style="medium">
        <color indexed="64"/>
      </top>
      <bottom/>
      <diagonal/>
    </border>
    <border>
      <left style="thin">
        <color rgb="FFBFBFBF"/>
      </left>
      <right style="medium">
        <color indexed="64"/>
      </right>
      <top style="medium">
        <color indexed="64"/>
      </top>
      <bottom/>
      <diagonal/>
    </border>
    <border>
      <left style="thin">
        <color theme="0" tint="-0.24994659260841701"/>
      </left>
      <right style="thin">
        <color theme="0" tint="-0.24994659260841701"/>
      </right>
      <top style="medium">
        <color indexed="64"/>
      </top>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theme="0" tint="-0.24994659260841701"/>
      </right>
      <top style="medium">
        <color indexed="64"/>
      </top>
      <bottom style="medium">
        <color indexed="64"/>
      </bottom>
      <diagonal/>
    </border>
    <border>
      <left style="medium">
        <color indexed="64"/>
      </left>
      <right/>
      <top style="thin">
        <color theme="4" tint="0.39997558519241921"/>
      </top>
      <bottom/>
      <diagonal/>
    </border>
    <border>
      <left/>
      <right/>
      <top style="thin">
        <color theme="4" tint="0.39997558519241921"/>
      </top>
      <bottom/>
      <diagonal/>
    </border>
    <border>
      <left/>
      <right style="medium">
        <color indexed="64"/>
      </right>
      <top style="thin">
        <color theme="4" tint="0.39997558519241921"/>
      </top>
      <bottom/>
      <diagonal/>
    </border>
    <border>
      <left style="medium">
        <color indexed="64"/>
      </left>
      <right/>
      <top style="thin">
        <color theme="4" tint="0.3999755851924192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BFBFBF"/>
      </right>
      <top style="medium">
        <color indexed="64"/>
      </top>
      <bottom style="medium">
        <color indexed="64"/>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top style="thin">
        <color indexed="64"/>
      </top>
      <bottom style="thin">
        <color theme="0" tint="-0.24994659260841701"/>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theme="0" tint="-0.24994659260841701"/>
      </right>
      <top style="thin">
        <color auto="1"/>
      </top>
      <bottom style="thin">
        <color theme="0" tint="-0.24994659260841701"/>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style="thin">
        <color rgb="FFA6A6A6"/>
      </top>
      <bottom style="thin">
        <color indexed="64"/>
      </bottom>
      <diagonal/>
    </border>
    <border>
      <left style="medium">
        <color indexed="64"/>
      </left>
      <right style="thin">
        <color rgb="FFA6A6A6"/>
      </right>
      <top/>
      <bottom style="thin">
        <color rgb="FFA6A6A6"/>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indexed="64"/>
      </right>
      <top/>
      <bottom style="thin">
        <color theme="0" tint="-0.34998626667073579"/>
      </bottom>
      <diagonal/>
    </border>
    <border>
      <left style="medium">
        <color indexed="64"/>
      </left>
      <right/>
      <top style="thin">
        <color theme="0"/>
      </top>
      <bottom/>
      <diagonal/>
    </border>
    <border>
      <left style="thin">
        <color theme="0" tint="-0.24994659260841701"/>
      </left>
      <right/>
      <top style="thin">
        <color theme="0"/>
      </top>
      <bottom/>
      <diagonal/>
    </border>
    <border>
      <left style="medium">
        <color indexed="64"/>
      </left>
      <right/>
      <top style="medium">
        <color theme="0" tint="-0.14999847407452621"/>
      </top>
      <bottom/>
      <diagonal/>
    </border>
    <border>
      <left style="thin">
        <color indexed="64"/>
      </left>
      <right/>
      <top style="thin">
        <color theme="0" tint="-0.24994659260841701"/>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theme="4" tint="0.39997558519241921"/>
      </top>
      <bottom/>
      <diagonal/>
    </border>
    <border>
      <left style="medium">
        <color indexed="64"/>
      </left>
      <right style="thin">
        <color rgb="FFA6A6A6"/>
      </right>
      <top style="thin">
        <color rgb="FFA6A6A6"/>
      </top>
      <bottom/>
      <diagonal/>
    </border>
    <border>
      <left/>
      <right/>
      <top style="thin">
        <color theme="0" tint="-0.34998626667073579"/>
      </top>
      <bottom/>
      <diagonal/>
    </border>
    <border>
      <left style="medium">
        <color indexed="64"/>
      </left>
      <right/>
      <top style="thin">
        <color theme="4"/>
      </top>
      <bottom/>
      <diagonal/>
    </border>
    <border>
      <left style="thin">
        <color theme="0" tint="-0.34998626667073579"/>
      </left>
      <right/>
      <top/>
      <bottom/>
      <diagonal/>
    </border>
    <border>
      <left style="thin">
        <color indexed="64"/>
      </left>
      <right style="thin">
        <color theme="0" tint="-0.34998626667073579"/>
      </right>
      <top/>
      <bottom/>
      <diagonal/>
    </border>
    <border>
      <left/>
      <right style="thin">
        <color theme="0" tint="-0.24994659260841701"/>
      </right>
      <top style="thin">
        <color auto="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4"/>
      </left>
      <right style="thin">
        <color theme="4"/>
      </right>
      <top style="thin">
        <color theme="4"/>
      </top>
      <bottom style="thin">
        <color theme="4"/>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s>
  <cellStyleXfs count="7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56" borderId="0" applyNumberFormat="0" applyBorder="0" applyAlignment="0" applyProtection="0"/>
    <xf numFmtId="0" fontId="35" fillId="56" borderId="16">
      <alignment vertical="center"/>
    </xf>
    <xf numFmtId="0" fontId="94" fillId="82" borderId="16" applyBorder="0">
      <alignment vertical="center"/>
    </xf>
    <xf numFmtId="0" fontId="19" fillId="57" borderId="16" applyBorder="0" applyProtection="0">
      <alignment vertical="center"/>
    </xf>
    <xf numFmtId="0" fontId="37" fillId="81" borderId="72" applyBorder="0">
      <alignment horizontal="left" vertical="center"/>
    </xf>
    <xf numFmtId="167" fontId="38" fillId="59" borderId="74" applyBorder="0">
      <alignment horizontal="right"/>
      <protection locked="0"/>
    </xf>
    <xf numFmtId="0" fontId="18" fillId="0" borderId="75" applyFont="0">
      <alignment horizontal="left" vertical="center" wrapText="1" indent="1"/>
    </xf>
    <xf numFmtId="49" fontId="34" fillId="56" borderId="0">
      <alignment vertical="center"/>
    </xf>
    <xf numFmtId="170" fontId="74" fillId="70" borderId="218">
      <alignment horizontal="right" vertical="center"/>
      <protection locked="0"/>
    </xf>
    <xf numFmtId="0" fontId="21" fillId="41" borderId="90">
      <alignment horizontal="centerContinuous" vertical="center" wrapText="1"/>
    </xf>
    <xf numFmtId="0" fontId="21" fillId="41" borderId="205">
      <alignment horizontal="right" vertical="center" wrapText="1" indent="1"/>
    </xf>
    <xf numFmtId="0" fontId="21" fillId="47" borderId="205">
      <alignment horizontal="right" vertical="center" wrapText="1" indent="1"/>
    </xf>
    <xf numFmtId="49" fontId="18" fillId="69" borderId="28">
      <alignment horizontal="left" vertical="center"/>
      <protection locked="0"/>
    </xf>
    <xf numFmtId="0" fontId="119" fillId="0" borderId="0" applyNumberFormat="0" applyFill="0" applyBorder="0" applyAlignment="0" applyProtection="0"/>
    <xf numFmtId="49" fontId="21" fillId="45" borderId="197" applyBorder="0">
      <alignment horizontal="centerContinuous" vertical="center" wrapText="1"/>
    </xf>
    <xf numFmtId="0" fontId="21" fillId="71" borderId="13" applyBorder="0">
      <alignment horizontal="right" vertical="center" wrapText="1" indent="1"/>
    </xf>
    <xf numFmtId="0" fontId="21" fillId="72" borderId="13" applyBorder="0">
      <alignment horizontal="right" vertical="center" wrapText="1" indent="1"/>
    </xf>
    <xf numFmtId="170" fontId="74" fillId="100" borderId="218">
      <alignment horizontal="right" vertical="center"/>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4" fillId="55" borderId="0">
      <alignment vertical="center"/>
    </xf>
    <xf numFmtId="0" fontId="76" fillId="0" borderId="0" applyNumberFormat="0" applyFill="0" applyBorder="0" applyAlignment="0" applyProtection="0"/>
    <xf numFmtId="0" fontId="34" fillId="55" borderId="0">
      <alignment vertical="center"/>
    </xf>
    <xf numFmtId="10" fontId="38" fillId="59" borderId="74" applyBorder="0">
      <alignment horizontal="right"/>
      <protection locked="0"/>
    </xf>
    <xf numFmtId="49" fontId="18" fillId="43" borderId="28" applyAlignment="0" applyProtection="0">
      <alignment horizontal="left" vertical="center" wrapText="1"/>
      <protection locked="0"/>
    </xf>
    <xf numFmtId="170" fontId="74" fillId="70" borderId="18" applyBorder="0">
      <alignment horizontal="right" vertical="center"/>
    </xf>
    <xf numFmtId="49" fontId="18" fillId="69" borderId="28" applyAlignment="0">
      <alignment horizontal="left" vertical="center" wrapText="1"/>
      <protection locked="0"/>
    </xf>
    <xf numFmtId="0" fontId="18" fillId="0" borderId="75">
      <alignment horizontal="left" vertical="center" wrapText="1" indent="1"/>
    </xf>
    <xf numFmtId="173" fontId="18" fillId="69" borderId="0">
      <protection locked="0"/>
    </xf>
    <xf numFmtId="0" fontId="37" fillId="95" borderId="72" applyBorder="0">
      <alignment horizontal="left" vertical="center"/>
    </xf>
    <xf numFmtId="0" fontId="37" fillId="58" borderId="72" applyBorder="0">
      <alignment vertical="center"/>
    </xf>
    <xf numFmtId="0" fontId="36" fillId="96" borderId="16" applyBorder="0">
      <alignment vertical="center"/>
    </xf>
    <xf numFmtId="0" fontId="161" fillId="88" borderId="377" applyNumberFormat="0" applyProtection="0"/>
  </cellStyleXfs>
  <cellXfs count="1721">
    <xf numFmtId="0" fontId="0" fillId="0" borderId="0" xfId="0"/>
    <xf numFmtId="167" fontId="38" fillId="66" borderId="212" xfId="48" applyFill="1" applyBorder="1" applyProtection="1">
      <alignment horizontal="right"/>
    </xf>
    <xf numFmtId="170" fontId="74" fillId="70" borderId="218" xfId="51">
      <alignment horizontal="right" vertical="center"/>
      <protection locked="0"/>
    </xf>
    <xf numFmtId="170" fontId="74" fillId="70" borderId="132" xfId="51" applyBorder="1">
      <alignment horizontal="right" vertical="center"/>
      <protection locked="0"/>
    </xf>
    <xf numFmtId="0" fontId="16" fillId="47" borderId="12" xfId="0" applyFont="1" applyFill="1" applyBorder="1" applyAlignment="1">
      <alignment horizontal="center"/>
    </xf>
    <xf numFmtId="0" fontId="19" fillId="47" borderId="37" xfId="0" applyFont="1" applyFill="1" applyBorder="1" applyAlignment="1">
      <alignment horizontal="center"/>
    </xf>
    <xf numFmtId="0" fontId="19" fillId="47" borderId="0" xfId="0" applyFont="1" applyFill="1" applyAlignment="1">
      <alignment horizontal="center"/>
    </xf>
    <xf numFmtId="0" fontId="16" fillId="47" borderId="38" xfId="0" applyFont="1" applyFill="1" applyBorder="1" applyAlignment="1">
      <alignment horizontal="center"/>
    </xf>
    <xf numFmtId="0" fontId="16" fillId="34" borderId="37" xfId="0" applyFont="1" applyFill="1" applyBorder="1" applyAlignment="1">
      <alignment horizontal="center"/>
    </xf>
    <xf numFmtId="0" fontId="16" fillId="34" borderId="0" xfId="0" applyFont="1" applyFill="1" applyAlignment="1">
      <alignment horizontal="center"/>
    </xf>
    <xf numFmtId="0" fontId="16" fillId="34" borderId="38" xfId="0" applyFont="1" applyFill="1" applyBorder="1" applyAlignment="1">
      <alignment horizontal="center"/>
    </xf>
    <xf numFmtId="49" fontId="20" fillId="49" borderId="0" xfId="0" applyNumberFormat="1" applyFont="1" applyFill="1"/>
    <xf numFmtId="0" fontId="20" fillId="49" borderId="0" xfId="0" applyFont="1" applyFill="1" applyAlignment="1">
      <alignment horizontal="center"/>
    </xf>
    <xf numFmtId="1" fontId="20" fillId="49" borderId="0" xfId="0" applyNumberFormat="1" applyFont="1" applyFill="1"/>
    <xf numFmtId="0" fontId="18" fillId="53" borderId="26" xfId="0" applyFont="1" applyFill="1" applyBorder="1" applyAlignment="1">
      <alignment vertical="top"/>
    </xf>
    <xf numFmtId="0" fontId="18" fillId="53" borderId="26" xfId="0" applyFont="1" applyFill="1" applyBorder="1" applyAlignment="1">
      <alignment horizontal="center" vertical="top"/>
    </xf>
    <xf numFmtId="0" fontId="18" fillId="53" borderId="25" xfId="0" applyFont="1" applyFill="1" applyBorder="1" applyAlignment="1">
      <alignment horizontal="center" vertical="top"/>
    </xf>
    <xf numFmtId="0" fontId="18" fillId="53" borderId="25" xfId="0" applyFont="1" applyFill="1" applyBorder="1" applyAlignment="1">
      <alignment vertical="center"/>
    </xf>
    <xf numFmtId="0" fontId="27" fillId="53" borderId="25" xfId="0" applyFont="1" applyFill="1" applyBorder="1"/>
    <xf numFmtId="0" fontId="25" fillId="53" borderId="26" xfId="0" applyFont="1" applyFill="1" applyBorder="1" applyAlignment="1">
      <alignment vertical="top"/>
    </xf>
    <xf numFmtId="0" fontId="26" fillId="53" borderId="26" xfId="0" applyFont="1" applyFill="1" applyBorder="1" applyAlignment="1">
      <alignment vertical="top"/>
    </xf>
    <xf numFmtId="0" fontId="18" fillId="53" borderId="26" xfId="0" applyFont="1" applyFill="1" applyBorder="1" applyAlignment="1">
      <alignment vertical="center"/>
    </xf>
    <xf numFmtId="0" fontId="27" fillId="53" borderId="26" xfId="0" applyFont="1" applyFill="1" applyBorder="1"/>
    <xf numFmtId="0" fontId="18" fillId="53" borderId="26" xfId="0" applyFont="1" applyFill="1" applyBorder="1"/>
    <xf numFmtId="0" fontId="20" fillId="49" borderId="0" xfId="0" applyFont="1" applyFill="1" applyAlignment="1">
      <alignment vertical="center"/>
    </xf>
    <xf numFmtId="1" fontId="20" fillId="49" borderId="0" xfId="0" applyNumberFormat="1" applyFont="1" applyFill="1" applyAlignment="1">
      <alignment vertical="center"/>
    </xf>
    <xf numFmtId="0" fontId="0" fillId="56" borderId="0" xfId="43" applyFont="1"/>
    <xf numFmtId="0" fontId="0" fillId="0" borderId="59" xfId="0" applyBorder="1"/>
    <xf numFmtId="0" fontId="0" fillId="0" borderId="28" xfId="0" applyBorder="1"/>
    <xf numFmtId="0" fontId="0" fillId="0" borderId="0" xfId="0" applyAlignment="1">
      <alignment horizontal="center"/>
    </xf>
    <xf numFmtId="0" fontId="1" fillId="0" borderId="0" xfId="0" applyFont="1" applyAlignment="1">
      <alignment horizontal="left" indent="2"/>
    </xf>
    <xf numFmtId="0" fontId="0" fillId="0" borderId="33" xfId="0" applyBorder="1"/>
    <xf numFmtId="0" fontId="35" fillId="56" borderId="16" xfId="44">
      <alignment vertical="center"/>
    </xf>
    <xf numFmtId="0" fontId="0" fillId="0" borderId="22" xfId="0" applyBorder="1"/>
    <xf numFmtId="0" fontId="19" fillId="57" borderId="0" xfId="46" applyBorder="1">
      <alignment vertical="center"/>
    </xf>
    <xf numFmtId="167" fontId="38" fillId="59" borderId="0" xfId="48" applyBorder="1">
      <alignment horizontal="right"/>
      <protection locked="0"/>
    </xf>
    <xf numFmtId="0" fontId="18" fillId="0" borderId="75" xfId="49">
      <alignment horizontal="left" vertical="center" wrapText="1" indent="1"/>
    </xf>
    <xf numFmtId="0" fontId="24" fillId="60" borderId="36" xfId="0" applyFont="1" applyFill="1" applyBorder="1" applyAlignment="1">
      <alignment horizontal="center" vertical="center" wrapText="1"/>
    </xf>
    <xf numFmtId="0" fontId="0" fillId="0" borderId="0" xfId="0" quotePrefix="1" applyAlignment="1">
      <alignment horizontal="center" vertical="top"/>
    </xf>
    <xf numFmtId="0" fontId="19" fillId="0" borderId="0" xfId="0" applyFont="1"/>
    <xf numFmtId="49" fontId="18" fillId="66" borderId="21" xfId="0" applyNumberFormat="1" applyFont="1" applyFill="1" applyBorder="1" applyAlignment="1">
      <alignment horizontal="center"/>
    </xf>
    <xf numFmtId="49" fontId="18" fillId="66" borderId="27" xfId="0" applyNumberFormat="1" applyFont="1" applyFill="1" applyBorder="1" applyAlignment="1">
      <alignment horizontal="center"/>
    </xf>
    <xf numFmtId="0" fontId="18" fillId="0" borderId="0" xfId="0" applyFont="1"/>
    <xf numFmtId="0" fontId="41" fillId="61" borderId="0" xfId="0" applyFont="1" applyFill="1"/>
    <xf numFmtId="49" fontId="18" fillId="66" borderId="32" xfId="0" applyNumberFormat="1" applyFont="1" applyFill="1" applyBorder="1" applyAlignment="1">
      <alignment horizontal="center"/>
    </xf>
    <xf numFmtId="0" fontId="19" fillId="48" borderId="18" xfId="0" applyFont="1" applyFill="1" applyBorder="1" applyAlignment="1">
      <alignment vertical="center"/>
    </xf>
    <xf numFmtId="0" fontId="19" fillId="48" borderId="19" xfId="0" applyFont="1" applyFill="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44" fillId="0" borderId="0" xfId="0" applyFont="1" applyAlignment="1">
      <alignment vertical="center"/>
    </xf>
    <xf numFmtId="49" fontId="34" fillId="56" borderId="0" xfId="50">
      <alignment vertical="center"/>
    </xf>
    <xf numFmtId="0" fontId="0" fillId="0" borderId="0" xfId="0" applyAlignment="1">
      <alignment vertical="center"/>
    </xf>
    <xf numFmtId="0" fontId="23" fillId="45" borderId="92" xfId="0" applyFont="1" applyFill="1" applyBorder="1" applyAlignment="1">
      <alignment horizontal="center" vertical="center" wrapText="1"/>
    </xf>
    <xf numFmtId="0" fontId="19" fillId="45" borderId="17" xfId="0" applyFont="1" applyFill="1" applyBorder="1" applyAlignment="1">
      <alignment horizontal="center" vertical="center" wrapText="1"/>
    </xf>
    <xf numFmtId="169" fontId="45" fillId="49" borderId="93" xfId="0" applyNumberFormat="1" applyFont="1" applyFill="1" applyBorder="1"/>
    <xf numFmtId="0" fontId="0" fillId="0" borderId="94" xfId="0" applyBorder="1"/>
    <xf numFmtId="0" fontId="39" fillId="0" borderId="0" xfId="0" applyFont="1"/>
    <xf numFmtId="169" fontId="19" fillId="45" borderId="95" xfId="0" applyNumberFormat="1" applyFont="1" applyFill="1" applyBorder="1" applyAlignment="1">
      <alignment horizontal="center" vertical="center" wrapText="1"/>
    </xf>
    <xf numFmtId="169" fontId="19" fillId="52" borderId="95" xfId="0" applyNumberFormat="1" applyFont="1" applyFill="1" applyBorder="1" applyAlignment="1">
      <alignment horizontal="center" vertical="center" wrapText="1"/>
    </xf>
    <xf numFmtId="0" fontId="18" fillId="61" borderId="0" xfId="0" applyFont="1" applyFill="1" applyAlignment="1">
      <alignment vertical="top"/>
    </xf>
    <xf numFmtId="169" fontId="19" fillId="52" borderId="93" xfId="0" applyNumberFormat="1" applyFont="1" applyFill="1" applyBorder="1" applyAlignment="1">
      <alignment horizontal="center" vertical="center" wrapText="1"/>
    </xf>
    <xf numFmtId="169" fontId="19" fillId="52" borderId="94" xfId="0" applyNumberFormat="1" applyFont="1" applyFill="1" applyBorder="1" applyAlignment="1">
      <alignment horizontal="center" vertical="center" wrapText="1"/>
    </xf>
    <xf numFmtId="0" fontId="18" fillId="61" borderId="0" xfId="0" applyFont="1" applyFill="1"/>
    <xf numFmtId="0" fontId="0" fillId="0" borderId="38" xfId="0" applyBorder="1"/>
    <xf numFmtId="0" fontId="18" fillId="0" borderId="0" xfId="0" quotePrefix="1" applyFont="1"/>
    <xf numFmtId="0" fontId="0" fillId="0" borderId="0" xfId="0" applyAlignment="1">
      <alignment horizontal="right" indent="1"/>
    </xf>
    <xf numFmtId="14" fontId="19" fillId="45" borderId="46" xfId="0" applyNumberFormat="1" applyFont="1" applyFill="1" applyBorder="1" applyAlignment="1">
      <alignment vertical="center"/>
    </xf>
    <xf numFmtId="0" fontId="19" fillId="52" borderId="92" xfId="0" applyFont="1" applyFill="1" applyBorder="1" applyAlignment="1">
      <alignment horizontal="center" vertical="center" wrapText="1"/>
    </xf>
    <xf numFmtId="0" fontId="19" fillId="45" borderId="96" xfId="0" applyFont="1" applyFill="1" applyBorder="1"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0" fillId="0" borderId="14" xfId="0" applyBorder="1" applyAlignment="1">
      <alignment vertical="center"/>
    </xf>
    <xf numFmtId="0" fontId="50" fillId="67" borderId="0" xfId="0" applyFont="1" applyFill="1" applyAlignment="1">
      <alignment horizontal="left" vertical="center"/>
    </xf>
    <xf numFmtId="0" fontId="20" fillId="49" borderId="0" xfId="0" applyFont="1" applyFill="1" applyProtection="1">
      <protection locked="0"/>
    </xf>
    <xf numFmtId="0" fontId="54" fillId="0" borderId="0" xfId="0" applyFont="1"/>
    <xf numFmtId="0" fontId="0" fillId="0" borderId="0" xfId="0" applyAlignment="1">
      <alignment horizontal="left"/>
    </xf>
    <xf numFmtId="0" fontId="0" fillId="0" borderId="0" xfId="0" quotePrefix="1"/>
    <xf numFmtId="0" fontId="20" fillId="49" borderId="0" xfId="0" applyFont="1" applyFill="1"/>
    <xf numFmtId="0" fontId="0" fillId="0" borderId="14" xfId="0" applyBorder="1"/>
    <xf numFmtId="0" fontId="45" fillId="47" borderId="0" xfId="0" applyFont="1" applyFill="1" applyAlignment="1">
      <alignment vertical="top"/>
    </xf>
    <xf numFmtId="0" fontId="45" fillId="47" borderId="38" xfId="0" applyFont="1" applyFill="1" applyBorder="1" applyAlignment="1">
      <alignment vertical="top"/>
    </xf>
    <xf numFmtId="0" fontId="18" fillId="47" borderId="27" xfId="0" applyFont="1" applyFill="1" applyBorder="1" applyAlignment="1">
      <alignment vertical="top"/>
    </xf>
    <xf numFmtId="0" fontId="18" fillId="47" borderId="28" xfId="0" applyFont="1" applyFill="1" applyBorder="1" applyAlignment="1">
      <alignment horizontal="center" vertical="top"/>
    </xf>
    <xf numFmtId="0" fontId="45" fillId="47" borderId="28" xfId="0" quotePrefix="1" applyFont="1" applyFill="1" applyBorder="1" applyAlignment="1">
      <alignment vertical="top"/>
    </xf>
    <xf numFmtId="0" fontId="45" fillId="47" borderId="109" xfId="0" quotePrefix="1" applyFont="1" applyFill="1" applyBorder="1" applyAlignment="1">
      <alignment vertical="top"/>
    </xf>
    <xf numFmtId="0" fontId="45" fillId="47" borderId="100" xfId="0" applyFont="1" applyFill="1" applyBorder="1" applyAlignment="1">
      <alignment vertical="top"/>
    </xf>
    <xf numFmtId="0" fontId="0" fillId="47" borderId="100" xfId="0" applyFill="1" applyBorder="1"/>
    <xf numFmtId="0" fontId="19" fillId="47" borderId="28" xfId="0" applyFont="1" applyFill="1" applyBorder="1" applyAlignment="1">
      <alignment horizontal="center" vertical="top"/>
    </xf>
    <xf numFmtId="0" fontId="45" fillId="47" borderId="28" xfId="0" applyFont="1" applyFill="1" applyBorder="1" applyAlignment="1">
      <alignment vertical="top"/>
    </xf>
    <xf numFmtId="0" fontId="53" fillId="47" borderId="109" xfId="0" applyFont="1" applyFill="1" applyBorder="1" applyAlignment="1">
      <alignment horizontal="left" vertical="top" indent="3"/>
    </xf>
    <xf numFmtId="0" fontId="18" fillId="47" borderId="28" xfId="0" quotePrefix="1" applyFont="1" applyFill="1" applyBorder="1" applyAlignment="1">
      <alignment horizontal="center" vertical="center"/>
    </xf>
    <xf numFmtId="0" fontId="57" fillId="47" borderId="109" xfId="0" quotePrefix="1" applyFont="1" applyFill="1" applyBorder="1" applyAlignment="1">
      <alignment horizontal="left" vertical="top" indent="4"/>
    </xf>
    <xf numFmtId="0" fontId="58" fillId="47" borderId="100" xfId="0" applyFont="1" applyFill="1" applyBorder="1" applyAlignment="1">
      <alignment vertical="top"/>
    </xf>
    <xf numFmtId="0" fontId="58" fillId="47" borderId="81" xfId="0" applyFont="1" applyFill="1" applyBorder="1" applyAlignment="1">
      <alignment vertical="top"/>
    </xf>
    <xf numFmtId="0" fontId="18" fillId="47" borderId="33" xfId="0" applyFont="1" applyFill="1" applyBorder="1" applyAlignment="1">
      <alignment horizontal="center" vertical="top"/>
    </xf>
    <xf numFmtId="0" fontId="45" fillId="47" borderId="33" xfId="0" quotePrefix="1" applyFont="1" applyFill="1" applyBorder="1" applyAlignment="1">
      <alignment vertical="top"/>
    </xf>
    <xf numFmtId="0" fontId="45" fillId="47" borderId="31" xfId="0" quotePrefix="1" applyFont="1" applyFill="1" applyBorder="1" applyAlignment="1">
      <alignment vertical="top"/>
    </xf>
    <xf numFmtId="0" fontId="45" fillId="47" borderId="35" xfId="0" applyFont="1" applyFill="1" applyBorder="1" applyAlignment="1">
      <alignment vertical="top"/>
    </xf>
    <xf numFmtId="0" fontId="0" fillId="47" borderId="35" xfId="0" applyFill="1" applyBorder="1"/>
    <xf numFmtId="0" fontId="0" fillId="47" borderId="84" xfId="0" applyFill="1" applyBorder="1"/>
    <xf numFmtId="0" fontId="40" fillId="57" borderId="110" xfId="0" applyFont="1" applyFill="1" applyBorder="1"/>
    <xf numFmtId="0" fontId="41" fillId="57" borderId="111" xfId="0" applyFont="1" applyFill="1" applyBorder="1"/>
    <xf numFmtId="0" fontId="18" fillId="47" borderId="28" xfId="0" quotePrefix="1" applyFont="1" applyFill="1" applyBorder="1" applyAlignment="1">
      <alignment horizontal="center" vertical="top"/>
    </xf>
    <xf numFmtId="0" fontId="0" fillId="47" borderId="81" xfId="0" applyFill="1" applyBorder="1"/>
    <xf numFmtId="0" fontId="31" fillId="57" borderId="111" xfId="0" applyFont="1" applyFill="1" applyBorder="1"/>
    <xf numFmtId="0" fontId="31" fillId="57" borderId="112" xfId="0" applyFont="1" applyFill="1" applyBorder="1"/>
    <xf numFmtId="0" fontId="45" fillId="47" borderId="52" xfId="0" quotePrefix="1" applyFont="1" applyFill="1" applyBorder="1" applyAlignment="1">
      <alignment vertical="top"/>
    </xf>
    <xf numFmtId="0" fontId="45" fillId="47" borderId="114" xfId="0" quotePrefix="1" applyFont="1" applyFill="1" applyBorder="1" applyAlignment="1">
      <alignment vertical="top"/>
    </xf>
    <xf numFmtId="0" fontId="45" fillId="47" borderId="115" xfId="0" applyFont="1" applyFill="1" applyBorder="1" applyAlignment="1">
      <alignment vertical="top"/>
    </xf>
    <xf numFmtId="0" fontId="0" fillId="47" borderId="115" xfId="0" applyFill="1" applyBorder="1"/>
    <xf numFmtId="0" fontId="0" fillId="47" borderId="116" xfId="0" applyFill="1" applyBorder="1"/>
    <xf numFmtId="0" fontId="18" fillId="47" borderId="90" xfId="0" applyFont="1" applyFill="1" applyBorder="1" applyAlignment="1">
      <alignment horizontal="left" vertical="top" indent="2"/>
    </xf>
    <xf numFmtId="0" fontId="18" fillId="47" borderId="52" xfId="0" applyFont="1" applyFill="1" applyBorder="1" applyAlignment="1">
      <alignment horizontal="center" vertical="top"/>
    </xf>
    <xf numFmtId="0" fontId="18" fillId="47" borderId="27" xfId="0" applyFont="1" applyFill="1" applyBorder="1" applyAlignment="1">
      <alignment horizontal="left" vertical="top" indent="2"/>
    </xf>
    <xf numFmtId="0" fontId="45" fillId="47" borderId="122" xfId="0" quotePrefix="1" applyFont="1" applyFill="1" applyBorder="1" applyAlignment="1">
      <alignment vertical="top"/>
    </xf>
    <xf numFmtId="0" fontId="45" fillId="47" borderId="123" xfId="0" quotePrefix="1" applyFont="1" applyFill="1" applyBorder="1" applyAlignment="1">
      <alignment vertical="top"/>
    </xf>
    <xf numFmtId="0" fontId="45" fillId="47" borderId="125" xfId="0" quotePrefix="1" applyFont="1" applyFill="1" applyBorder="1" applyAlignment="1">
      <alignment vertical="top"/>
    </xf>
    <xf numFmtId="0" fontId="45" fillId="47" borderId="104" xfId="0" applyFont="1" applyFill="1" applyBorder="1" applyAlignment="1">
      <alignment vertical="top"/>
    </xf>
    <xf numFmtId="0" fontId="61" fillId="47" borderId="113" xfId="0" applyFont="1" applyFill="1" applyBorder="1" applyAlignment="1">
      <alignment horizontal="left" vertical="top" indent="1"/>
    </xf>
    <xf numFmtId="0" fontId="18" fillId="47" borderId="0" xfId="0" applyFont="1" applyFill="1" applyAlignment="1">
      <alignment horizontal="center" vertical="top" wrapText="1"/>
    </xf>
    <xf numFmtId="0" fontId="45" fillId="47" borderId="122" xfId="0" quotePrefix="1" applyFont="1" applyFill="1" applyBorder="1" applyAlignment="1">
      <alignment horizontal="left" vertical="top" indent="1"/>
    </xf>
    <xf numFmtId="0" fontId="45" fillId="47" borderId="122" xfId="0" quotePrefix="1" applyFont="1" applyFill="1" applyBorder="1" applyAlignment="1">
      <alignment horizontal="left" vertical="top"/>
    </xf>
    <xf numFmtId="0" fontId="61" fillId="47" borderId="113" xfId="0" applyFont="1" applyFill="1" applyBorder="1" applyAlignment="1">
      <alignment horizontal="left" vertical="top" indent="2"/>
    </xf>
    <xf numFmtId="0" fontId="45" fillId="47" borderId="123" xfId="0" quotePrefix="1" applyFont="1" applyFill="1" applyBorder="1" applyAlignment="1">
      <alignment horizontal="left" vertical="top"/>
    </xf>
    <xf numFmtId="0" fontId="19" fillId="47" borderId="52" xfId="0" quotePrefix="1" applyFont="1" applyFill="1" applyBorder="1" applyAlignment="1">
      <alignment horizontal="center" wrapText="1"/>
    </xf>
    <xf numFmtId="0" fontId="62" fillId="47" borderId="113" xfId="0" applyFont="1" applyFill="1" applyBorder="1" applyAlignment="1">
      <alignment horizontal="left" vertical="top" indent="2"/>
    </xf>
    <xf numFmtId="0" fontId="62" fillId="47" borderId="124" xfId="0" applyFont="1" applyFill="1" applyBorder="1" applyAlignment="1">
      <alignment horizontal="left" vertical="top" indent="2"/>
    </xf>
    <xf numFmtId="0" fontId="19" fillId="47" borderId="125" xfId="0" quotePrefix="1" applyFont="1" applyFill="1" applyBorder="1" applyAlignment="1">
      <alignment horizontal="center" wrapText="1"/>
    </xf>
    <xf numFmtId="0" fontId="45" fillId="47" borderId="125" xfId="0" quotePrefix="1" applyFont="1" applyFill="1" applyBorder="1" applyAlignment="1">
      <alignment horizontal="left" vertical="top" indent="1"/>
    </xf>
    <xf numFmtId="0" fontId="45" fillId="47" borderId="126" xfId="0" quotePrefix="1" applyFont="1" applyFill="1" applyBorder="1" applyAlignment="1">
      <alignment horizontal="left" vertical="top"/>
    </xf>
    <xf numFmtId="0" fontId="45" fillId="47" borderId="105" xfId="0" applyFont="1" applyFill="1" applyBorder="1" applyAlignment="1">
      <alignment vertical="top"/>
    </xf>
    <xf numFmtId="0" fontId="62" fillId="47" borderId="113" xfId="0" applyFont="1" applyFill="1" applyBorder="1" applyAlignment="1">
      <alignment horizontal="left" vertical="top" indent="1"/>
    </xf>
    <xf numFmtId="0" fontId="18" fillId="47" borderId="122" xfId="0" applyFont="1" applyFill="1" applyBorder="1" applyAlignment="1">
      <alignment horizontal="center" vertical="top"/>
    </xf>
    <xf numFmtId="0" fontId="20" fillId="47" borderId="0" xfId="0" applyFont="1" applyFill="1" applyAlignment="1">
      <alignment vertical="top"/>
    </xf>
    <xf numFmtId="0" fontId="20" fillId="47" borderId="38" xfId="0" applyFont="1" applyFill="1" applyBorder="1" applyAlignment="1">
      <alignment vertical="top"/>
    </xf>
    <xf numFmtId="0" fontId="63" fillId="47" borderId="122" xfId="0" applyFont="1" applyFill="1" applyBorder="1" applyAlignment="1">
      <alignment horizontal="center" vertical="top" wrapText="1"/>
    </xf>
    <xf numFmtId="0" fontId="63" fillId="47" borderId="122" xfId="0" quotePrefix="1" applyFont="1" applyFill="1" applyBorder="1" applyAlignment="1">
      <alignment horizontal="left" vertical="top" indent="1"/>
    </xf>
    <xf numFmtId="0" fontId="65" fillId="47" borderId="123" xfId="0" quotePrefix="1" applyFont="1" applyFill="1" applyBorder="1" applyAlignment="1">
      <alignment horizontal="left" vertical="top" indent="2"/>
    </xf>
    <xf numFmtId="0" fontId="66" fillId="47" borderId="0" xfId="0" applyFont="1" applyFill="1" applyAlignment="1">
      <alignment vertical="top"/>
    </xf>
    <xf numFmtId="0" fontId="63" fillId="47" borderId="123" xfId="0" quotePrefix="1" applyFont="1" applyFill="1" applyBorder="1" applyAlignment="1">
      <alignment horizontal="left" vertical="top"/>
    </xf>
    <xf numFmtId="0" fontId="62" fillId="47" borderId="113" xfId="0" applyFont="1" applyFill="1" applyBorder="1" applyAlignment="1">
      <alignment horizontal="left" vertical="top" indent="4"/>
    </xf>
    <xf numFmtId="14" fontId="18" fillId="47" borderId="122" xfId="0" quotePrefix="1" applyNumberFormat="1" applyFont="1" applyFill="1" applyBorder="1" applyAlignment="1">
      <alignment horizontal="center" vertical="top" wrapText="1"/>
    </xf>
    <xf numFmtId="0" fontId="45" fillId="47" borderId="123" xfId="0" quotePrefix="1" applyFont="1" applyFill="1" applyBorder="1" applyAlignment="1">
      <alignment horizontal="center" vertical="center"/>
    </xf>
    <xf numFmtId="0" fontId="62" fillId="47" borderId="127" xfId="0" applyFont="1" applyFill="1" applyBorder="1" applyAlignment="1">
      <alignment horizontal="left" vertical="top" indent="2"/>
    </xf>
    <xf numFmtId="0" fontId="21" fillId="47" borderId="128" xfId="0" quotePrefix="1" applyFont="1" applyFill="1" applyBorder="1" applyAlignment="1">
      <alignment horizontal="center" vertical="top"/>
    </xf>
    <xf numFmtId="0" fontId="45" fillId="47" borderId="128" xfId="0" quotePrefix="1" applyFont="1" applyFill="1" applyBorder="1" applyAlignment="1">
      <alignment vertical="top"/>
    </xf>
    <xf numFmtId="0" fontId="45" fillId="47" borderId="129" xfId="0" quotePrefix="1" applyFont="1" applyFill="1" applyBorder="1" applyAlignment="1">
      <alignment horizontal="left" vertical="top"/>
    </xf>
    <xf numFmtId="0" fontId="20" fillId="47" borderId="130" xfId="0" applyFont="1" applyFill="1" applyBorder="1" applyAlignment="1">
      <alignment vertical="top"/>
    </xf>
    <xf numFmtId="0" fontId="20" fillId="47" borderId="131" xfId="0" applyFont="1" applyFill="1" applyBorder="1" applyAlignment="1">
      <alignment vertical="top"/>
    </xf>
    <xf numFmtId="0" fontId="61" fillId="47" borderId="113" xfId="0" applyFont="1" applyFill="1" applyBorder="1" applyAlignment="1">
      <alignment horizontal="left"/>
    </xf>
    <xf numFmtId="0" fontId="39" fillId="47" borderId="122" xfId="0" quotePrefix="1" applyFont="1" applyFill="1" applyBorder="1" applyAlignment="1">
      <alignment horizontal="left"/>
    </xf>
    <xf numFmtId="0" fontId="45" fillId="47" borderId="122" xfId="0" quotePrefix="1" applyFont="1" applyFill="1" applyBorder="1"/>
    <xf numFmtId="0" fontId="45" fillId="47" borderId="123" xfId="0" quotePrefix="1" applyFont="1" applyFill="1" applyBorder="1" applyAlignment="1">
      <alignment horizontal="left"/>
    </xf>
    <xf numFmtId="0" fontId="20" fillId="47" borderId="0" xfId="0" applyFont="1" applyFill="1"/>
    <xf numFmtId="0" fontId="20" fillId="47" borderId="38" xfId="0" applyFont="1" applyFill="1" applyBorder="1"/>
    <xf numFmtId="0" fontId="21" fillId="47" borderId="122" xfId="0" quotePrefix="1" applyFont="1" applyFill="1" applyBorder="1" applyAlignment="1">
      <alignment horizontal="center" vertical="top"/>
    </xf>
    <xf numFmtId="0" fontId="0" fillId="0" borderId="0" xfId="0" quotePrefix="1" applyAlignment="1">
      <alignment horizontal="left"/>
    </xf>
    <xf numFmtId="0" fontId="18" fillId="47" borderId="125" xfId="0" quotePrefix="1" applyFont="1" applyFill="1" applyBorder="1" applyAlignment="1">
      <alignment horizontal="center" vertical="top"/>
    </xf>
    <xf numFmtId="0" fontId="45" fillId="47" borderId="118" xfId="0" quotePrefix="1" applyFont="1" applyFill="1" applyBorder="1" applyAlignment="1">
      <alignment horizontal="left" vertical="top"/>
    </xf>
    <xf numFmtId="0" fontId="20" fillId="47" borderId="104" xfId="0" applyFont="1" applyFill="1" applyBorder="1" applyAlignment="1">
      <alignment vertical="top"/>
    </xf>
    <xf numFmtId="0" fontId="20" fillId="47" borderId="105" xfId="0" applyFont="1" applyFill="1" applyBorder="1" applyAlignment="1">
      <alignment vertical="top"/>
    </xf>
    <xf numFmtId="0" fontId="18" fillId="47" borderId="122" xfId="0" quotePrefix="1" applyFont="1" applyFill="1" applyBorder="1" applyAlignment="1">
      <alignment horizontal="center" vertical="top"/>
    </xf>
    <xf numFmtId="0" fontId="63" fillId="47" borderId="122" xfId="0" quotePrefix="1" applyFont="1" applyFill="1" applyBorder="1" applyAlignment="1">
      <alignment horizontal="left" vertical="top" indent="3"/>
    </xf>
    <xf numFmtId="0" fontId="62" fillId="47" borderId="132" xfId="0" applyFont="1" applyFill="1" applyBorder="1" applyAlignment="1">
      <alignment horizontal="left" vertical="top" indent="2"/>
    </xf>
    <xf numFmtId="0" fontId="18" fillId="47" borderId="133" xfId="0" quotePrefix="1" applyFont="1" applyFill="1" applyBorder="1" applyAlignment="1">
      <alignment horizontal="center" vertical="top"/>
    </xf>
    <xf numFmtId="0" fontId="45" fillId="47" borderId="133" xfId="0" quotePrefix="1" applyFont="1" applyFill="1" applyBorder="1" applyAlignment="1">
      <alignment vertical="top"/>
    </xf>
    <xf numFmtId="0" fontId="45" fillId="47" borderId="133" xfId="0" quotePrefix="1" applyFont="1" applyFill="1" applyBorder="1" applyAlignment="1">
      <alignment horizontal="left" vertical="top"/>
    </xf>
    <xf numFmtId="0" fontId="20" fillId="47" borderId="14" xfId="0" applyFont="1" applyFill="1" applyBorder="1" applyAlignment="1">
      <alignment vertical="top"/>
    </xf>
    <xf numFmtId="0" fontId="20" fillId="47" borderId="15" xfId="0" applyFont="1" applyFill="1" applyBorder="1" applyAlignment="1">
      <alignment vertical="top"/>
    </xf>
    <xf numFmtId="0" fontId="61" fillId="47" borderId="134" xfId="0" applyFont="1" applyFill="1" applyBorder="1" applyAlignment="1">
      <alignment horizontal="left" vertical="top" indent="1"/>
    </xf>
    <xf numFmtId="0" fontId="20" fillId="47" borderId="135" xfId="0" applyFont="1" applyFill="1" applyBorder="1" applyAlignment="1">
      <alignment vertical="top"/>
    </xf>
    <xf numFmtId="0" fontId="20" fillId="47" borderId="136" xfId="0" applyFont="1" applyFill="1" applyBorder="1" applyAlignment="1">
      <alignment vertical="top"/>
    </xf>
    <xf numFmtId="0" fontId="53" fillId="47" borderId="123" xfId="0" applyFont="1" applyFill="1" applyBorder="1" applyAlignment="1">
      <alignment horizontal="left" vertical="top" indent="3"/>
    </xf>
    <xf numFmtId="0" fontId="45" fillId="47" borderId="123" xfId="0" quotePrefix="1" applyFont="1" applyFill="1" applyBorder="1" applyAlignment="1">
      <alignment horizontal="center" vertical="top"/>
    </xf>
    <xf numFmtId="0" fontId="45" fillId="47" borderId="137" xfId="0" quotePrefix="1" applyFont="1" applyFill="1" applyBorder="1" applyAlignment="1">
      <alignment horizontal="center" vertical="top"/>
    </xf>
    <xf numFmtId="0" fontId="45" fillId="47" borderId="137" xfId="0" quotePrefix="1" applyFont="1" applyFill="1" applyBorder="1" applyAlignment="1">
      <alignment horizontal="left" vertical="top"/>
    </xf>
    <xf numFmtId="0" fontId="45" fillId="47" borderId="14" xfId="0" quotePrefix="1" applyFont="1" applyFill="1" applyBorder="1" applyAlignment="1">
      <alignment horizontal="left" vertical="top" indent="1"/>
    </xf>
    <xf numFmtId="0" fontId="19" fillId="47" borderId="122" xfId="0" quotePrefix="1" applyFont="1" applyFill="1" applyBorder="1" applyAlignment="1">
      <alignment horizontal="center" vertical="top"/>
    </xf>
    <xf numFmtId="0" fontId="45" fillId="47" borderId="0" xfId="0" quotePrefix="1" applyFont="1" applyFill="1" applyAlignment="1">
      <alignment horizontal="left" vertical="top" indent="1"/>
    </xf>
    <xf numFmtId="0" fontId="67" fillId="47" borderId="123" xfId="0" quotePrefix="1" applyFont="1" applyFill="1" applyBorder="1" applyAlignment="1">
      <alignment vertical="top"/>
    </xf>
    <xf numFmtId="0" fontId="25" fillId="47" borderId="28" xfId="0" quotePrefix="1" applyFont="1" applyFill="1" applyBorder="1" applyAlignment="1">
      <alignment horizontal="center" vertical="center"/>
    </xf>
    <xf numFmtId="0" fontId="58" fillId="47" borderId="109" xfId="0" quotePrefix="1" applyFont="1" applyFill="1" applyBorder="1" applyAlignment="1">
      <alignment vertical="top"/>
    </xf>
    <xf numFmtId="0" fontId="18" fillId="47" borderId="138" xfId="0" applyFont="1" applyFill="1" applyBorder="1" applyAlignment="1">
      <alignment vertical="top"/>
    </xf>
    <xf numFmtId="0" fontId="18" fillId="47" borderId="139" xfId="0" applyFont="1" applyFill="1" applyBorder="1" applyAlignment="1">
      <alignment horizontal="center" vertical="top"/>
    </xf>
    <xf numFmtId="0" fontId="45" fillId="47" borderId="139" xfId="0" quotePrefix="1" applyFont="1" applyFill="1" applyBorder="1" applyAlignment="1">
      <alignment horizontal="left" vertical="top"/>
    </xf>
    <xf numFmtId="0" fontId="20" fillId="47" borderId="140" xfId="0" applyFont="1" applyFill="1" applyBorder="1" applyAlignment="1">
      <alignment vertical="top"/>
    </xf>
    <xf numFmtId="0" fontId="20" fillId="47" borderId="141" xfId="0" applyFont="1" applyFill="1" applyBorder="1" applyAlignment="1">
      <alignment vertical="top"/>
    </xf>
    <xf numFmtId="0" fontId="20" fillId="47" borderId="142" xfId="0" applyFont="1" applyFill="1" applyBorder="1" applyAlignment="1">
      <alignment vertical="top"/>
    </xf>
    <xf numFmtId="0" fontId="18" fillId="47" borderId="143" xfId="0" applyFont="1" applyFill="1" applyBorder="1" applyAlignment="1">
      <alignment vertical="top"/>
    </xf>
    <xf numFmtId="0" fontId="18" fillId="47" borderId="144" xfId="0" quotePrefix="1" applyFont="1" applyFill="1" applyBorder="1" applyAlignment="1">
      <alignment horizontal="center" vertical="top"/>
    </xf>
    <xf numFmtId="0" fontId="45" fillId="47" borderId="144" xfId="0" quotePrefix="1" applyFont="1" applyFill="1" applyBorder="1" applyAlignment="1">
      <alignment horizontal="left" vertical="top"/>
    </xf>
    <xf numFmtId="0" fontId="45" fillId="47" borderId="145" xfId="0" quotePrefix="1" applyFont="1" applyFill="1" applyBorder="1" applyAlignment="1">
      <alignment vertical="top"/>
    </xf>
    <xf numFmtId="0" fontId="20" fillId="47" borderId="97" xfId="0" applyFont="1" applyFill="1" applyBorder="1" applyAlignment="1">
      <alignment vertical="top"/>
    </xf>
    <xf numFmtId="0" fontId="20" fillId="47" borderId="146" xfId="0" applyFont="1" applyFill="1" applyBorder="1" applyAlignment="1">
      <alignment vertical="top"/>
    </xf>
    <xf numFmtId="0" fontId="45" fillId="47" borderId="52" xfId="0" applyFont="1" applyFill="1" applyBorder="1" applyAlignment="1">
      <alignment vertical="top"/>
    </xf>
    <xf numFmtId="0" fontId="45" fillId="47" borderId="147" xfId="0" applyFont="1" applyFill="1" applyBorder="1" applyAlignment="1">
      <alignment vertical="top"/>
    </xf>
    <xf numFmtId="0" fontId="45" fillId="47" borderId="29" xfId="0" applyFont="1" applyFill="1" applyBorder="1" applyAlignment="1">
      <alignment vertical="top"/>
    </xf>
    <xf numFmtId="0" fontId="18" fillId="47" borderId="148" xfId="0" applyFont="1" applyFill="1" applyBorder="1" applyAlignment="1">
      <alignment horizontal="left" vertical="top" indent="2"/>
    </xf>
    <xf numFmtId="0" fontId="18" fillId="47" borderId="149" xfId="0" applyFont="1" applyFill="1" applyBorder="1" applyAlignment="1">
      <alignment horizontal="center" vertical="top"/>
    </xf>
    <xf numFmtId="0" fontId="45" fillId="47" borderId="149" xfId="0" quotePrefix="1" applyFont="1" applyFill="1" applyBorder="1" applyAlignment="1">
      <alignment vertical="top"/>
    </xf>
    <xf numFmtId="0" fontId="45" fillId="47" borderId="149" xfId="0" applyFont="1" applyFill="1" applyBorder="1" applyAlignment="1">
      <alignment vertical="top"/>
    </xf>
    <xf numFmtId="0" fontId="45" fillId="47" borderId="150" xfId="0" applyFont="1" applyFill="1" applyBorder="1" applyAlignment="1">
      <alignment vertical="top"/>
    </xf>
    <xf numFmtId="0" fontId="18" fillId="47" borderId="132" xfId="0" applyFont="1" applyFill="1" applyBorder="1" applyAlignment="1">
      <alignment horizontal="left" vertical="top" indent="2"/>
    </xf>
    <xf numFmtId="0" fontId="18" fillId="47" borderId="133" xfId="0" applyFont="1" applyFill="1" applyBorder="1" applyAlignment="1">
      <alignment horizontal="center" vertical="top"/>
    </xf>
    <xf numFmtId="0" fontId="45" fillId="47" borderId="133" xfId="0" applyFont="1" applyFill="1" applyBorder="1" applyAlignment="1">
      <alignment vertical="top"/>
    </xf>
    <xf numFmtId="0" fontId="45" fillId="47" borderId="151" xfId="0" applyFont="1" applyFill="1" applyBorder="1" applyAlignment="1">
      <alignment vertical="top"/>
    </xf>
    <xf numFmtId="0" fontId="18" fillId="47" borderId="89" xfId="0" applyFont="1" applyFill="1" applyBorder="1" applyAlignment="1">
      <alignment vertical="top"/>
    </xf>
    <xf numFmtId="0" fontId="25" fillId="47" borderId="93" xfId="0" quotePrefix="1" applyFont="1" applyFill="1" applyBorder="1" applyAlignment="1">
      <alignment horizontal="center" vertical="center"/>
    </xf>
    <xf numFmtId="0" fontId="45" fillId="47" borderId="93" xfId="0" quotePrefix="1" applyFont="1" applyFill="1" applyBorder="1" applyAlignment="1">
      <alignment vertical="top"/>
    </xf>
    <xf numFmtId="0" fontId="57" fillId="47" borderId="152" xfId="0" quotePrefix="1" applyFont="1" applyFill="1" applyBorder="1" applyAlignment="1">
      <alignment vertical="top"/>
    </xf>
    <xf numFmtId="0" fontId="58" fillId="47" borderId="18" xfId="0" applyFont="1" applyFill="1" applyBorder="1" applyAlignment="1">
      <alignment vertical="top"/>
    </xf>
    <xf numFmtId="0" fontId="58" fillId="47" borderId="19" xfId="0" applyFont="1" applyFill="1" applyBorder="1" applyAlignment="1">
      <alignment vertical="top"/>
    </xf>
    <xf numFmtId="0" fontId="68" fillId="34" borderId="0" xfId="0" applyFont="1" applyFill="1"/>
    <xf numFmtId="0" fontId="69" fillId="34" borderId="0" xfId="0" applyFont="1" applyFill="1" applyAlignment="1">
      <alignment horizontal="center"/>
    </xf>
    <xf numFmtId="0" fontId="70" fillId="34" borderId="0" xfId="0" quotePrefix="1" applyFont="1" applyFill="1"/>
    <xf numFmtId="0" fontId="20" fillId="34" borderId="0" xfId="0" applyFont="1" applyFill="1"/>
    <xf numFmtId="0" fontId="41" fillId="57" borderId="48" xfId="0" applyFont="1" applyFill="1" applyBorder="1"/>
    <xf numFmtId="0" fontId="18" fillId="62" borderId="50" xfId="0" applyFont="1" applyFill="1" applyBorder="1" applyAlignment="1">
      <alignment vertical="top"/>
    </xf>
    <xf numFmtId="0" fontId="71" fillId="62" borderId="51" xfId="0" quotePrefix="1" applyFont="1" applyFill="1" applyBorder="1" applyAlignment="1">
      <alignment vertical="top"/>
    </xf>
    <xf numFmtId="0" fontId="42" fillId="62" borderId="51" xfId="0" quotePrefix="1" applyFont="1" applyFill="1" applyBorder="1" applyAlignment="1">
      <alignment vertical="top"/>
    </xf>
    <xf numFmtId="0" fontId="42" fillId="62" borderId="51" xfId="0" applyFont="1" applyFill="1" applyBorder="1" applyAlignment="1">
      <alignment vertical="top"/>
    </xf>
    <xf numFmtId="0" fontId="42" fillId="62" borderId="154" xfId="0" applyFont="1" applyFill="1" applyBorder="1" applyAlignment="1">
      <alignment vertical="top"/>
    </xf>
    <xf numFmtId="0" fontId="18" fillId="62" borderId="56" xfId="0" applyFont="1" applyFill="1" applyBorder="1" applyAlignment="1">
      <alignment horizontal="left" vertical="top" indent="2"/>
    </xf>
    <xf numFmtId="0" fontId="19" fillId="62" borderId="57" xfId="0" applyFont="1" applyFill="1" applyBorder="1" applyAlignment="1">
      <alignment horizontal="center" vertical="top"/>
    </xf>
    <xf numFmtId="0" fontId="19" fillId="62" borderId="57" xfId="0" quotePrefix="1" applyFont="1" applyFill="1" applyBorder="1" applyAlignment="1">
      <alignment vertical="top"/>
    </xf>
    <xf numFmtId="0" fontId="18" fillId="62" borderId="57" xfId="0" quotePrefix="1" applyFont="1" applyFill="1" applyBorder="1" applyAlignment="1">
      <alignment vertical="top"/>
    </xf>
    <xf numFmtId="0" fontId="18" fillId="62" borderId="57" xfId="0" applyFont="1" applyFill="1" applyBorder="1" applyAlignment="1">
      <alignment vertical="top"/>
    </xf>
    <xf numFmtId="0" fontId="18" fillId="62" borderId="155" xfId="0" applyFont="1" applyFill="1" applyBorder="1" applyAlignment="1">
      <alignment vertical="top"/>
    </xf>
    <xf numFmtId="0" fontId="18" fillId="62" borderId="57" xfId="0" applyFont="1" applyFill="1" applyBorder="1" applyAlignment="1">
      <alignment horizontal="center" vertical="top"/>
    </xf>
    <xf numFmtId="0" fontId="71" fillId="62" borderId="57" xfId="0" quotePrefix="1" applyFont="1" applyFill="1" applyBorder="1" applyAlignment="1">
      <alignment vertical="top"/>
    </xf>
    <xf numFmtId="0" fontId="42" fillId="62" borderId="57" xfId="0" quotePrefix="1" applyFont="1" applyFill="1" applyBorder="1" applyAlignment="1">
      <alignment vertical="top"/>
    </xf>
    <xf numFmtId="0" fontId="42" fillId="62" borderId="57" xfId="0" applyFont="1" applyFill="1" applyBorder="1" applyAlignment="1">
      <alignment vertical="top"/>
    </xf>
    <xf numFmtId="0" fontId="42" fillId="62" borderId="155" xfId="0" applyFont="1" applyFill="1" applyBorder="1" applyAlignment="1">
      <alignment vertical="top"/>
    </xf>
    <xf numFmtId="0" fontId="18" fillId="62" borderId="156" xfId="0" applyFont="1" applyFill="1" applyBorder="1" applyAlignment="1">
      <alignment horizontal="left" vertical="top" indent="2"/>
    </xf>
    <xf numFmtId="0" fontId="18" fillId="62" borderId="157" xfId="0" applyFont="1" applyFill="1" applyBorder="1" applyAlignment="1">
      <alignment horizontal="center" vertical="top"/>
    </xf>
    <xf numFmtId="0" fontId="71" fillId="62" borderId="157" xfId="0" quotePrefix="1" applyFont="1" applyFill="1" applyBorder="1" applyAlignment="1">
      <alignment vertical="top"/>
    </xf>
    <xf numFmtId="0" fontId="42" fillId="62" borderId="157" xfId="0" quotePrefix="1" applyFont="1" applyFill="1" applyBorder="1" applyAlignment="1">
      <alignment vertical="top"/>
    </xf>
    <xf numFmtId="0" fontId="42" fillId="62" borderId="157" xfId="0" applyFont="1" applyFill="1" applyBorder="1" applyAlignment="1">
      <alignment vertical="top"/>
    </xf>
    <xf numFmtId="0" fontId="42" fillId="62" borderId="158" xfId="0" applyFont="1" applyFill="1" applyBorder="1" applyAlignment="1">
      <alignment vertical="top"/>
    </xf>
    <xf numFmtId="0" fontId="18" fillId="62" borderId="63" xfId="0" applyFont="1" applyFill="1" applyBorder="1" applyAlignment="1">
      <alignment horizontal="left" vertical="top" indent="2"/>
    </xf>
    <xf numFmtId="0" fontId="18" fillId="62" borderId="64" xfId="0" applyFont="1" applyFill="1" applyBorder="1" applyAlignment="1">
      <alignment horizontal="center" vertical="top"/>
    </xf>
    <xf numFmtId="0" fontId="71" fillId="62" borderId="64" xfId="0" quotePrefix="1" applyFont="1" applyFill="1" applyBorder="1" applyAlignment="1">
      <alignment vertical="top"/>
    </xf>
    <xf numFmtId="0" fontId="42" fillId="62" borderId="64" xfId="0" quotePrefix="1" applyFont="1" applyFill="1" applyBorder="1" applyAlignment="1">
      <alignment vertical="top"/>
    </xf>
    <xf numFmtId="0" fontId="42" fillId="62" borderId="64" xfId="0" applyFont="1" applyFill="1" applyBorder="1" applyAlignment="1">
      <alignment vertical="top"/>
    </xf>
    <xf numFmtId="0" fontId="42" fillId="62" borderId="159" xfId="0" applyFont="1" applyFill="1" applyBorder="1" applyAlignment="1">
      <alignment vertical="top"/>
    </xf>
    <xf numFmtId="167" fontId="38" fillId="59" borderId="29" xfId="48" applyBorder="1">
      <alignment horizontal="right"/>
      <protection locked="0"/>
    </xf>
    <xf numFmtId="0" fontId="29" fillId="49" borderId="0" xfId="0" applyFont="1" applyFill="1"/>
    <xf numFmtId="0" fontId="94" fillId="82" borderId="16" xfId="45" applyBorder="1">
      <alignment vertical="center"/>
    </xf>
    <xf numFmtId="0" fontId="94" fillId="82" borderId="18" xfId="45" applyBorder="1">
      <alignment vertical="center"/>
    </xf>
    <xf numFmtId="0" fontId="94" fillId="82" borderId="19" xfId="45" applyBorder="1">
      <alignment vertical="center"/>
    </xf>
    <xf numFmtId="0" fontId="19" fillId="57" borderId="16" xfId="46" applyBorder="1">
      <alignment vertical="center"/>
    </xf>
    <xf numFmtId="0" fontId="19" fillId="57" borderId="18" xfId="46" applyBorder="1">
      <alignment vertical="center"/>
    </xf>
    <xf numFmtId="0" fontId="19" fillId="57" borderId="19" xfId="46" applyBorder="1">
      <alignment vertical="center"/>
    </xf>
    <xf numFmtId="0" fontId="0" fillId="49" borderId="0" xfId="0" applyFill="1"/>
    <xf numFmtId="0" fontId="72" fillId="49" borderId="0" xfId="0" applyFont="1" applyFill="1"/>
    <xf numFmtId="0" fontId="72" fillId="0" borderId="0" xfId="0" applyFont="1"/>
    <xf numFmtId="167" fontId="38" fillId="59" borderId="181" xfId="48" applyBorder="1">
      <alignment horizontal="right"/>
      <protection locked="0"/>
    </xf>
    <xf numFmtId="167" fontId="38" fillId="59" borderId="22" xfId="48" applyBorder="1">
      <alignment horizontal="right"/>
      <protection locked="0"/>
    </xf>
    <xf numFmtId="167" fontId="38" fillId="59" borderId="23" xfId="48" applyBorder="1">
      <alignment horizontal="right"/>
      <protection locked="0"/>
    </xf>
    <xf numFmtId="167" fontId="38" fillId="59" borderId="182" xfId="48" applyBorder="1">
      <alignment horizontal="right"/>
      <protection locked="0"/>
    </xf>
    <xf numFmtId="167" fontId="38" fillId="59" borderId="28" xfId="48" applyBorder="1">
      <alignment horizontal="right"/>
      <protection locked="0"/>
    </xf>
    <xf numFmtId="167" fontId="38" fillId="59" borderId="183" xfId="48" applyBorder="1">
      <alignment horizontal="right"/>
      <protection locked="0"/>
    </xf>
    <xf numFmtId="167" fontId="38" fillId="59" borderId="33" xfId="48" applyBorder="1">
      <alignment horizontal="right"/>
      <protection locked="0"/>
    </xf>
    <xf numFmtId="0" fontId="19" fillId="57" borderId="14" xfId="46" applyBorder="1">
      <alignment vertical="center"/>
    </xf>
    <xf numFmtId="167" fontId="38" fillId="59" borderId="185" xfId="48" applyBorder="1">
      <alignment horizontal="right"/>
      <protection locked="0"/>
    </xf>
    <xf numFmtId="167" fontId="38" fillId="59" borderId="67" xfId="48" applyBorder="1">
      <alignment horizontal="right"/>
      <protection locked="0"/>
    </xf>
    <xf numFmtId="167" fontId="38" fillId="59" borderId="186" xfId="48" applyBorder="1">
      <alignment horizontal="right"/>
      <protection locked="0"/>
    </xf>
    <xf numFmtId="167" fontId="38" fillId="59" borderId="70" xfId="48" applyBorder="1">
      <alignment horizontal="right"/>
      <protection locked="0"/>
    </xf>
    <xf numFmtId="167" fontId="38" fillId="59" borderId="187" xfId="48" applyBorder="1">
      <alignment horizontal="right"/>
      <protection locked="0"/>
    </xf>
    <xf numFmtId="167" fontId="38" fillId="59" borderId="188" xfId="48" applyBorder="1">
      <alignment horizontal="right"/>
      <protection locked="0"/>
    </xf>
    <xf numFmtId="167" fontId="38" fillId="59" borderId="176" xfId="48" applyBorder="1">
      <alignment horizontal="right"/>
      <protection locked="0"/>
    </xf>
    <xf numFmtId="167" fontId="38" fillId="59" borderId="174" xfId="48" applyBorder="1">
      <alignment horizontal="right"/>
      <protection locked="0"/>
    </xf>
    <xf numFmtId="167" fontId="38" fillId="59" borderId="177" xfId="48" applyBorder="1">
      <alignment horizontal="right"/>
      <protection locked="0"/>
    </xf>
    <xf numFmtId="167" fontId="38" fillId="59" borderId="179" xfId="48" applyBorder="1">
      <alignment horizontal="right"/>
      <protection locked="0"/>
    </xf>
    <xf numFmtId="167" fontId="38" fillId="59" borderId="178" xfId="48" applyBorder="1">
      <alignment horizontal="right"/>
      <protection locked="0"/>
    </xf>
    <xf numFmtId="167" fontId="38" fillId="59" borderId="180" xfId="48" applyBorder="1">
      <alignment horizontal="right"/>
      <protection locked="0"/>
    </xf>
    <xf numFmtId="167" fontId="38" fillId="59" borderId="162" xfId="48" applyBorder="1">
      <alignment horizontal="right"/>
      <protection locked="0"/>
    </xf>
    <xf numFmtId="167" fontId="38" fillId="59" borderId="163" xfId="48" applyBorder="1">
      <alignment horizontal="right"/>
      <protection locked="0"/>
    </xf>
    <xf numFmtId="167" fontId="38" fillId="59" borderId="164" xfId="48" applyBorder="1">
      <alignment horizontal="right"/>
      <protection locked="0"/>
    </xf>
    <xf numFmtId="167" fontId="38" fillId="59" borderId="165" xfId="48" applyBorder="1">
      <alignment horizontal="right"/>
      <protection locked="0"/>
    </xf>
    <xf numFmtId="167" fontId="38" fillId="59" borderId="166" xfId="48" applyBorder="1">
      <alignment horizontal="right"/>
      <protection locked="0"/>
    </xf>
    <xf numFmtId="167" fontId="38" fillId="59" borderId="168" xfId="48" applyBorder="1">
      <alignment horizontal="right"/>
      <protection locked="0"/>
    </xf>
    <xf numFmtId="167" fontId="38" fillId="59" borderId="169" xfId="48" applyBorder="1">
      <alignment horizontal="right"/>
      <protection locked="0"/>
    </xf>
    <xf numFmtId="167" fontId="38" fillId="59" borderId="171" xfId="48" applyBorder="1">
      <alignment horizontal="right"/>
      <protection locked="0"/>
    </xf>
    <xf numFmtId="167" fontId="38" fillId="59" borderId="172" xfId="48" applyBorder="1">
      <alignment horizontal="right"/>
      <protection locked="0"/>
    </xf>
    <xf numFmtId="167" fontId="38" fillId="59" borderId="173" xfId="48" applyBorder="1">
      <alignment horizontal="right"/>
      <protection locked="0"/>
    </xf>
    <xf numFmtId="167" fontId="38" fillId="59" borderId="175" xfId="48" applyBorder="1">
      <alignment horizontal="right"/>
      <protection locked="0"/>
    </xf>
    <xf numFmtId="167" fontId="38" fillId="59" borderId="45" xfId="48" applyBorder="1">
      <alignment horizontal="right"/>
      <protection locked="0"/>
    </xf>
    <xf numFmtId="0" fontId="35" fillId="56" borderId="10" xfId="44" applyBorder="1">
      <alignment vertical="center"/>
    </xf>
    <xf numFmtId="0" fontId="75" fillId="49" borderId="0" xfId="0" applyFont="1" applyFill="1"/>
    <xf numFmtId="0" fontId="75" fillId="0" borderId="0" xfId="0" applyFont="1"/>
    <xf numFmtId="0" fontId="18" fillId="49" borderId="0" xfId="0" applyFont="1" applyFill="1"/>
    <xf numFmtId="49" fontId="18" fillId="69" borderId="49" xfId="55" applyBorder="1" applyAlignment="1">
      <alignment horizontal="left" vertical="top" wrapText="1"/>
      <protection locked="0"/>
    </xf>
    <xf numFmtId="49" fontId="18" fillId="69" borderId="55" xfId="55" applyBorder="1" applyAlignment="1">
      <alignment horizontal="left" vertical="top" wrapText="1"/>
      <protection locked="0"/>
    </xf>
    <xf numFmtId="49" fontId="18" fillId="69" borderId="60" xfId="55" applyBorder="1" applyAlignment="1">
      <alignment horizontal="left" vertical="top" wrapText="1"/>
      <protection locked="0"/>
    </xf>
    <xf numFmtId="170" fontId="74" fillId="70" borderId="16" xfId="51" applyBorder="1">
      <alignment horizontal="right" vertical="center"/>
      <protection locked="0"/>
    </xf>
    <xf numFmtId="170" fontId="74" fillId="70" borderId="18" xfId="51" applyBorder="1">
      <alignment horizontal="right" vertical="center"/>
      <protection locked="0"/>
    </xf>
    <xf numFmtId="170" fontId="74" fillId="70" borderId="19" xfId="51" applyBorder="1">
      <alignment horizontal="right" vertical="center"/>
      <protection locked="0"/>
    </xf>
    <xf numFmtId="167" fontId="38" fillId="59" borderId="192" xfId="48" applyBorder="1">
      <alignment horizontal="right"/>
      <protection locked="0"/>
    </xf>
    <xf numFmtId="167" fontId="38" fillId="59" borderId="193" xfId="48" applyBorder="1">
      <alignment horizontal="right"/>
      <protection locked="0"/>
    </xf>
    <xf numFmtId="167" fontId="38" fillId="59" borderId="194" xfId="48" applyBorder="1">
      <alignment horizontal="right"/>
      <protection locked="0"/>
    </xf>
    <xf numFmtId="167" fontId="38" fillId="59" borderId="195" xfId="48" applyBorder="1">
      <alignment horizontal="right"/>
      <protection locked="0"/>
    </xf>
    <xf numFmtId="167" fontId="38" fillId="59" borderId="196" xfId="48" applyBorder="1">
      <alignment horizontal="right"/>
      <protection locked="0"/>
    </xf>
    <xf numFmtId="0" fontId="19" fillId="49" borderId="0" xfId="0" applyFont="1" applyFill="1"/>
    <xf numFmtId="0" fontId="0" fillId="0" borderId="11" xfId="0" applyBorder="1"/>
    <xf numFmtId="0" fontId="21" fillId="71" borderId="133" xfId="58" applyBorder="1">
      <alignment horizontal="right" vertical="center" wrapText="1" indent="1"/>
    </xf>
    <xf numFmtId="0" fontId="21" fillId="72" borderId="133" xfId="59" applyBorder="1">
      <alignment horizontal="right" vertical="center" wrapText="1" indent="1"/>
    </xf>
    <xf numFmtId="167" fontId="38" fillId="59" borderId="201" xfId="48" applyBorder="1">
      <alignment horizontal="right"/>
      <protection locked="0"/>
    </xf>
    <xf numFmtId="167" fontId="38" fillId="59" borderId="202" xfId="48" applyBorder="1">
      <alignment horizontal="right"/>
      <protection locked="0"/>
    </xf>
    <xf numFmtId="0" fontId="0" fillId="49" borderId="0" xfId="0" applyFill="1" applyAlignment="1">
      <alignment vertical="center"/>
    </xf>
    <xf numFmtId="167" fontId="38" fillId="59" borderId="203" xfId="48" applyBorder="1">
      <alignment horizontal="right"/>
      <protection locked="0"/>
    </xf>
    <xf numFmtId="167" fontId="38" fillId="59" borderId="190" xfId="48" applyBorder="1">
      <alignment horizontal="right"/>
      <protection locked="0"/>
    </xf>
    <xf numFmtId="167" fontId="38" fillId="59" borderId="204" xfId="48" applyBorder="1">
      <alignment horizontal="right"/>
      <protection locked="0"/>
    </xf>
    <xf numFmtId="0" fontId="21" fillId="41" borderId="205" xfId="53">
      <alignment horizontal="right" vertical="center" wrapText="1" indent="1"/>
    </xf>
    <xf numFmtId="0" fontId="21" fillId="47" borderId="205" xfId="54">
      <alignment horizontal="right" vertical="center" wrapText="1" indent="1"/>
    </xf>
    <xf numFmtId="0" fontId="29" fillId="0" borderId="0" xfId="0" applyFont="1"/>
    <xf numFmtId="0" fontId="18" fillId="49" borderId="167" xfId="0" applyFont="1" applyFill="1" applyBorder="1" applyAlignment="1">
      <alignment horizontal="left" vertical="center" wrapText="1" indent="1"/>
    </xf>
    <xf numFmtId="0" fontId="25" fillId="0" borderId="0" xfId="0" applyFont="1"/>
    <xf numFmtId="0" fontId="25" fillId="0" borderId="0" xfId="0" applyFont="1" applyAlignment="1">
      <alignment vertical="center"/>
    </xf>
    <xf numFmtId="0" fontId="0" fillId="0" borderId="15" xfId="0" applyBorder="1"/>
    <xf numFmtId="167" fontId="38" fillId="59" borderId="215" xfId="48" applyBorder="1">
      <alignment horizontal="right"/>
      <protection locked="0"/>
    </xf>
    <xf numFmtId="167" fontId="38" fillId="59" borderId="216" xfId="48" applyBorder="1">
      <alignment horizontal="right"/>
      <protection locked="0"/>
    </xf>
    <xf numFmtId="167" fontId="38" fillId="59" borderId="217" xfId="48" applyBorder="1">
      <alignment horizontal="right"/>
      <protection locked="0"/>
    </xf>
    <xf numFmtId="170" fontId="74" fillId="70" borderId="220" xfId="51" applyBorder="1">
      <alignment horizontal="right" vertical="center"/>
      <protection locked="0"/>
    </xf>
    <xf numFmtId="167" fontId="38" fillId="59" borderId="214" xfId="48" applyBorder="1">
      <alignment horizontal="right"/>
      <protection locked="0"/>
    </xf>
    <xf numFmtId="0" fontId="18" fillId="49" borderId="81" xfId="0" applyFont="1" applyFill="1" applyBorder="1" applyAlignment="1">
      <alignment horizontal="left" vertical="center" wrapText="1" indent="4"/>
    </xf>
    <xf numFmtId="0" fontId="18" fillId="49" borderId="221" xfId="0" applyFont="1" applyFill="1" applyBorder="1" applyAlignment="1">
      <alignment horizontal="left" vertical="center" wrapText="1" indent="4"/>
    </xf>
    <xf numFmtId="0" fontId="43" fillId="49" borderId="0" xfId="0" applyFont="1" applyFill="1"/>
    <xf numFmtId="0" fontId="50" fillId="0" borderId="0" xfId="0" applyFont="1"/>
    <xf numFmtId="0" fontId="50" fillId="49" borderId="0" xfId="0" applyFont="1" applyFill="1"/>
    <xf numFmtId="0" fontId="18" fillId="49" borderId="191" xfId="0" applyFont="1" applyFill="1" applyBorder="1" applyAlignment="1">
      <alignment horizontal="left" vertical="center" wrapText="1" indent="4"/>
    </xf>
    <xf numFmtId="0" fontId="36" fillId="0" borderId="0" xfId="0" applyFont="1"/>
    <xf numFmtId="0" fontId="52" fillId="0" borderId="0" xfId="0" applyFont="1"/>
    <xf numFmtId="167" fontId="38" fillId="59" borderId="224" xfId="48" applyBorder="1">
      <alignment horizontal="right"/>
      <protection locked="0"/>
    </xf>
    <xf numFmtId="167" fontId="38" fillId="59" borderId="225" xfId="48" applyBorder="1">
      <alignment horizontal="right"/>
      <protection locked="0"/>
    </xf>
    <xf numFmtId="167" fontId="38" fillId="59" borderId="226" xfId="48" applyBorder="1">
      <alignment horizontal="right"/>
      <protection locked="0"/>
    </xf>
    <xf numFmtId="0" fontId="21" fillId="71" borderId="205" xfId="58" applyBorder="1">
      <alignment horizontal="right" vertical="center" wrapText="1" indent="1"/>
    </xf>
    <xf numFmtId="0" fontId="21" fillId="72" borderId="205" xfId="59" applyBorder="1">
      <alignment horizontal="right" vertical="center" wrapText="1" indent="1"/>
    </xf>
    <xf numFmtId="0" fontId="0" fillId="0" borderId="0" xfId="0" applyAlignment="1">
      <alignment wrapText="1"/>
    </xf>
    <xf numFmtId="0" fontId="78" fillId="49" borderId="0" xfId="0" applyFont="1" applyFill="1"/>
    <xf numFmtId="0" fontId="78" fillId="0" borderId="0" xfId="0" applyFont="1"/>
    <xf numFmtId="0" fontId="18" fillId="49" borderId="0" xfId="0" applyFont="1" applyFill="1" applyAlignment="1">
      <alignment horizontal="left"/>
    </xf>
    <xf numFmtId="0" fontId="18" fillId="49" borderId="0" xfId="0" applyFont="1" applyFill="1" applyAlignment="1">
      <alignment vertical="center"/>
    </xf>
    <xf numFmtId="0" fontId="18" fillId="49" borderId="78" xfId="0" applyFont="1" applyFill="1" applyBorder="1" applyAlignment="1">
      <alignment horizontal="left" vertical="center" wrapText="1" indent="1"/>
    </xf>
    <xf numFmtId="0" fontId="18" fillId="49" borderId="79" xfId="0" applyFont="1" applyFill="1" applyBorder="1" applyAlignment="1">
      <alignment horizontal="left" vertical="center" wrapText="1" indent="1"/>
    </xf>
    <xf numFmtId="0" fontId="18" fillId="49" borderId="80" xfId="0" applyFont="1" applyFill="1" applyBorder="1" applyAlignment="1">
      <alignment horizontal="left" vertical="center" wrapText="1" indent="1"/>
    </xf>
    <xf numFmtId="0" fontId="18" fillId="49" borderId="81" xfId="0" applyFont="1" applyFill="1" applyBorder="1" applyAlignment="1">
      <alignment horizontal="left" vertical="center" wrapText="1" indent="1"/>
    </xf>
    <xf numFmtId="0" fontId="19" fillId="49" borderId="0" xfId="0" applyFont="1" applyFill="1" applyAlignment="1">
      <alignment horizontal="center"/>
    </xf>
    <xf numFmtId="0" fontId="18" fillId="49" borderId="223" xfId="0" applyFont="1" applyFill="1" applyBorder="1" applyAlignment="1">
      <alignment horizontal="left" vertical="center" wrapText="1" indent="1"/>
    </xf>
    <xf numFmtId="0" fontId="18" fillId="49" borderId="80" xfId="0" applyFont="1" applyFill="1" applyBorder="1" applyAlignment="1">
      <alignment horizontal="left" vertical="center" indent="1"/>
    </xf>
    <xf numFmtId="0" fontId="18" fillId="49" borderId="222" xfId="0" applyFont="1" applyFill="1" applyBorder="1" applyAlignment="1">
      <alignment horizontal="left" vertical="center" indent="1"/>
    </xf>
    <xf numFmtId="0" fontId="0" fillId="49" borderId="0" xfId="0" applyFill="1" applyAlignment="1">
      <alignment horizontal="left"/>
    </xf>
    <xf numFmtId="0" fontId="73" fillId="0" borderId="0" xfId="0" applyFont="1" applyAlignment="1">
      <alignment horizontal="center"/>
    </xf>
    <xf numFmtId="0" fontId="18" fillId="49" borderId="147" xfId="0" applyFont="1" applyFill="1" applyBorder="1" applyAlignment="1">
      <alignment horizontal="left" vertical="center" wrapText="1" indent="1"/>
    </xf>
    <xf numFmtId="0" fontId="18" fillId="49" borderId="29" xfId="0" applyFont="1" applyFill="1" applyBorder="1" applyAlignment="1">
      <alignment horizontal="left" vertical="center" indent="1"/>
    </xf>
    <xf numFmtId="0" fontId="18" fillId="49" borderId="34" xfId="0" applyFont="1" applyFill="1" applyBorder="1" applyAlignment="1">
      <alignment horizontal="left" vertical="center" indent="1"/>
    </xf>
    <xf numFmtId="0" fontId="18" fillId="49" borderId="116" xfId="0" applyFont="1" applyFill="1" applyBorder="1" applyAlignment="1">
      <alignment horizontal="left" vertical="center" wrapText="1" indent="4"/>
    </xf>
    <xf numFmtId="0" fontId="18" fillId="49" borderId="80" xfId="0" applyFont="1" applyFill="1" applyBorder="1" applyAlignment="1">
      <alignment horizontal="left" vertical="center" wrapText="1" indent="4"/>
    </xf>
    <xf numFmtId="0" fontId="18" fillId="49" borderId="78" xfId="0" applyFont="1" applyFill="1" applyBorder="1" applyAlignment="1">
      <alignment horizontal="left" vertical="center" wrapText="1" indent="2"/>
    </xf>
    <xf numFmtId="0" fontId="18" fillId="49" borderId="79" xfId="0" applyFont="1" applyFill="1" applyBorder="1" applyAlignment="1">
      <alignment horizontal="left" vertical="center" wrapText="1" indent="2"/>
    </xf>
    <xf numFmtId="0" fontId="18" fillId="49" borderId="80" xfId="0" applyFont="1" applyFill="1" applyBorder="1" applyAlignment="1">
      <alignment horizontal="left" vertical="center" wrapText="1" indent="2"/>
    </xf>
    <xf numFmtId="0" fontId="18" fillId="49" borderId="81" xfId="0" applyFont="1" applyFill="1" applyBorder="1" applyAlignment="1">
      <alignment horizontal="left" vertical="center" wrapText="1" indent="2"/>
    </xf>
    <xf numFmtId="0" fontId="18" fillId="49" borderId="200" xfId="0" applyFont="1" applyFill="1" applyBorder="1" applyAlignment="1">
      <alignment horizontal="left" vertical="center" wrapText="1" indent="2"/>
    </xf>
    <xf numFmtId="0" fontId="18" fillId="49" borderId="84" xfId="0" applyFont="1" applyFill="1" applyBorder="1" applyAlignment="1">
      <alignment horizontal="left" vertical="center" wrapText="1" indent="2"/>
    </xf>
    <xf numFmtId="0" fontId="18" fillId="49" borderId="25" xfId="0" applyFont="1" applyFill="1" applyBorder="1" applyAlignment="1">
      <alignment horizontal="left" vertical="center" wrapText="1" indent="1"/>
    </xf>
    <xf numFmtId="0" fontId="18" fillId="49" borderId="121" xfId="0" applyFont="1" applyFill="1" applyBorder="1" applyAlignment="1">
      <alignment horizontal="left" vertical="center" wrapText="1" indent="1"/>
    </xf>
    <xf numFmtId="167" fontId="38" fillId="59" borderId="21" xfId="48" applyBorder="1">
      <alignment horizontal="right"/>
      <protection locked="0"/>
    </xf>
    <xf numFmtId="167" fontId="38" fillId="59" borderId="160" xfId="48" applyBorder="1">
      <alignment horizontal="right"/>
      <protection locked="0"/>
    </xf>
    <xf numFmtId="167" fontId="38" fillId="59" borderId="117" xfId="48" applyBorder="1">
      <alignment horizontal="right"/>
      <protection locked="0"/>
    </xf>
    <xf numFmtId="167" fontId="38" fillId="59" borderId="107" xfId="48" applyBorder="1">
      <alignment horizontal="right"/>
      <protection locked="0"/>
    </xf>
    <xf numFmtId="167" fontId="38" fillId="59" borderId="118" xfId="48" applyBorder="1">
      <alignment horizontal="right"/>
      <protection locked="0"/>
    </xf>
    <xf numFmtId="167" fontId="38" fillId="59" borderId="199" xfId="48" applyBorder="1">
      <alignment horizontal="right"/>
      <protection locked="0"/>
    </xf>
    <xf numFmtId="170" fontId="74" fillId="70" borderId="133" xfId="51" applyBorder="1">
      <alignment horizontal="right" vertical="center"/>
      <protection locked="0"/>
    </xf>
    <xf numFmtId="0" fontId="0" fillId="0" borderId="12" xfId="0" applyBorder="1"/>
    <xf numFmtId="0" fontId="83" fillId="49" borderId="0" xfId="0" applyFont="1" applyFill="1" applyAlignment="1">
      <alignment vertical="center"/>
    </xf>
    <xf numFmtId="0" fontId="0" fillId="49" borderId="0" xfId="0" applyFill="1" applyAlignment="1">
      <alignment vertical="top"/>
    </xf>
    <xf numFmtId="0" fontId="83" fillId="49" borderId="0" xfId="0" applyFont="1" applyFill="1" applyAlignment="1">
      <alignment vertical="top"/>
    </xf>
    <xf numFmtId="0" fontId="29" fillId="0" borderId="0" xfId="0" applyFont="1" applyAlignment="1">
      <alignment horizontal="right"/>
    </xf>
    <xf numFmtId="167" fontId="38" fillId="59" borderId="90" xfId="48" applyBorder="1">
      <alignment horizontal="right"/>
      <protection locked="0"/>
    </xf>
    <xf numFmtId="167" fontId="38" fillId="59" borderId="52" xfId="48" applyBorder="1">
      <alignment horizontal="right"/>
      <protection locked="0"/>
    </xf>
    <xf numFmtId="167" fontId="38" fillId="59" borderId="27" xfId="48" applyBorder="1">
      <alignment horizontal="right"/>
      <protection locked="0"/>
    </xf>
    <xf numFmtId="167" fontId="38" fillId="59" borderId="32" xfId="48" applyBorder="1">
      <alignment horizontal="right"/>
      <protection locked="0"/>
    </xf>
    <xf numFmtId="165" fontId="52" fillId="0" borderId="0" xfId="0" applyNumberFormat="1" applyFont="1"/>
    <xf numFmtId="0" fontId="52" fillId="0" borderId="0" xfId="0" applyFont="1" applyAlignment="1">
      <alignment wrapText="1"/>
    </xf>
    <xf numFmtId="167" fontId="38" fillId="59" borderId="109" xfId="48" applyBorder="1">
      <alignment horizontal="right"/>
      <protection locked="0"/>
    </xf>
    <xf numFmtId="167" fontId="38" fillId="59" borderId="119" xfId="48" applyBorder="1">
      <alignment horizontal="right"/>
      <protection locked="0"/>
    </xf>
    <xf numFmtId="167" fontId="38" fillId="59" borderId="120" xfId="48" applyBorder="1">
      <alignment horizontal="right"/>
      <protection locked="0"/>
    </xf>
    <xf numFmtId="167" fontId="38" fillId="59" borderId="234" xfId="48" applyBorder="1">
      <alignment horizontal="right"/>
      <protection locked="0"/>
    </xf>
    <xf numFmtId="167" fontId="38" fillId="59" borderId="209" xfId="48" applyBorder="1">
      <alignment horizontal="right"/>
      <protection locked="0"/>
    </xf>
    <xf numFmtId="0" fontId="18" fillId="0" borderId="0" xfId="0" applyFont="1" applyAlignment="1">
      <alignment wrapText="1"/>
    </xf>
    <xf numFmtId="0" fontId="0" fillId="49" borderId="0" xfId="0" applyFill="1" applyAlignment="1">
      <alignment wrapText="1"/>
    </xf>
    <xf numFmtId="0" fontId="19" fillId="57" borderId="72" xfId="46" applyBorder="1">
      <alignment vertical="center"/>
    </xf>
    <xf numFmtId="0" fontId="19" fillId="57" borderId="184" xfId="46" applyBorder="1">
      <alignment vertical="center"/>
    </xf>
    <xf numFmtId="0" fontId="18" fillId="49" borderId="0" xfId="0" applyFont="1" applyFill="1" applyAlignment="1">
      <alignment wrapText="1"/>
    </xf>
    <xf numFmtId="0" fontId="18" fillId="49" borderId="0" xfId="0" applyFont="1" applyFill="1" applyAlignment="1" applyProtection="1">
      <alignment horizontal="right" vertical="center" wrapText="1"/>
      <protection locked="0"/>
    </xf>
    <xf numFmtId="0" fontId="19" fillId="0" borderId="0" xfId="0" applyFont="1" applyAlignment="1">
      <alignment horizontal="center"/>
    </xf>
    <xf numFmtId="167" fontId="38" fillId="59" borderId="114" xfId="48" applyBorder="1">
      <alignment horizontal="right"/>
      <protection locked="0"/>
    </xf>
    <xf numFmtId="167" fontId="38" fillId="59" borderId="31" xfId="48" applyBorder="1">
      <alignment horizontal="right"/>
      <protection locked="0"/>
    </xf>
    <xf numFmtId="0" fontId="18" fillId="33" borderId="0" xfId="0" applyFont="1" applyFill="1"/>
    <xf numFmtId="0" fontId="0" fillId="0" borderId="0" xfId="0" applyAlignment="1">
      <alignment vertical="center" wrapText="1"/>
    </xf>
    <xf numFmtId="0" fontId="21" fillId="47" borderId="206" xfId="54" applyBorder="1">
      <alignment horizontal="right" vertical="center" wrapText="1" indent="1"/>
    </xf>
    <xf numFmtId="0" fontId="21" fillId="41" borderId="207" xfId="53" applyBorder="1">
      <alignment horizontal="right" vertical="center" wrapText="1" indent="1"/>
    </xf>
    <xf numFmtId="0" fontId="34" fillId="55" borderId="0" xfId="63">
      <alignment vertical="center"/>
    </xf>
    <xf numFmtId="167" fontId="38" fillId="59" borderId="235" xfId="48" applyBorder="1">
      <alignment horizontal="right"/>
      <protection locked="0"/>
    </xf>
    <xf numFmtId="167" fontId="38" fillId="59" borderId="236" xfId="48" applyBorder="1">
      <alignment horizontal="right"/>
      <protection locked="0"/>
    </xf>
    <xf numFmtId="0" fontId="21" fillId="72" borderId="132" xfId="59" applyBorder="1">
      <alignment horizontal="right" vertical="center" wrapText="1" indent="1"/>
    </xf>
    <xf numFmtId="0" fontId="21" fillId="71" borderId="151" xfId="58" applyBorder="1">
      <alignment horizontal="right" vertical="center" wrapText="1" indent="1"/>
    </xf>
    <xf numFmtId="167" fontId="38" fillId="59" borderId="233" xfId="48" applyBorder="1">
      <alignment horizontal="right"/>
      <protection locked="0"/>
    </xf>
    <xf numFmtId="167" fontId="38" fillId="59" borderId="237" xfId="48" applyBorder="1">
      <alignment horizontal="right"/>
      <protection locked="0"/>
    </xf>
    <xf numFmtId="167" fontId="38" fillId="59" borderId="238" xfId="48" applyBorder="1">
      <alignment horizontal="right"/>
      <protection locked="0"/>
    </xf>
    <xf numFmtId="167" fontId="38" fillId="59" borderId="239" xfId="48" applyBorder="1">
      <alignment horizontal="right"/>
      <protection locked="0"/>
    </xf>
    <xf numFmtId="0" fontId="85" fillId="49" borderId="0" xfId="0" applyFont="1" applyFill="1" applyAlignment="1">
      <alignment horizontal="right" vertical="center" indent="1"/>
    </xf>
    <xf numFmtId="0" fontId="85" fillId="49" borderId="0" xfId="0" applyFont="1" applyFill="1" applyAlignment="1">
      <alignment vertical="center"/>
    </xf>
    <xf numFmtId="0" fontId="86" fillId="49" borderId="0" xfId="0" applyFont="1" applyFill="1" applyAlignment="1">
      <alignment horizontal="right" indent="1"/>
    </xf>
    <xf numFmtId="0" fontId="19" fillId="57" borderId="13" xfId="46" applyBorder="1">
      <alignment vertical="center"/>
    </xf>
    <xf numFmtId="0" fontId="19" fillId="57" borderId="15" xfId="46" applyBorder="1">
      <alignment vertical="center"/>
    </xf>
    <xf numFmtId="0" fontId="86" fillId="0" borderId="0" xfId="0" applyFont="1"/>
    <xf numFmtId="0" fontId="87" fillId="0" borderId="0" xfId="0" applyFont="1" applyAlignment="1">
      <alignment horizontal="center"/>
    </xf>
    <xf numFmtId="0" fontId="88" fillId="0" borderId="0" xfId="0" applyFont="1"/>
    <xf numFmtId="0" fontId="87" fillId="0" borderId="0" xfId="0" applyFont="1"/>
    <xf numFmtId="167" fontId="38" fillId="59" borderId="240" xfId="48" applyBorder="1">
      <alignment horizontal="right"/>
      <protection locked="0"/>
    </xf>
    <xf numFmtId="167" fontId="38" fillId="59" borderId="241" xfId="48" applyBorder="1">
      <alignment horizontal="right"/>
      <protection locked="0"/>
    </xf>
    <xf numFmtId="167" fontId="38" fillId="59" borderId="51" xfId="48" applyBorder="1">
      <alignment horizontal="right"/>
      <protection locked="0"/>
    </xf>
    <xf numFmtId="167" fontId="38" fillId="59" borderId="154" xfId="48" applyBorder="1">
      <alignment horizontal="right"/>
      <protection locked="0"/>
    </xf>
    <xf numFmtId="167" fontId="38" fillId="59" borderId="242" xfId="48" applyBorder="1">
      <alignment horizontal="right"/>
      <protection locked="0"/>
    </xf>
    <xf numFmtId="167" fontId="38" fillId="59" borderId="243" xfId="48" applyBorder="1">
      <alignment horizontal="right"/>
      <protection locked="0"/>
    </xf>
    <xf numFmtId="167" fontId="38" fillId="59" borderId="57" xfId="48" applyBorder="1">
      <alignment horizontal="right"/>
      <protection locked="0"/>
    </xf>
    <xf numFmtId="167" fontId="38" fillId="59" borderId="155" xfId="48" applyBorder="1">
      <alignment horizontal="right"/>
      <protection locked="0"/>
    </xf>
    <xf numFmtId="167" fontId="38" fillId="59" borderId="244" xfId="48" applyBorder="1">
      <alignment horizontal="right"/>
      <protection locked="0"/>
    </xf>
    <xf numFmtId="167" fontId="38" fillId="59" borderId="245" xfId="48" applyBorder="1">
      <alignment horizontal="right"/>
      <protection locked="0"/>
    </xf>
    <xf numFmtId="167" fontId="38" fillId="59" borderId="157" xfId="48" applyBorder="1">
      <alignment horizontal="right"/>
      <protection locked="0"/>
    </xf>
    <xf numFmtId="167" fontId="38" fillId="59" borderId="158" xfId="48" applyBorder="1">
      <alignment horizontal="right"/>
      <protection locked="0"/>
    </xf>
    <xf numFmtId="49" fontId="18" fillId="69" borderId="23" xfId="55" applyBorder="1" applyAlignment="1">
      <alignment vertical="top" wrapText="1"/>
      <protection locked="0"/>
    </xf>
    <xf numFmtId="49" fontId="18" fillId="69" borderId="29" xfId="55" applyBorder="1" applyAlignment="1">
      <alignment vertical="top" wrapText="1"/>
      <protection locked="0"/>
    </xf>
    <xf numFmtId="49" fontId="18" fillId="69" borderId="34" xfId="55" applyBorder="1" applyAlignment="1">
      <alignment vertical="top" wrapText="1"/>
      <protection locked="0"/>
    </xf>
    <xf numFmtId="0" fontId="93" fillId="73" borderId="19" xfId="0" applyFont="1" applyFill="1" applyBorder="1" applyAlignment="1" applyProtection="1">
      <alignment horizontal="center" vertical="center"/>
      <protection locked="0"/>
    </xf>
    <xf numFmtId="0" fontId="54" fillId="49" borderId="0" xfId="0" applyFont="1" applyFill="1"/>
    <xf numFmtId="0" fontId="18" fillId="49" borderId="167" xfId="0" applyFont="1" applyFill="1" applyBorder="1" applyAlignment="1">
      <alignment horizontal="right" vertical="center" wrapText="1"/>
    </xf>
    <xf numFmtId="0" fontId="18" fillId="60" borderId="90" xfId="0" applyFont="1" applyFill="1" applyBorder="1" applyAlignment="1">
      <alignment horizontal="right" vertical="center" wrapText="1"/>
    </xf>
    <xf numFmtId="0" fontId="18" fillId="60" borderId="27" xfId="0" applyFont="1" applyFill="1" applyBorder="1" applyAlignment="1">
      <alignment horizontal="right" vertical="center" wrapText="1"/>
    </xf>
    <xf numFmtId="164" fontId="18" fillId="60" borderId="28" xfId="0" applyNumberFormat="1" applyFont="1" applyFill="1" applyBorder="1"/>
    <xf numFmtId="164" fontId="18" fillId="60" borderId="186" xfId="0" applyNumberFormat="1" applyFont="1" applyFill="1" applyBorder="1"/>
    <xf numFmtId="164" fontId="18" fillId="60" borderId="29" xfId="0" applyNumberFormat="1" applyFont="1" applyFill="1" applyBorder="1"/>
    <xf numFmtId="164" fontId="18" fillId="60" borderId="70" xfId="0" applyNumberFormat="1" applyFont="1" applyFill="1" applyBorder="1"/>
    <xf numFmtId="0" fontId="18" fillId="49" borderId="106" xfId="0" applyFont="1" applyFill="1" applyBorder="1" applyAlignment="1">
      <alignment horizontal="right" vertical="center" wrapText="1"/>
    </xf>
    <xf numFmtId="0" fontId="18" fillId="49" borderId="44" xfId="0" applyFont="1" applyFill="1" applyBorder="1" applyAlignment="1">
      <alignment horizontal="right" vertical="center" wrapText="1"/>
    </xf>
    <xf numFmtId="0" fontId="18" fillId="60" borderId="32" xfId="0" applyFont="1" applyFill="1" applyBorder="1" applyAlignment="1">
      <alignment horizontal="right" vertical="center" wrapText="1"/>
    </xf>
    <xf numFmtId="167" fontId="38" fillId="75" borderId="52" xfId="48" applyFill="1" applyBorder="1">
      <alignment horizontal="right"/>
      <protection locked="0"/>
    </xf>
    <xf numFmtId="167" fontId="38" fillId="59" borderId="247" xfId="48" applyBorder="1">
      <alignment horizontal="right"/>
      <protection locked="0"/>
    </xf>
    <xf numFmtId="167" fontId="38" fillId="59" borderId="248" xfId="48" applyBorder="1">
      <alignment horizontal="right"/>
      <protection locked="0"/>
    </xf>
    <xf numFmtId="167" fontId="38" fillId="59" borderId="249" xfId="48" applyBorder="1">
      <alignment horizontal="right"/>
      <protection locked="0"/>
    </xf>
    <xf numFmtId="167" fontId="38" fillId="59" borderId="250" xfId="48" applyBorder="1">
      <alignment horizontal="right"/>
      <protection locked="0"/>
    </xf>
    <xf numFmtId="167" fontId="38" fillId="59" borderId="251" xfId="48" applyBorder="1">
      <alignment horizontal="right"/>
      <protection locked="0"/>
    </xf>
    <xf numFmtId="167" fontId="38" fillId="59" borderId="252" xfId="48" applyBorder="1">
      <alignment horizontal="right"/>
      <protection locked="0"/>
    </xf>
    <xf numFmtId="0" fontId="0" fillId="0" borderId="27" xfId="0" applyBorder="1"/>
    <xf numFmtId="0" fontId="95" fillId="0" borderId="0" xfId="0" applyFont="1"/>
    <xf numFmtId="0" fontId="96" fillId="0" borderId="0" xfId="0" applyFont="1"/>
    <xf numFmtId="0" fontId="96" fillId="0" borderId="10" xfId="0" applyFont="1" applyBorder="1"/>
    <xf numFmtId="0" fontId="96" fillId="0" borderId="11" xfId="0" applyFont="1" applyBorder="1"/>
    <xf numFmtId="0" fontId="96" fillId="0" borderId="12" xfId="0" applyFont="1" applyBorder="1"/>
    <xf numFmtId="0" fontId="97" fillId="0" borderId="37" xfId="0" applyFont="1" applyBorder="1"/>
    <xf numFmtId="0" fontId="96" fillId="0" borderId="38" xfId="0" applyFont="1" applyBorder="1"/>
    <xf numFmtId="0" fontId="98" fillId="0" borderId="37" xfId="64" quotePrefix="1" applyFont="1" applyBorder="1"/>
    <xf numFmtId="0" fontId="96" fillId="0" borderId="37" xfId="0" applyFont="1" applyBorder="1"/>
    <xf numFmtId="0" fontId="99" fillId="47" borderId="0" xfId="64" quotePrefix="1" applyFont="1" applyFill="1" applyBorder="1"/>
    <xf numFmtId="0" fontId="101" fillId="77" borderId="0" xfId="64" quotePrefix="1" applyFont="1" applyFill="1" applyBorder="1"/>
    <xf numFmtId="0" fontId="98" fillId="0" borderId="0" xfId="64" quotePrefix="1" applyFont="1" applyBorder="1"/>
    <xf numFmtId="0" fontId="99" fillId="78" borderId="0" xfId="64" quotePrefix="1" applyFont="1" applyFill="1" applyBorder="1"/>
    <xf numFmtId="0" fontId="99" fillId="79" borderId="0" xfId="64" quotePrefix="1" applyFont="1" applyFill="1" applyBorder="1"/>
    <xf numFmtId="0" fontId="96" fillId="0" borderId="13" xfId="0" applyFont="1" applyBorder="1"/>
    <xf numFmtId="0" fontId="96" fillId="0" borderId="14" xfId="0" applyFont="1" applyBorder="1"/>
    <xf numFmtId="0" fontId="96" fillId="0" borderId="15" xfId="0" applyFont="1" applyBorder="1"/>
    <xf numFmtId="0" fontId="97" fillId="47" borderId="0" xfId="0" applyFont="1" applyFill="1" applyAlignment="1">
      <alignment horizontal="right" indent="3"/>
    </xf>
    <xf numFmtId="0" fontId="96" fillId="0" borderId="0" xfId="0" applyFont="1" applyAlignment="1">
      <alignment horizontal="right" indent="3"/>
    </xf>
    <xf numFmtId="0" fontId="100" fillId="77" borderId="0" xfId="0" applyFont="1" applyFill="1" applyAlignment="1">
      <alignment horizontal="right" indent="3"/>
    </xf>
    <xf numFmtId="0" fontId="102" fillId="78" borderId="0" xfId="0" applyFont="1" applyFill="1" applyAlignment="1">
      <alignment horizontal="right" indent="3"/>
    </xf>
    <xf numFmtId="0" fontId="102" fillId="79" borderId="0" xfId="0" applyFont="1" applyFill="1" applyAlignment="1">
      <alignment horizontal="right" indent="3"/>
    </xf>
    <xf numFmtId="0" fontId="97" fillId="79" borderId="0" xfId="0" applyFont="1" applyFill="1" applyAlignment="1">
      <alignment horizontal="right" indent="3"/>
    </xf>
    <xf numFmtId="0" fontId="102" fillId="47" borderId="0" xfId="0" applyFont="1" applyFill="1" applyAlignment="1">
      <alignment horizontal="right" indent="3"/>
    </xf>
    <xf numFmtId="0" fontId="104" fillId="0" borderId="0" xfId="0" applyFont="1" applyAlignment="1">
      <alignment vertical="top"/>
    </xf>
    <xf numFmtId="0" fontId="106" fillId="56" borderId="16" xfId="0" applyFont="1" applyFill="1" applyBorder="1" applyAlignment="1">
      <alignment horizontal="right" vertical="center" indent="2"/>
    </xf>
    <xf numFmtId="0" fontId="18" fillId="49" borderId="189" xfId="0" applyFont="1" applyFill="1" applyBorder="1" applyAlignment="1">
      <alignment vertical="center"/>
    </xf>
    <xf numFmtId="0" fontId="72" fillId="69" borderId="68" xfId="0" applyFont="1" applyFill="1" applyBorder="1" applyAlignment="1">
      <alignment horizontal="left" vertical="center" indent="2"/>
    </xf>
    <xf numFmtId="0" fontId="0" fillId="49" borderId="38" xfId="0" applyFill="1" applyBorder="1"/>
    <xf numFmtId="0" fontId="72" fillId="43" borderId="39" xfId="0" applyFont="1" applyFill="1" applyBorder="1" applyAlignment="1">
      <alignment horizontal="left" vertical="center" indent="2"/>
    </xf>
    <xf numFmtId="0" fontId="72" fillId="48" borderId="39" xfId="0" applyFont="1" applyFill="1" applyBorder="1" applyAlignment="1">
      <alignment horizontal="left" vertical="center" indent="2"/>
    </xf>
    <xf numFmtId="0" fontId="72" fillId="60" borderId="76" xfId="0" applyFont="1" applyFill="1" applyBorder="1" applyAlignment="1">
      <alignment horizontal="left" vertical="center" indent="2"/>
    </xf>
    <xf numFmtId="0" fontId="18" fillId="49" borderId="255" xfId="0" applyFont="1" applyFill="1" applyBorder="1" applyAlignment="1">
      <alignment vertical="center"/>
    </xf>
    <xf numFmtId="0" fontId="0" fillId="49" borderId="14" xfId="0" applyFill="1" applyBorder="1"/>
    <xf numFmtId="0" fontId="0" fillId="49" borderId="15" xfId="0" applyFill="1" applyBorder="1"/>
    <xf numFmtId="167" fontId="38" fillId="59" borderId="257" xfId="48" applyBorder="1">
      <alignment horizontal="right"/>
      <protection locked="0"/>
    </xf>
    <xf numFmtId="167" fontId="38" fillId="59" borderId="258" xfId="48" applyBorder="1">
      <alignment horizontal="right"/>
      <protection locked="0"/>
    </xf>
    <xf numFmtId="0" fontId="18" fillId="49" borderId="101" xfId="0" applyFont="1" applyFill="1" applyBorder="1" applyAlignment="1">
      <alignment horizontal="right" vertical="center" wrapText="1" indent="1"/>
    </xf>
    <xf numFmtId="0" fontId="18" fillId="49" borderId="261" xfId="0" applyFont="1" applyFill="1" applyBorder="1" applyAlignment="1">
      <alignment horizontal="right" vertical="center" wrapText="1" indent="1"/>
    </xf>
    <xf numFmtId="167" fontId="38" fillId="59" borderId="34" xfId="48" applyBorder="1">
      <alignment horizontal="right"/>
      <protection locked="0"/>
    </xf>
    <xf numFmtId="167" fontId="38" fillId="59" borderId="147" xfId="48" applyBorder="1">
      <alignment horizontal="right"/>
      <protection locked="0"/>
    </xf>
    <xf numFmtId="167" fontId="38" fillId="59" borderId="262" xfId="48" applyBorder="1">
      <alignment horizontal="right"/>
      <protection locked="0"/>
    </xf>
    <xf numFmtId="167" fontId="38" fillId="59" borderId="263" xfId="48" applyBorder="1">
      <alignment horizontal="right"/>
      <protection locked="0"/>
    </xf>
    <xf numFmtId="167" fontId="38" fillId="59" borderId="264" xfId="48" applyBorder="1">
      <alignment horizontal="right"/>
      <protection locked="0"/>
    </xf>
    <xf numFmtId="167" fontId="38" fillId="59" borderId="265" xfId="48" applyBorder="1">
      <alignment horizontal="right"/>
      <protection locked="0"/>
    </xf>
    <xf numFmtId="0" fontId="18" fillId="49" borderId="222" xfId="0" applyFont="1" applyFill="1" applyBorder="1" applyAlignment="1">
      <alignment horizontal="left" vertical="center" wrapText="1" indent="1"/>
    </xf>
    <xf numFmtId="0" fontId="18" fillId="49" borderId="103" xfId="0" applyFont="1" applyFill="1" applyBorder="1" applyAlignment="1">
      <alignment horizontal="right" vertical="center" wrapText="1" indent="1"/>
    </xf>
    <xf numFmtId="167" fontId="38" fillId="59" borderId="266" xfId="48" applyBorder="1">
      <alignment horizontal="right"/>
      <protection locked="0"/>
    </xf>
    <xf numFmtId="0" fontId="18" fillId="49" borderId="259" xfId="0" applyFont="1" applyFill="1" applyBorder="1" applyAlignment="1">
      <alignment horizontal="right" vertical="center" wrapText="1" indent="2"/>
    </xf>
    <xf numFmtId="0" fontId="18" fillId="49" borderId="101" xfId="0" applyFont="1" applyFill="1" applyBorder="1" applyAlignment="1">
      <alignment horizontal="right" vertical="center" wrapText="1" indent="2"/>
    </xf>
    <xf numFmtId="49" fontId="18" fillId="69" borderId="80" xfId="55" applyBorder="1" applyAlignment="1">
      <alignment horizontal="left" vertical="center" indent="1"/>
      <protection locked="0"/>
    </xf>
    <xf numFmtId="49" fontId="18" fillId="69" borderId="200" xfId="55" applyBorder="1" applyAlignment="1">
      <alignment horizontal="left" vertical="center" indent="1"/>
      <protection locked="0"/>
    </xf>
    <xf numFmtId="0" fontId="19" fillId="0" borderId="14" xfId="0" applyFont="1" applyBorder="1" applyAlignment="1">
      <alignment horizontal="center" wrapText="1"/>
    </xf>
    <xf numFmtId="0" fontId="19" fillId="0" borderId="15" xfId="0" applyFont="1" applyBorder="1" applyAlignment="1">
      <alignment horizontal="center" wrapText="1"/>
    </xf>
    <xf numFmtId="0" fontId="73" fillId="0" borderId="14" xfId="0" applyFont="1" applyBorder="1" applyAlignment="1">
      <alignment horizontal="centerContinuous" wrapText="1"/>
    </xf>
    <xf numFmtId="0" fontId="73" fillId="0" borderId="15" xfId="0" applyFont="1" applyBorder="1" applyAlignment="1">
      <alignment horizontal="centerContinuous" wrapText="1"/>
    </xf>
    <xf numFmtId="49" fontId="18" fillId="69" borderId="79" xfId="55" applyBorder="1" applyAlignment="1" applyProtection="1">
      <alignment vertical="top" wrapText="1"/>
    </xf>
    <xf numFmtId="49" fontId="18" fillId="69" borderId="81" xfId="55" applyBorder="1" applyAlignment="1" applyProtection="1">
      <alignment vertical="top" wrapText="1"/>
    </xf>
    <xf numFmtId="49" fontId="18" fillId="69" borderId="84" xfId="55" applyBorder="1" applyAlignment="1" applyProtection="1">
      <alignment vertical="top" wrapText="1"/>
    </xf>
    <xf numFmtId="49" fontId="18" fillId="69" borderId="78" xfId="55" applyBorder="1" applyAlignment="1">
      <alignment vertical="top"/>
      <protection locked="0"/>
    </xf>
    <xf numFmtId="49" fontId="18" fillId="69" borderId="80" xfId="55" applyBorder="1" applyAlignment="1">
      <alignment vertical="top"/>
      <protection locked="0"/>
    </xf>
    <xf numFmtId="49" fontId="18" fillId="69" borderId="200" xfId="55" applyBorder="1" applyAlignment="1">
      <alignment vertical="top"/>
      <protection locked="0"/>
    </xf>
    <xf numFmtId="0" fontId="18" fillId="49" borderId="106" xfId="0" applyFont="1" applyFill="1" applyBorder="1" applyAlignment="1">
      <alignment horizontal="left" vertical="center" wrapText="1" indent="4"/>
    </xf>
    <xf numFmtId="0" fontId="18" fillId="49" borderId="167" xfId="0" applyFont="1" applyFill="1" applyBorder="1" applyAlignment="1">
      <alignment horizontal="left" vertical="center" wrapText="1" indent="4"/>
    </xf>
    <xf numFmtId="164" fontId="18" fillId="60" borderId="33" xfId="0" applyNumberFormat="1" applyFont="1" applyFill="1" applyBorder="1"/>
    <xf numFmtId="164" fontId="18" fillId="60" borderId="188" xfId="0" applyNumberFormat="1" applyFont="1" applyFill="1" applyBorder="1"/>
    <xf numFmtId="164" fontId="18" fillId="60" borderId="187" xfId="0" applyNumberFormat="1" applyFont="1" applyFill="1" applyBorder="1"/>
    <xf numFmtId="164" fontId="18" fillId="60" borderId="34" xfId="0" applyNumberFormat="1" applyFont="1" applyFill="1" applyBorder="1"/>
    <xf numFmtId="0" fontId="112" fillId="0" borderId="0" xfId="0" applyFont="1" applyAlignment="1">
      <alignment horizontal="left"/>
    </xf>
    <xf numFmtId="49" fontId="18" fillId="69" borderId="78" xfId="55" applyBorder="1" applyAlignment="1">
      <alignment horizontal="left" indent="1"/>
      <protection locked="0"/>
    </xf>
    <xf numFmtId="49" fontId="18" fillId="69" borderId="79" xfId="55" applyBorder="1" applyAlignment="1" applyProtection="1"/>
    <xf numFmtId="49" fontId="18" fillId="74" borderId="80" xfId="55" applyFill="1" applyBorder="1" applyAlignment="1">
      <alignment horizontal="left" indent="1"/>
      <protection locked="0"/>
    </xf>
    <xf numFmtId="49" fontId="18" fillId="74" borderId="81" xfId="55" applyFill="1" applyBorder="1" applyAlignment="1" applyProtection="1"/>
    <xf numFmtId="49" fontId="18" fillId="69" borderId="80" xfId="55" applyBorder="1" applyAlignment="1">
      <alignment horizontal="left" indent="1"/>
      <protection locked="0"/>
    </xf>
    <xf numFmtId="49" fontId="18" fillId="69" borderId="81" xfId="55" applyBorder="1" applyAlignment="1" applyProtection="1"/>
    <xf numFmtId="49" fontId="18" fillId="69" borderId="121" xfId="55" applyBorder="1" applyAlignment="1" applyProtection="1"/>
    <xf numFmtId="49" fontId="18" fillId="74" borderId="121" xfId="55" applyFill="1" applyBorder="1" applyAlignment="1" applyProtection="1"/>
    <xf numFmtId="49" fontId="18" fillId="69" borderId="25" xfId="55" applyBorder="1" applyAlignment="1">
      <alignment horizontal="left" indent="1"/>
      <protection locked="0"/>
    </xf>
    <xf numFmtId="49" fontId="18" fillId="74" borderId="25" xfId="55" applyFill="1" applyBorder="1" applyAlignment="1">
      <alignment horizontal="left" indent="1"/>
      <protection locked="0"/>
    </xf>
    <xf numFmtId="49" fontId="18" fillId="74" borderId="200" xfId="55" applyFill="1" applyBorder="1" applyAlignment="1">
      <alignment horizontal="left" indent="1"/>
      <protection locked="0"/>
    </xf>
    <xf numFmtId="49" fontId="18" fillId="74" borderId="84" xfId="55" applyFill="1" applyBorder="1" applyAlignment="1" applyProtection="1"/>
    <xf numFmtId="0" fontId="18" fillId="0" borderId="230" xfId="49" applyBorder="1" applyAlignment="1">
      <alignment horizontal="left" vertical="center" indent="1"/>
    </xf>
    <xf numFmtId="0" fontId="18" fillId="0" borderId="231" xfId="49" applyBorder="1" applyAlignment="1">
      <alignment horizontal="left" vertical="center" indent="1"/>
    </xf>
    <xf numFmtId="0" fontId="18" fillId="0" borderId="227" xfId="49" applyBorder="1" applyAlignment="1">
      <alignment horizontal="left" vertical="center" indent="1"/>
    </xf>
    <xf numFmtId="167" fontId="38" fillId="75" borderId="173" xfId="48" applyFill="1" applyBorder="1">
      <alignment horizontal="right"/>
      <protection locked="0"/>
    </xf>
    <xf numFmtId="167" fontId="38" fillId="75" borderId="174" xfId="48" applyFill="1" applyBorder="1">
      <alignment horizontal="right"/>
      <protection locked="0"/>
    </xf>
    <xf numFmtId="0" fontId="18" fillId="0" borderId="230" xfId="49" quotePrefix="1" applyBorder="1" applyAlignment="1">
      <alignment horizontal="left" vertical="center" indent="1"/>
    </xf>
    <xf numFmtId="0" fontId="18" fillId="0" borderId="228" xfId="49" applyBorder="1" applyAlignment="1">
      <alignment horizontal="left" vertical="center" indent="1"/>
    </xf>
    <xf numFmtId="0" fontId="18" fillId="0" borderId="229" xfId="49" applyBorder="1" applyAlignment="1">
      <alignment horizontal="left" vertical="center" indent="1"/>
    </xf>
    <xf numFmtId="170" fontId="74" fillId="70" borderId="13" xfId="51" applyBorder="1">
      <alignment horizontal="right" vertical="center"/>
      <protection locked="0"/>
    </xf>
    <xf numFmtId="170" fontId="74" fillId="70" borderId="14" xfId="51" applyBorder="1">
      <alignment horizontal="right" vertical="center"/>
      <protection locked="0"/>
    </xf>
    <xf numFmtId="170" fontId="74" fillId="70" borderId="15" xfId="51" applyBorder="1">
      <alignment horizontal="right" vertical="center"/>
      <protection locked="0"/>
    </xf>
    <xf numFmtId="0" fontId="18" fillId="0" borderId="267" xfId="49" applyBorder="1" applyAlignment="1">
      <alignment horizontal="left" vertical="center" indent="1"/>
    </xf>
    <xf numFmtId="0" fontId="18" fillId="0" borderId="268" xfId="49" applyBorder="1" applyAlignment="1">
      <alignment horizontal="left" vertical="center" indent="1"/>
    </xf>
    <xf numFmtId="170" fontId="74" fillId="100" borderId="220" xfId="60" applyBorder="1">
      <alignment horizontal="right" vertical="center"/>
      <protection locked="0"/>
    </xf>
    <xf numFmtId="170" fontId="74" fillId="100" borderId="218" xfId="60">
      <alignment horizontal="right" vertical="center"/>
      <protection locked="0"/>
    </xf>
    <xf numFmtId="170" fontId="74" fillId="100" borderId="219" xfId="60" applyBorder="1">
      <alignment horizontal="right" vertical="center"/>
      <protection locked="0"/>
    </xf>
    <xf numFmtId="170" fontId="74" fillId="100" borderId="13" xfId="60" applyBorder="1">
      <alignment horizontal="right" vertical="center"/>
      <protection locked="0"/>
    </xf>
    <xf numFmtId="170" fontId="74" fillId="100" borderId="14" xfId="60" applyBorder="1">
      <alignment horizontal="right" vertical="center"/>
      <protection locked="0"/>
    </xf>
    <xf numFmtId="170" fontId="74" fillId="100" borderId="15" xfId="60" applyBorder="1">
      <alignment horizontal="right" vertical="center"/>
      <protection locked="0"/>
    </xf>
    <xf numFmtId="0" fontId="18" fillId="0" borderId="82" xfId="49" applyBorder="1" applyAlignment="1">
      <alignment horizontal="left" vertical="center" indent="1"/>
    </xf>
    <xf numFmtId="167" fontId="38" fillId="59" borderId="43" xfId="48" applyBorder="1">
      <alignment horizontal="right"/>
      <protection locked="0"/>
    </xf>
    <xf numFmtId="167" fontId="38" fillId="59" borderId="269" xfId="48" applyBorder="1">
      <alignment horizontal="right"/>
      <protection locked="0"/>
    </xf>
    <xf numFmtId="0" fontId="18" fillId="0" borderId="270" xfId="49" applyBorder="1" applyAlignment="1">
      <alignment horizontal="left" vertical="center" indent="1"/>
    </xf>
    <xf numFmtId="0" fontId="18" fillId="49" borderId="32" xfId="0" applyFont="1" applyFill="1" applyBorder="1" applyAlignment="1">
      <alignment horizontal="left" vertical="center" indent="1"/>
    </xf>
    <xf numFmtId="0" fontId="113" fillId="80" borderId="72" xfId="47" applyFont="1" applyFill="1" applyBorder="1" applyAlignment="1">
      <alignment horizontal="left" vertical="center" indent="3"/>
    </xf>
    <xf numFmtId="0" fontId="37" fillId="80" borderId="184" xfId="47" applyFill="1" applyBorder="1">
      <alignment horizontal="left" vertical="center"/>
    </xf>
    <xf numFmtId="0" fontId="37" fillId="80" borderId="271" xfId="47" applyFill="1" applyBorder="1">
      <alignment horizontal="left" vertical="center"/>
    </xf>
    <xf numFmtId="170" fontId="74" fillId="70" borderId="219" xfId="51" applyBorder="1">
      <alignment horizontal="right" vertical="center"/>
      <protection locked="0"/>
    </xf>
    <xf numFmtId="0" fontId="18" fillId="49" borderId="223" xfId="0" applyFont="1" applyFill="1" applyBorder="1" applyAlignment="1">
      <alignment horizontal="left" vertical="center" wrapText="1" indent="3"/>
    </xf>
    <xf numFmtId="0" fontId="18" fillId="49" borderId="80" xfId="0" applyFont="1" applyFill="1" applyBorder="1" applyAlignment="1">
      <alignment horizontal="left" vertical="center" indent="3"/>
    </xf>
    <xf numFmtId="0" fontId="18" fillId="49" borderId="222" xfId="0" applyFont="1" applyFill="1" applyBorder="1" applyAlignment="1">
      <alignment horizontal="left" vertical="center" indent="3"/>
    </xf>
    <xf numFmtId="0" fontId="18" fillId="49" borderId="32" xfId="0" applyFont="1" applyFill="1" applyBorder="1" applyAlignment="1">
      <alignment horizontal="left" vertical="center" indent="3"/>
    </xf>
    <xf numFmtId="167" fontId="38" fillId="59" borderId="272" xfId="48" applyBorder="1">
      <alignment horizontal="right"/>
      <protection locked="0"/>
    </xf>
    <xf numFmtId="167" fontId="38" fillId="59" borderId="273" xfId="48" applyBorder="1">
      <alignment horizontal="right"/>
      <protection locked="0"/>
    </xf>
    <xf numFmtId="167" fontId="38" fillId="59" borderId="274" xfId="48" applyBorder="1">
      <alignment horizontal="right"/>
      <protection locked="0"/>
    </xf>
    <xf numFmtId="0" fontId="18" fillId="49" borderId="222" xfId="0" applyFont="1" applyFill="1" applyBorder="1" applyAlignment="1">
      <alignment horizontal="left" vertical="center" wrapText="1" indent="4"/>
    </xf>
    <xf numFmtId="0" fontId="18" fillId="0" borderId="230" xfId="49" applyBorder="1" applyAlignment="1">
      <alignment horizontal="left" vertical="center" indent="4"/>
    </xf>
    <xf numFmtId="0" fontId="18" fillId="0" borderId="275" xfId="49" applyBorder="1" applyAlignment="1">
      <alignment horizontal="left" vertical="center" indent="1"/>
    </xf>
    <xf numFmtId="0" fontId="18" fillId="0" borderId="228" xfId="49" applyBorder="1" applyAlignment="1">
      <alignment horizontal="left" vertical="center" indent="4"/>
    </xf>
    <xf numFmtId="167" fontId="38" fillId="75" borderId="175" xfId="48" applyFill="1" applyBorder="1">
      <alignment horizontal="right"/>
      <protection locked="0"/>
    </xf>
    <xf numFmtId="167" fontId="38" fillId="75" borderId="190" xfId="48" applyFill="1" applyBorder="1">
      <alignment horizontal="right"/>
      <protection locked="0"/>
    </xf>
    <xf numFmtId="167" fontId="38" fillId="59" borderId="276" xfId="48" applyBorder="1">
      <alignment horizontal="right"/>
      <protection locked="0"/>
    </xf>
    <xf numFmtId="0" fontId="18" fillId="0" borderId="277" xfId="49" applyBorder="1" applyAlignment="1">
      <alignment horizontal="left" vertical="center" indent="1"/>
    </xf>
    <xf numFmtId="0" fontId="18" fillId="0" borderId="278" xfId="49" applyBorder="1" applyAlignment="1">
      <alignment horizontal="left" vertical="center" wrapText="1" indent="4"/>
    </xf>
    <xf numFmtId="0" fontId="18" fillId="0" borderId="279" xfId="49" applyBorder="1" applyAlignment="1">
      <alignment horizontal="left" vertical="center" wrapText="1" indent="4"/>
    </xf>
    <xf numFmtId="170" fontId="0" fillId="60" borderId="22" xfId="1" applyNumberFormat="1" applyFont="1" applyFill="1" applyBorder="1"/>
    <xf numFmtId="170" fontId="0" fillId="60" borderId="90" xfId="1" applyNumberFormat="1" applyFont="1" applyFill="1" applyBorder="1"/>
    <xf numFmtId="170" fontId="0" fillId="60" borderId="52" xfId="1" applyNumberFormat="1" applyFont="1" applyFill="1" applyBorder="1"/>
    <xf numFmtId="49" fontId="18" fillId="69" borderId="27" xfId="55" applyBorder="1">
      <alignment horizontal="left" vertical="center"/>
      <protection locked="0"/>
    </xf>
    <xf numFmtId="49" fontId="18" fillId="69" borderId="21" xfId="55" applyBorder="1">
      <alignment horizontal="left" vertical="center"/>
      <protection locked="0"/>
    </xf>
    <xf numFmtId="170" fontId="0" fillId="60" borderId="28" xfId="1" applyNumberFormat="1" applyFont="1" applyFill="1" applyBorder="1"/>
    <xf numFmtId="170" fontId="74" fillId="70" borderId="151" xfId="51" applyBorder="1">
      <alignment horizontal="right" vertical="center"/>
      <protection locked="0"/>
    </xf>
    <xf numFmtId="170" fontId="0" fillId="60" borderId="117" xfId="1" applyNumberFormat="1" applyFont="1" applyFill="1" applyBorder="1"/>
    <xf numFmtId="170" fontId="74" fillId="70" borderId="206" xfId="51" applyBorder="1">
      <alignment horizontal="right" vertical="center"/>
      <protection locked="0"/>
    </xf>
    <xf numFmtId="49" fontId="18" fillId="69" borderId="119" xfId="55" applyBorder="1">
      <alignment horizontal="left" vertical="center"/>
      <protection locked="0"/>
    </xf>
    <xf numFmtId="167" fontId="38" fillId="59" borderId="161" xfId="48" applyBorder="1">
      <alignment horizontal="right"/>
      <protection locked="0"/>
    </xf>
    <xf numFmtId="0" fontId="18" fillId="0" borderId="281" xfId="49" applyBorder="1">
      <alignment horizontal="left" vertical="center" wrapText="1" indent="1"/>
    </xf>
    <xf numFmtId="167" fontId="38" fillId="75" borderId="147" xfId="48" applyFill="1" applyBorder="1">
      <alignment horizontal="right"/>
      <protection locked="0"/>
    </xf>
    <xf numFmtId="0" fontId="19" fillId="0" borderId="14" xfId="0" applyFont="1" applyBorder="1" applyAlignment="1">
      <alignment horizontal="center"/>
    </xf>
    <xf numFmtId="170" fontId="0" fillId="60" borderId="185" xfId="1" applyNumberFormat="1" applyFont="1" applyFill="1" applyBorder="1"/>
    <xf numFmtId="170" fontId="0" fillId="60" borderId="186" xfId="1" applyNumberFormat="1" applyFont="1" applyFill="1" applyBorder="1"/>
    <xf numFmtId="170" fontId="0" fillId="60" borderId="246" xfId="1" applyNumberFormat="1" applyFont="1" applyFill="1" applyBorder="1"/>
    <xf numFmtId="170" fontId="74" fillId="70" borderId="205" xfId="51" applyBorder="1">
      <alignment horizontal="right" vertical="center"/>
      <protection locked="0"/>
    </xf>
    <xf numFmtId="170" fontId="74" fillId="70" borderId="207" xfId="51" applyBorder="1">
      <alignment horizontal="right" vertical="center"/>
      <protection locked="0"/>
    </xf>
    <xf numFmtId="0" fontId="18" fillId="49" borderId="260" xfId="0" applyFont="1" applyFill="1" applyBorder="1" applyAlignment="1">
      <alignment horizontal="right" vertical="center" wrapText="1" indent="2"/>
    </xf>
    <xf numFmtId="167" fontId="38" fillId="59" borderId="282" xfId="48" applyBorder="1">
      <alignment horizontal="right"/>
      <protection locked="0"/>
    </xf>
    <xf numFmtId="167" fontId="38" fillId="59" borderId="283" xfId="48" applyBorder="1">
      <alignment horizontal="right"/>
      <protection locked="0"/>
    </xf>
    <xf numFmtId="167" fontId="38" fillId="59" borderId="284" xfId="48" applyBorder="1">
      <alignment horizontal="right"/>
      <protection locked="0"/>
    </xf>
    <xf numFmtId="0" fontId="19" fillId="57" borderId="271" xfId="46" applyBorder="1">
      <alignment vertical="center"/>
    </xf>
    <xf numFmtId="167" fontId="38" fillId="59" borderId="285" xfId="48" applyBorder="1">
      <alignment horizontal="right"/>
      <protection locked="0"/>
    </xf>
    <xf numFmtId="167" fontId="38" fillId="59" borderId="286" xfId="48" applyBorder="1">
      <alignment horizontal="right"/>
      <protection locked="0"/>
    </xf>
    <xf numFmtId="167" fontId="38" fillId="59" borderId="287" xfId="48" applyBorder="1">
      <alignment horizontal="right"/>
      <protection locked="0"/>
    </xf>
    <xf numFmtId="0" fontId="18" fillId="49" borderId="78" xfId="0" applyFont="1" applyFill="1" applyBorder="1" applyAlignment="1">
      <alignment horizontal="right" vertical="center" wrapText="1" indent="2"/>
    </xf>
    <xf numFmtId="167" fontId="38" fillId="59" borderId="288" xfId="48" applyBorder="1">
      <alignment horizontal="right"/>
      <protection locked="0"/>
    </xf>
    <xf numFmtId="167" fontId="38" fillId="59" borderId="289" xfId="48" applyBorder="1">
      <alignment horizontal="right"/>
      <protection locked="0"/>
    </xf>
    <xf numFmtId="167" fontId="38" fillId="59" borderId="290" xfId="48" applyBorder="1">
      <alignment horizontal="right"/>
      <protection locked="0"/>
    </xf>
    <xf numFmtId="167" fontId="38" fillId="59" borderId="291" xfId="48" applyBorder="1">
      <alignment horizontal="right"/>
      <protection locked="0"/>
    </xf>
    <xf numFmtId="0" fontId="18" fillId="49" borderId="80" xfId="0" applyFont="1" applyFill="1" applyBorder="1" applyAlignment="1">
      <alignment horizontal="right" vertical="center" wrapText="1" indent="2"/>
    </xf>
    <xf numFmtId="0" fontId="18" fillId="49" borderId="200" xfId="0" applyFont="1" applyFill="1" applyBorder="1" applyAlignment="1">
      <alignment horizontal="right" vertical="center" wrapText="1" indent="2"/>
    </xf>
    <xf numFmtId="167" fontId="38" fillId="59" borderId="292" xfId="48" applyBorder="1">
      <alignment horizontal="right"/>
      <protection locked="0"/>
    </xf>
    <xf numFmtId="49" fontId="18" fillId="69" borderId="78" xfId="55" applyBorder="1" applyAlignment="1">
      <alignment horizontal="left" vertical="center" indent="1"/>
      <protection locked="0"/>
    </xf>
    <xf numFmtId="0" fontId="18" fillId="49" borderId="0" xfId="0" applyFont="1" applyFill="1" applyAlignment="1">
      <alignment horizontal="left" vertical="center"/>
    </xf>
    <xf numFmtId="0" fontId="18" fillId="33" borderId="0" xfId="0" applyFont="1" applyFill="1" applyAlignment="1">
      <alignment horizontal="left" vertical="center"/>
    </xf>
    <xf numFmtId="0" fontId="0" fillId="0" borderId="0" xfId="0" applyAlignment="1">
      <alignment horizontal="left" vertical="center"/>
    </xf>
    <xf numFmtId="167" fontId="38" fillId="59" borderId="210" xfId="48" applyBorder="1">
      <alignment horizontal="right"/>
      <protection locked="0"/>
    </xf>
    <xf numFmtId="0" fontId="34" fillId="55" borderId="0" xfId="65">
      <alignment vertical="center"/>
    </xf>
    <xf numFmtId="167" fontId="38" fillId="59" borderId="211" xfId="48" applyBorder="1">
      <alignment horizontal="right"/>
      <protection locked="0"/>
    </xf>
    <xf numFmtId="167" fontId="38" fillId="59" borderId="212" xfId="48" applyBorder="1">
      <alignment horizontal="right"/>
      <protection locked="0"/>
    </xf>
    <xf numFmtId="167" fontId="38" fillId="59" borderId="213" xfId="48" applyBorder="1">
      <alignment horizontal="right"/>
      <protection locked="0"/>
    </xf>
    <xf numFmtId="49" fontId="18" fillId="69" borderId="49" xfId="55" applyBorder="1" applyAlignment="1">
      <alignment horizontal="left" indent="1"/>
      <protection locked="0"/>
    </xf>
    <xf numFmtId="49" fontId="18" fillId="69" borderId="55" xfId="55" applyBorder="1" applyAlignment="1">
      <alignment horizontal="left" indent="1"/>
      <protection locked="0"/>
    </xf>
    <xf numFmtId="49" fontId="18" fillId="69" borderId="60" xfId="55" applyBorder="1" applyAlignment="1">
      <alignment horizontal="left" indent="1"/>
      <protection locked="0"/>
    </xf>
    <xf numFmtId="167" fontId="38" fillId="66" borderId="169" xfId="48" applyFill="1" applyBorder="1" applyProtection="1">
      <alignment horizontal="right"/>
    </xf>
    <xf numFmtId="167" fontId="38" fillId="66" borderId="172" xfId="48" applyFill="1" applyBorder="1" applyProtection="1">
      <alignment horizontal="right"/>
    </xf>
    <xf numFmtId="0" fontId="18" fillId="0" borderId="75" xfId="49" applyAlignment="1">
      <alignment horizontal="left" vertical="center" indent="1"/>
    </xf>
    <xf numFmtId="49" fontId="18" fillId="69" borderId="223" xfId="55" applyBorder="1" applyAlignment="1">
      <alignment horizontal="left" vertical="center" indent="1"/>
      <protection locked="0"/>
    </xf>
    <xf numFmtId="0" fontId="116" fillId="0" borderId="0" xfId="0" applyFont="1"/>
    <xf numFmtId="0" fontId="115" fillId="0" borderId="14" xfId="0" applyFont="1" applyBorder="1" applyAlignment="1">
      <alignment horizontal="center"/>
    </xf>
    <xf numFmtId="49" fontId="18" fillId="69" borderId="32" xfId="55" applyBorder="1">
      <alignment horizontal="left" vertical="center"/>
      <protection locked="0"/>
    </xf>
    <xf numFmtId="0" fontId="18" fillId="0" borderId="270" xfId="49" applyBorder="1">
      <alignment horizontal="left" vertical="center" wrapText="1" indent="1"/>
    </xf>
    <xf numFmtId="0" fontId="18" fillId="0" borderId="294" xfId="49" applyBorder="1">
      <alignment horizontal="left" vertical="center" wrapText="1" indent="1"/>
    </xf>
    <xf numFmtId="0" fontId="18" fillId="0" borderId="295" xfId="49" applyBorder="1">
      <alignment horizontal="left" vertical="center" wrapText="1" indent="1"/>
    </xf>
    <xf numFmtId="0" fontId="18" fillId="0" borderId="296" xfId="49" applyBorder="1">
      <alignment horizontal="left" vertical="center" wrapText="1" indent="1"/>
    </xf>
    <xf numFmtId="0" fontId="18" fillId="0" borderId="297" xfId="49" applyBorder="1">
      <alignment horizontal="left" vertical="center" wrapText="1" indent="1"/>
    </xf>
    <xf numFmtId="167" fontId="38" fillId="75" borderId="27" xfId="48" applyFill="1" applyBorder="1">
      <alignment horizontal="right"/>
      <protection locked="0"/>
    </xf>
    <xf numFmtId="167" fontId="38" fillId="75" borderId="70" xfId="48" applyFill="1" applyBorder="1">
      <alignment horizontal="right"/>
      <protection locked="0"/>
    </xf>
    <xf numFmtId="167" fontId="38" fillId="75" borderId="186" xfId="48" applyFill="1" applyBorder="1">
      <alignment horizontal="right"/>
      <protection locked="0"/>
    </xf>
    <xf numFmtId="167" fontId="38" fillId="75" borderId="28" xfId="48" applyFill="1" applyBorder="1">
      <alignment horizontal="right"/>
      <protection locked="0"/>
    </xf>
    <xf numFmtId="167" fontId="38" fillId="75" borderId="29" xfId="48" applyFill="1" applyBorder="1">
      <alignment horizontal="right"/>
      <protection locked="0"/>
    </xf>
    <xf numFmtId="0" fontId="18" fillId="0" borderId="298" xfId="49" applyBorder="1" applyAlignment="1">
      <alignment horizontal="left" vertical="center" indent="1"/>
    </xf>
    <xf numFmtId="0" fontId="18" fillId="0" borderId="297" xfId="49" applyBorder="1" applyAlignment="1">
      <alignment horizontal="left" vertical="center" indent="1"/>
    </xf>
    <xf numFmtId="49" fontId="18" fillId="69" borderId="299" xfId="55" applyBorder="1" applyAlignment="1">
      <alignment horizontal="left" indent="1"/>
      <protection locked="0"/>
    </xf>
    <xf numFmtId="49" fontId="18" fillId="69" borderId="300" xfId="55" applyBorder="1" applyAlignment="1">
      <alignment horizontal="left" indent="1"/>
      <protection locked="0"/>
    </xf>
    <xf numFmtId="49" fontId="18" fillId="69" borderId="301" xfId="55" applyBorder="1" applyAlignment="1">
      <alignment horizontal="left" indent="1"/>
      <protection locked="0"/>
    </xf>
    <xf numFmtId="49" fontId="18" fillId="69" borderId="21" xfId="55" applyBorder="1" applyAlignment="1">
      <alignment vertical="top"/>
      <protection locked="0"/>
    </xf>
    <xf numFmtId="49" fontId="18" fillId="69" borderId="27" xfId="55" applyBorder="1" applyAlignment="1">
      <alignment vertical="top"/>
      <protection locked="0"/>
    </xf>
    <xf numFmtId="49" fontId="18" fillId="69" borderId="32" xfId="55" applyBorder="1" applyAlignment="1">
      <alignment vertical="top"/>
      <protection locked="0"/>
    </xf>
    <xf numFmtId="167" fontId="38" fillId="75" borderId="266" xfId="48" applyFill="1" applyBorder="1">
      <alignment horizontal="right"/>
      <protection locked="0"/>
    </xf>
    <xf numFmtId="167" fontId="38" fillId="59" borderId="26" xfId="48" applyBorder="1">
      <alignment horizontal="right"/>
      <protection locked="0"/>
    </xf>
    <xf numFmtId="167" fontId="38" fillId="59" borderId="280" xfId="48" applyBorder="1">
      <alignment horizontal="right"/>
      <protection locked="0"/>
    </xf>
    <xf numFmtId="170" fontId="74" fillId="70" borderId="89" xfId="51" applyBorder="1">
      <alignment horizontal="right" vertical="center"/>
      <protection locked="0"/>
    </xf>
    <xf numFmtId="170" fontId="74" fillId="70" borderId="93" xfId="51" applyBorder="1">
      <alignment horizontal="right" vertical="center"/>
      <protection locked="0"/>
    </xf>
    <xf numFmtId="170" fontId="74" fillId="70" borderId="94" xfId="51" applyBorder="1">
      <alignment horizontal="right" vertical="center"/>
      <protection locked="0"/>
    </xf>
    <xf numFmtId="49" fontId="118" fillId="70" borderId="16" xfId="51" applyNumberFormat="1" applyFont="1" applyBorder="1">
      <alignment horizontal="right" vertical="center"/>
      <protection locked="0"/>
    </xf>
    <xf numFmtId="167" fontId="38" fillId="59" borderId="302" xfId="48" applyBorder="1">
      <alignment horizontal="right"/>
      <protection locked="0"/>
    </xf>
    <xf numFmtId="167" fontId="38" fillId="59" borderId="303" xfId="48" applyBorder="1">
      <alignment horizontal="right"/>
      <protection locked="0"/>
    </xf>
    <xf numFmtId="167" fontId="38" fillId="59" borderId="304" xfId="48" applyBorder="1">
      <alignment horizontal="right"/>
      <protection locked="0"/>
    </xf>
    <xf numFmtId="167" fontId="0" fillId="83" borderId="174" xfId="48" applyFont="1" applyFill="1" applyBorder="1">
      <alignment horizontal="right"/>
      <protection locked="0"/>
    </xf>
    <xf numFmtId="0" fontId="120" fillId="84" borderId="0" xfId="0" applyFont="1" applyFill="1" applyAlignment="1">
      <alignment vertical="center"/>
    </xf>
    <xf numFmtId="0" fontId="0" fillId="84" borderId="0" xfId="0" applyFill="1"/>
    <xf numFmtId="0" fontId="121" fillId="43" borderId="10" xfId="0" applyFont="1" applyFill="1" applyBorder="1" applyAlignment="1">
      <alignment horizontal="center"/>
    </xf>
    <xf numFmtId="0" fontId="121" fillId="43" borderId="20" xfId="0" applyFont="1" applyFill="1" applyBorder="1" applyAlignment="1">
      <alignment horizontal="center"/>
    </xf>
    <xf numFmtId="0" fontId="121" fillId="43" borderId="26" xfId="0" applyFont="1" applyFill="1" applyBorder="1" applyAlignment="1">
      <alignment horizontal="center"/>
    </xf>
    <xf numFmtId="0" fontId="0" fillId="76" borderId="0" xfId="0" applyFill="1"/>
    <xf numFmtId="0" fontId="122" fillId="85" borderId="0" xfId="0" applyFont="1" applyFill="1"/>
    <xf numFmtId="0" fontId="16" fillId="0" borderId="0" xfId="0" applyFont="1"/>
    <xf numFmtId="0" fontId="1" fillId="0" borderId="0" xfId="0" quotePrefix="1" applyFont="1"/>
    <xf numFmtId="10" fontId="38" fillId="59" borderId="0" xfId="66" applyBorder="1">
      <alignment horizontal="right"/>
      <protection locked="0"/>
    </xf>
    <xf numFmtId="49" fontId="18" fillId="43" borderId="28" xfId="67" applyAlignment="1" applyProtection="1"/>
    <xf numFmtId="0" fontId="123" fillId="86" borderId="0" xfId="0" applyFont="1" applyFill="1" applyAlignment="1">
      <alignment horizontal="left"/>
    </xf>
    <xf numFmtId="0" fontId="94" fillId="84" borderId="36" xfId="0" applyFont="1" applyFill="1" applyBorder="1" applyAlignment="1">
      <alignment horizontal="center" vertical="center" wrapText="1"/>
    </xf>
    <xf numFmtId="0" fontId="20" fillId="47" borderId="61" xfId="0" quotePrefix="1" applyFont="1" applyFill="1" applyBorder="1"/>
    <xf numFmtId="0" fontId="20" fillId="47" borderId="61" xfId="0" applyFont="1" applyFill="1" applyBorder="1"/>
    <xf numFmtId="0" fontId="20" fillId="47" borderId="208" xfId="0" applyFont="1" applyFill="1" applyBorder="1"/>
    <xf numFmtId="0" fontId="20" fillId="47" borderId="62" xfId="0" applyFont="1" applyFill="1" applyBorder="1"/>
    <xf numFmtId="0" fontId="20" fillId="47" borderId="55" xfId="0" applyFont="1" applyFill="1" applyBorder="1"/>
    <xf numFmtId="0" fontId="20" fillId="0" borderId="55" xfId="0" applyFont="1" applyBorder="1"/>
    <xf numFmtId="0" fontId="20" fillId="0" borderId="65" xfId="0" applyFont="1" applyBorder="1"/>
    <xf numFmtId="0" fontId="20" fillId="0" borderId="60" xfId="0" applyFont="1" applyBorder="1"/>
    <xf numFmtId="0" fontId="20" fillId="44" borderId="46" xfId="0" applyFont="1" applyFill="1" applyBorder="1" applyAlignment="1">
      <alignment horizontal="left" vertical="top" wrapText="1"/>
    </xf>
    <xf numFmtId="0" fontId="20" fillId="47" borderId="49" xfId="0" applyFont="1" applyFill="1" applyBorder="1"/>
    <xf numFmtId="0" fontId="20" fillId="47" borderId="69" xfId="0" applyFont="1" applyFill="1" applyBorder="1"/>
    <xf numFmtId="0" fontId="20" fillId="47" borderId="71" xfId="0" applyFont="1" applyFill="1" applyBorder="1"/>
    <xf numFmtId="0" fontId="20" fillId="47" borderId="73" xfId="0" applyFont="1" applyFill="1" applyBorder="1"/>
    <xf numFmtId="0" fontId="20" fillId="47" borderId="60" xfId="0" applyFont="1" applyFill="1" applyBorder="1"/>
    <xf numFmtId="0" fontId="125" fillId="0" borderId="0" xfId="0" applyFont="1"/>
    <xf numFmtId="1" fontId="66" fillId="49" borderId="0" xfId="0" applyNumberFormat="1" applyFont="1" applyFill="1"/>
    <xf numFmtId="0" fontId="16" fillId="44" borderId="36" xfId="0" applyFont="1" applyFill="1" applyBorder="1" applyAlignment="1">
      <alignment horizontal="left" vertical="top" wrapText="1"/>
    </xf>
    <xf numFmtId="0" fontId="24" fillId="44" borderId="36" xfId="0" applyFont="1" applyFill="1" applyBorder="1" applyAlignment="1">
      <alignment horizontal="left" vertical="top" wrapText="1"/>
    </xf>
    <xf numFmtId="0" fontId="24" fillId="60" borderId="36" xfId="0" applyFont="1" applyFill="1" applyBorder="1" applyAlignment="1">
      <alignment horizontal="left" vertical="center" wrapText="1"/>
    </xf>
    <xf numFmtId="0" fontId="19" fillId="60" borderId="36" xfId="0" applyFont="1" applyFill="1" applyBorder="1" applyAlignment="1">
      <alignment horizontal="center" vertical="center" wrapText="1"/>
    </xf>
    <xf numFmtId="0" fontId="0" fillId="52" borderId="21" xfId="0" applyFill="1" applyBorder="1"/>
    <xf numFmtId="0" fontId="0" fillId="52" borderId="22" xfId="0" applyFill="1" applyBorder="1" applyProtection="1">
      <protection locked="0"/>
    </xf>
    <xf numFmtId="49" fontId="0" fillId="52" borderId="22" xfId="0" applyNumberFormat="1" applyFill="1" applyBorder="1"/>
    <xf numFmtId="0" fontId="0" fillId="52" borderId="22" xfId="0" applyFill="1" applyBorder="1" applyAlignment="1">
      <alignment vertical="center"/>
    </xf>
    <xf numFmtId="49" fontId="0" fillId="52" borderId="107" xfId="0" applyNumberFormat="1" applyFill="1" applyBorder="1"/>
    <xf numFmtId="0" fontId="18" fillId="66" borderId="21" xfId="0" applyFont="1" applyFill="1" applyBorder="1" applyAlignment="1">
      <alignment horizontal="left"/>
    </xf>
    <xf numFmtId="0" fontId="38" fillId="60" borderId="22" xfId="0" applyFont="1" applyFill="1" applyBorder="1"/>
    <xf numFmtId="0" fontId="0" fillId="60" borderId="23" xfId="0" applyFill="1" applyBorder="1" applyAlignment="1">
      <alignment horizontal="left" vertical="center"/>
    </xf>
    <xf numFmtId="0" fontId="0" fillId="0" borderId="79" xfId="0" applyBorder="1" applyAlignment="1">
      <alignment horizontal="left" vertical="center"/>
    </xf>
    <xf numFmtId="0" fontId="0" fillId="52" borderId="27" xfId="0" applyFill="1" applyBorder="1"/>
    <xf numFmtId="0" fontId="0" fillId="52" borderId="28" xfId="0" applyFill="1" applyBorder="1" applyProtection="1">
      <protection locked="0"/>
    </xf>
    <xf numFmtId="0" fontId="0" fillId="52" borderId="28" xfId="0" applyFill="1" applyBorder="1"/>
    <xf numFmtId="0" fontId="0" fillId="52" borderId="109" xfId="0" applyFill="1" applyBorder="1"/>
    <xf numFmtId="0" fontId="18" fillId="66" borderId="27" xfId="0" applyFont="1" applyFill="1" applyBorder="1" applyAlignment="1">
      <alignment horizontal="left"/>
    </xf>
    <xf numFmtId="0" fontId="38" fillId="60" borderId="28" xfId="0" applyFont="1" applyFill="1" applyBorder="1"/>
    <xf numFmtId="0" fontId="0" fillId="60" borderId="161" xfId="0" applyFill="1" applyBorder="1" applyAlignment="1">
      <alignment horizontal="left" vertical="center"/>
    </xf>
    <xf numFmtId="0" fontId="0" fillId="0" borderId="81" xfId="0" applyBorder="1" applyAlignment="1">
      <alignment horizontal="left" vertical="center"/>
    </xf>
    <xf numFmtId="0" fontId="0" fillId="52" borderId="28" xfId="0" applyFill="1" applyBorder="1" applyAlignment="1">
      <alignment vertical="center"/>
    </xf>
    <xf numFmtId="0" fontId="0" fillId="52" borderId="109" xfId="0" applyFill="1" applyBorder="1" applyAlignment="1">
      <alignment vertical="center"/>
    </xf>
    <xf numFmtId="0" fontId="0" fillId="60" borderId="293" xfId="0" applyFill="1" applyBorder="1"/>
    <xf numFmtId="0" fontId="0" fillId="0" borderId="221" xfId="0" applyBorder="1"/>
    <xf numFmtId="0" fontId="0" fillId="60" borderId="29" xfId="0" applyFill="1" applyBorder="1"/>
    <xf numFmtId="0" fontId="0" fillId="0" borderId="305" xfId="0" applyBorder="1"/>
    <xf numFmtId="0" fontId="0" fillId="60" borderId="29" xfId="0" applyFill="1" applyBorder="1" applyAlignment="1">
      <alignment horizontal="left" vertical="center"/>
    </xf>
    <xf numFmtId="1" fontId="20" fillId="49" borderId="28" xfId="0" applyNumberFormat="1" applyFont="1" applyFill="1" applyBorder="1"/>
    <xf numFmtId="0" fontId="0" fillId="60" borderId="161" xfId="0" applyFill="1" applyBorder="1"/>
    <xf numFmtId="0" fontId="0" fillId="0" borderId="109" xfId="0" applyBorder="1"/>
    <xf numFmtId="0" fontId="0" fillId="60" borderId="306" xfId="0" applyFill="1" applyBorder="1" applyAlignment="1">
      <alignment horizontal="left" vertical="center"/>
    </xf>
    <xf numFmtId="0" fontId="0" fillId="0" borderId="105" xfId="0" applyBorder="1" applyAlignment="1">
      <alignment horizontal="left" vertical="center"/>
    </xf>
    <xf numFmtId="0" fontId="20" fillId="49" borderId="28" xfId="0" applyFont="1" applyFill="1" applyBorder="1"/>
    <xf numFmtId="0" fontId="0" fillId="60" borderId="147" xfId="0" applyFill="1" applyBorder="1" applyAlignment="1">
      <alignment horizontal="left" vertical="center"/>
    </xf>
    <xf numFmtId="0" fontId="0" fillId="49" borderId="87" xfId="0" applyFill="1" applyBorder="1" applyAlignment="1">
      <alignment vertical="center"/>
    </xf>
    <xf numFmtId="0" fontId="0" fillId="56" borderId="38" xfId="0" applyFill="1" applyBorder="1"/>
    <xf numFmtId="0" fontId="0" fillId="60" borderId="147" xfId="0" applyFill="1" applyBorder="1"/>
    <xf numFmtId="0" fontId="0" fillId="49" borderId="79" xfId="0" applyFill="1" applyBorder="1" applyAlignment="1">
      <alignment horizontal="left" vertical="center"/>
    </xf>
    <xf numFmtId="0" fontId="0" fillId="49" borderId="221" xfId="0" applyFill="1" applyBorder="1" applyAlignment="1">
      <alignment horizontal="left" vertical="center"/>
    </xf>
    <xf numFmtId="0" fontId="0" fillId="0" borderId="116" xfId="0" applyBorder="1"/>
    <xf numFmtId="0" fontId="0" fillId="49" borderId="81" xfId="0" applyFill="1" applyBorder="1" applyAlignment="1">
      <alignment horizontal="left" vertical="center"/>
    </xf>
    <xf numFmtId="0" fontId="0" fillId="49" borderId="105" xfId="0" applyFill="1" applyBorder="1" applyAlignment="1">
      <alignment horizontal="left" vertical="center"/>
    </xf>
    <xf numFmtId="0" fontId="0" fillId="0" borderId="28" xfId="0" applyBorder="1" applyAlignment="1">
      <alignment vertical="center"/>
    </xf>
    <xf numFmtId="0" fontId="0" fillId="49" borderId="39" xfId="0" applyFill="1" applyBorder="1" applyAlignment="1">
      <alignment vertical="top"/>
    </xf>
    <xf numFmtId="0" fontId="0" fillId="49" borderId="116" xfId="0" applyFill="1" applyBorder="1" applyAlignment="1">
      <alignment horizontal="left" vertical="center"/>
    </xf>
    <xf numFmtId="0" fontId="0" fillId="49" borderId="29" xfId="0" applyFill="1" applyBorder="1" applyAlignment="1">
      <alignment horizontal="left" vertical="center"/>
    </xf>
    <xf numFmtId="0" fontId="0" fillId="0" borderId="32" xfId="0" applyBorder="1"/>
    <xf numFmtId="0" fontId="0" fillId="0" borderId="31" xfId="0" applyBorder="1"/>
    <xf numFmtId="0" fontId="0" fillId="0" borderId="33" xfId="0" applyBorder="1" applyAlignment="1">
      <alignment vertical="center"/>
    </xf>
    <xf numFmtId="0" fontId="0" fillId="49" borderId="34" xfId="0" applyFill="1" applyBorder="1" applyAlignment="1">
      <alignment horizontal="left" vertical="center"/>
    </xf>
    <xf numFmtId="0" fontId="0" fillId="49" borderId="86" xfId="0" applyFill="1" applyBorder="1" applyAlignment="1">
      <alignment vertical="top"/>
    </xf>
    <xf numFmtId="0" fontId="0" fillId="49" borderId="208" xfId="0" applyFill="1" applyBorder="1" applyAlignment="1">
      <alignment vertical="center"/>
    </xf>
    <xf numFmtId="0" fontId="0" fillId="49" borderId="55" xfId="0" applyFill="1" applyBorder="1" applyAlignment="1">
      <alignment vertical="center"/>
    </xf>
    <xf numFmtId="0" fontId="0" fillId="49" borderId="60" xfId="0" applyFill="1" applyBorder="1" applyAlignment="1">
      <alignment vertical="center"/>
    </xf>
    <xf numFmtId="0" fontId="0" fillId="56" borderId="15" xfId="0" applyFill="1" applyBorder="1"/>
    <xf numFmtId="49" fontId="0" fillId="52" borderId="23" xfId="0" applyNumberFormat="1" applyFill="1" applyBorder="1"/>
    <xf numFmtId="0" fontId="0" fillId="52" borderId="29" xfId="0" applyFill="1" applyBorder="1"/>
    <xf numFmtId="0" fontId="0" fillId="52" borderId="29" xfId="0" applyFill="1" applyBorder="1" applyAlignment="1">
      <alignment vertical="center"/>
    </xf>
    <xf numFmtId="0" fontId="0" fillId="0" borderId="29" xfId="0" applyBorder="1" applyAlignment="1">
      <alignment vertical="center"/>
    </xf>
    <xf numFmtId="0" fontId="0" fillId="52" borderId="33" xfId="0" applyFill="1" applyBorder="1"/>
    <xf numFmtId="0" fontId="0" fillId="0" borderId="34" xfId="0" applyBorder="1" applyAlignment="1">
      <alignment vertical="center"/>
    </xf>
    <xf numFmtId="0" fontId="127" fillId="86" borderId="0" xfId="0" applyFont="1" applyFill="1" applyAlignment="1">
      <alignment horizontal="left"/>
    </xf>
    <xf numFmtId="0" fontId="0" fillId="86" borderId="0" xfId="0" applyFill="1"/>
    <xf numFmtId="0" fontId="19" fillId="45" borderId="47" xfId="0" applyFont="1" applyFill="1" applyBorder="1" applyAlignment="1">
      <alignment vertical="center" wrapText="1"/>
    </xf>
    <xf numFmtId="0" fontId="19" fillId="87" borderId="48" xfId="0" applyFont="1" applyFill="1" applyBorder="1" applyAlignment="1">
      <alignment vertical="center" wrapText="1"/>
    </xf>
    <xf numFmtId="0" fontId="19" fillId="87" borderId="48" xfId="0" applyFont="1" applyFill="1" applyBorder="1" applyAlignment="1">
      <alignment horizontal="left" vertical="center" wrapText="1"/>
    </xf>
    <xf numFmtId="0" fontId="19" fillId="45" borderId="48" xfId="0" applyFont="1" applyFill="1" applyBorder="1" applyAlignment="1">
      <alignment vertical="center" wrapText="1"/>
    </xf>
    <xf numFmtId="0" fontId="19" fillId="45" borderId="153" xfId="0" applyFont="1" applyFill="1" applyBorder="1" applyAlignment="1">
      <alignment vertical="center" wrapText="1"/>
    </xf>
    <xf numFmtId="0" fontId="31" fillId="52" borderId="21" xfId="0" applyFont="1" applyFill="1" applyBorder="1" applyAlignment="1">
      <alignment wrapText="1"/>
    </xf>
    <xf numFmtId="0" fontId="18" fillId="52" borderId="22" xfId="0" applyFont="1" applyFill="1" applyBorder="1" applyAlignment="1">
      <alignment wrapText="1"/>
    </xf>
    <xf numFmtId="0" fontId="32" fillId="52" borderId="22" xfId="0" applyFont="1" applyFill="1" applyBorder="1" applyAlignment="1">
      <alignment vertical="center"/>
    </xf>
    <xf numFmtId="0" fontId="33" fillId="52" borderId="22" xfId="0" applyFont="1" applyFill="1" applyBorder="1" applyAlignment="1">
      <alignment vertical="center" wrapText="1"/>
    </xf>
    <xf numFmtId="0" fontId="33" fillId="52" borderId="23" xfId="0" applyFont="1" applyFill="1" applyBorder="1" applyAlignment="1">
      <alignment vertical="center" wrapText="1"/>
    </xf>
    <xf numFmtId="0" fontId="31" fillId="52" borderId="27" xfId="0" applyFont="1" applyFill="1" applyBorder="1" applyAlignment="1">
      <alignment wrapText="1"/>
    </xf>
    <xf numFmtId="0" fontId="18" fillId="52" borderId="28" xfId="0" applyFont="1" applyFill="1" applyBorder="1" applyAlignment="1">
      <alignment wrapText="1"/>
    </xf>
    <xf numFmtId="0" fontId="32" fillId="52" borderId="28" xfId="0" applyFont="1" applyFill="1" applyBorder="1" applyAlignment="1">
      <alignment vertical="center"/>
    </xf>
    <xf numFmtId="0" fontId="33" fillId="52" borderId="28" xfId="0" applyFont="1" applyFill="1" applyBorder="1" applyAlignment="1">
      <alignment vertical="center" wrapText="1"/>
    </xf>
    <xf numFmtId="0" fontId="33" fillId="52" borderId="29" xfId="0" applyFont="1" applyFill="1" applyBorder="1" applyAlignment="1">
      <alignment vertical="center" wrapText="1"/>
    </xf>
    <xf numFmtId="0" fontId="18" fillId="0" borderId="28" xfId="0" applyFont="1" applyBorder="1"/>
    <xf numFmtId="0" fontId="18" fillId="0" borderId="29" xfId="0" applyFont="1" applyBorder="1"/>
    <xf numFmtId="0" fontId="18" fillId="0" borderId="28" xfId="0" applyFont="1" applyBorder="1" applyAlignment="1">
      <alignment vertical="center"/>
    </xf>
    <xf numFmtId="0" fontId="18" fillId="0" borderId="27" xfId="0" applyFont="1" applyBorder="1" applyAlignment="1">
      <alignment vertical="center"/>
    </xf>
    <xf numFmtId="0" fontId="18" fillId="0" borderId="32" xfId="0" applyFont="1" applyBorder="1" applyAlignment="1">
      <alignment vertical="center"/>
    </xf>
    <xf numFmtId="0" fontId="18" fillId="52" borderId="33" xfId="0" applyFont="1" applyFill="1" applyBorder="1" applyAlignment="1">
      <alignment wrapText="1"/>
    </xf>
    <xf numFmtId="0" fontId="18" fillId="0" borderId="33" xfId="0" applyFont="1" applyBorder="1" applyAlignment="1">
      <alignment vertical="center"/>
    </xf>
    <xf numFmtId="0" fontId="18" fillId="0" borderId="33" xfId="0" applyFont="1" applyBorder="1"/>
    <xf numFmtId="0" fontId="18" fillId="0" borderId="34" xfId="0" applyFont="1" applyBorder="1"/>
    <xf numFmtId="0" fontId="104" fillId="0" borderId="0" xfId="0" applyFont="1" applyAlignment="1">
      <alignment horizontal="right"/>
    </xf>
    <xf numFmtId="0" fontId="19" fillId="87" borderId="46" xfId="0" applyFont="1" applyFill="1" applyBorder="1" applyAlignment="1">
      <alignment vertical="center" wrapText="1"/>
    </xf>
    <xf numFmtId="0" fontId="22" fillId="52" borderId="208" xfId="0" applyFont="1" applyFill="1" applyBorder="1" applyAlignment="1">
      <alignment horizontal="center" vertical="top" wrapText="1"/>
    </xf>
    <xf numFmtId="0" fontId="22" fillId="52" borderId="55" xfId="0" applyFont="1" applyFill="1" applyBorder="1" applyAlignment="1">
      <alignment horizontal="center" vertical="top" wrapText="1"/>
    </xf>
    <xf numFmtId="0" fontId="20" fillId="52" borderId="60" xfId="0" applyFont="1" applyFill="1" applyBorder="1" applyAlignment="1">
      <alignment horizontal="center" vertical="center"/>
    </xf>
    <xf numFmtId="0" fontId="19" fillId="45" borderId="307" xfId="0" applyFont="1" applyFill="1" applyBorder="1" applyAlignment="1">
      <alignment vertical="center" wrapText="1"/>
    </xf>
    <xf numFmtId="0" fontId="32" fillId="52" borderId="49" xfId="0" applyFont="1" applyFill="1" applyBorder="1" applyAlignment="1">
      <alignment horizontal="center" vertical="center"/>
    </xf>
    <xf numFmtId="0" fontId="32" fillId="52" borderId="55" xfId="0" applyFont="1" applyFill="1" applyBorder="1" applyAlignment="1">
      <alignment horizontal="center" vertical="center"/>
    </xf>
    <xf numFmtId="0" fontId="32" fillId="52" borderId="60" xfId="0" applyFont="1" applyFill="1" applyBorder="1" applyAlignment="1">
      <alignment horizontal="center" vertical="center"/>
    </xf>
    <xf numFmtId="0" fontId="79" fillId="88" borderId="309" xfId="0" applyFont="1" applyFill="1" applyBorder="1" applyAlignment="1">
      <alignment horizontal="center" vertical="center" wrapText="1"/>
    </xf>
    <xf numFmtId="0" fontId="79" fillId="88" borderId="310" xfId="0" applyFont="1" applyFill="1" applyBorder="1" applyAlignment="1">
      <alignment horizontal="center" vertical="center" wrapText="1"/>
    </xf>
    <xf numFmtId="0" fontId="79" fillId="88" borderId="311" xfId="0" applyFont="1" applyFill="1" applyBorder="1" applyAlignment="1">
      <alignment horizontal="center" vertical="center" wrapText="1"/>
    </xf>
    <xf numFmtId="0" fontId="0" fillId="47" borderId="37" xfId="0" applyFill="1" applyBorder="1" applyAlignment="1">
      <alignment horizontal="center"/>
    </xf>
    <xf numFmtId="0" fontId="0" fillId="47" borderId="0" xfId="0" applyFill="1" applyAlignment="1">
      <alignment horizontal="center"/>
    </xf>
    <xf numFmtId="0" fontId="0" fillId="47" borderId="52" xfId="0" applyFill="1" applyBorder="1" applyAlignment="1">
      <alignment horizontal="center" vertical="center" wrapText="1"/>
    </xf>
    <xf numFmtId="0" fontId="0" fillId="47" borderId="313" xfId="0" applyFill="1" applyBorder="1" applyAlignment="1">
      <alignment horizontal="center" vertical="center" wrapText="1"/>
    </xf>
    <xf numFmtId="0" fontId="0" fillId="47" borderId="27" xfId="0" applyFill="1" applyBorder="1" applyAlignment="1">
      <alignment horizontal="center" vertical="center" wrapText="1"/>
    </xf>
    <xf numFmtId="0" fontId="0" fillId="47" borderId="28" xfId="0" applyFill="1" applyBorder="1" applyAlignment="1">
      <alignment horizontal="center" vertical="center" wrapText="1"/>
    </xf>
    <xf numFmtId="0" fontId="0" fillId="0" borderId="314" xfId="0" applyBorder="1"/>
    <xf numFmtId="0" fontId="0" fillId="0" borderId="27" xfId="0" applyBorder="1" applyAlignment="1">
      <alignment vertical="center"/>
    </xf>
    <xf numFmtId="0" fontId="0" fillId="47" borderId="33" xfId="0" applyFill="1" applyBorder="1" applyAlignment="1">
      <alignment horizontal="center" vertical="center" wrapText="1"/>
    </xf>
    <xf numFmtId="0" fontId="0" fillId="0" borderId="315" xfId="0" applyBorder="1"/>
    <xf numFmtId="0" fontId="125" fillId="0" borderId="316" xfId="0" applyFont="1" applyBorder="1"/>
    <xf numFmtId="0" fontId="0" fillId="0" borderId="317" xfId="0" applyBorder="1"/>
    <xf numFmtId="0" fontId="13" fillId="89" borderId="0" xfId="0" applyFont="1" applyFill="1" applyAlignment="1">
      <alignment horizontal="centerContinuous"/>
    </xf>
    <xf numFmtId="0" fontId="79" fillId="88" borderId="318" xfId="0" applyFont="1" applyFill="1" applyBorder="1" applyAlignment="1">
      <alignment horizontal="center" vertical="center" wrapText="1"/>
    </xf>
    <xf numFmtId="0" fontId="79" fillId="88" borderId="319" xfId="0" applyFont="1" applyFill="1" applyBorder="1" applyAlignment="1">
      <alignment horizontal="center" vertical="center" wrapText="1"/>
    </xf>
    <xf numFmtId="0" fontId="79" fillId="88" borderId="320" xfId="0" applyFont="1" applyFill="1" applyBorder="1" applyAlignment="1">
      <alignment horizontal="center" vertical="center" wrapText="1"/>
    </xf>
    <xf numFmtId="0" fontId="0" fillId="47" borderId="54" xfId="0" applyFill="1" applyBorder="1" applyAlignment="1">
      <alignment horizontal="center"/>
    </xf>
    <xf numFmtId="0" fontId="0" fillId="0" borderId="52" xfId="0" applyBorder="1"/>
    <xf numFmtId="0" fontId="0" fillId="47" borderId="53" xfId="0" applyFill="1" applyBorder="1" applyAlignment="1">
      <alignment horizontal="center" vertical="center" wrapText="1"/>
    </xf>
    <xf numFmtId="0" fontId="0" fillId="47" borderId="58" xfId="0" applyFill="1" applyBorder="1" applyAlignment="1">
      <alignment horizontal="center"/>
    </xf>
    <xf numFmtId="0" fontId="0" fillId="47" borderId="59" xfId="0" applyFill="1" applyBorder="1" applyAlignment="1">
      <alignment horizontal="center" vertical="center" wrapText="1"/>
    </xf>
    <xf numFmtId="0" fontId="0" fillId="47" borderId="323" xfId="0" applyFill="1" applyBorder="1" applyAlignment="1">
      <alignment horizontal="center"/>
    </xf>
    <xf numFmtId="0" fontId="0" fillId="0" borderId="324" xfId="0" applyBorder="1"/>
    <xf numFmtId="0" fontId="0" fillId="0" borderId="325" xfId="0" applyBorder="1"/>
    <xf numFmtId="0" fontId="0" fillId="0" borderId="326" xfId="0" applyBorder="1"/>
    <xf numFmtId="0" fontId="79" fillId="88" borderId="46" xfId="0" applyFont="1" applyFill="1" applyBorder="1" applyAlignment="1">
      <alignment horizontal="center" vertical="center" wrapText="1"/>
    </xf>
    <xf numFmtId="0" fontId="0" fillId="47" borderId="55" xfId="0" applyFill="1" applyBorder="1" applyAlignment="1">
      <alignment horizontal="center"/>
    </xf>
    <xf numFmtId="0" fontId="0" fillId="47" borderId="60" xfId="0" applyFill="1" applyBorder="1" applyAlignment="1">
      <alignment horizontal="center"/>
    </xf>
    <xf numFmtId="0" fontId="79" fillId="90" borderId="253" xfId="0" applyFont="1" applyFill="1" applyBorder="1" applyAlignment="1">
      <alignment vertical="center" wrapText="1"/>
    </xf>
    <xf numFmtId="0" fontId="79" fillId="90" borderId="327" xfId="0" applyFont="1" applyFill="1" applyBorder="1" applyAlignment="1">
      <alignment vertical="center" wrapText="1"/>
    </xf>
    <xf numFmtId="0" fontId="79" fillId="90" borderId="328" xfId="0" applyFont="1" applyFill="1" applyBorder="1" applyAlignment="1">
      <alignment vertical="center" wrapText="1"/>
    </xf>
    <xf numFmtId="0" fontId="0" fillId="91" borderId="21" xfId="0" applyFill="1" applyBorder="1" applyAlignment="1">
      <alignment horizontal="center" vertical="center" wrapText="1"/>
    </xf>
    <xf numFmtId="0" fontId="0" fillId="91" borderId="22" xfId="0" applyFill="1" applyBorder="1" applyAlignment="1">
      <alignment horizontal="center" vertical="center" wrapText="1"/>
    </xf>
    <xf numFmtId="0" fontId="0" fillId="0" borderId="23" xfId="0" applyBorder="1"/>
    <xf numFmtId="0" fontId="0" fillId="91" borderId="27" xfId="0" applyFill="1" applyBorder="1" applyAlignment="1">
      <alignment horizontal="center" vertical="center" wrapText="1"/>
    </xf>
    <xf numFmtId="0" fontId="0" fillId="91" borderId="28" xfId="0" applyFill="1" applyBorder="1" applyAlignment="1">
      <alignment horizontal="center" vertical="center" wrapText="1"/>
    </xf>
    <xf numFmtId="0" fontId="0" fillId="0" borderId="29" xfId="0" applyBorder="1"/>
    <xf numFmtId="0" fontId="0" fillId="91" borderId="32" xfId="0" applyFill="1" applyBorder="1" applyAlignment="1">
      <alignment horizontal="center" vertical="center" wrapText="1"/>
    </xf>
    <xf numFmtId="0" fontId="0" fillId="0" borderId="34" xfId="0" applyBorder="1"/>
    <xf numFmtId="0" fontId="19" fillId="92" borderId="89" xfId="0" applyFont="1" applyFill="1" applyBorder="1" applyAlignment="1">
      <alignment horizontal="center" vertical="center" wrapText="1"/>
    </xf>
    <xf numFmtId="0" fontId="19" fillId="92" borderId="93" xfId="0" applyFont="1" applyFill="1" applyBorder="1" applyAlignment="1">
      <alignment horizontal="center" vertical="center" wrapText="1"/>
    </xf>
    <xf numFmtId="0" fontId="19" fillId="92" borderId="94" xfId="0" applyFont="1" applyFill="1" applyBorder="1" applyAlignment="1">
      <alignment horizontal="center" vertical="center" wrapText="1"/>
    </xf>
    <xf numFmtId="0" fontId="0" fillId="48" borderId="13" xfId="0" applyFill="1" applyBorder="1"/>
    <xf numFmtId="0" fontId="0" fillId="48" borderId="14" xfId="0" applyFill="1" applyBorder="1"/>
    <xf numFmtId="0" fontId="0" fillId="48" borderId="15" xfId="0" applyFill="1" applyBorder="1"/>
    <xf numFmtId="0" fontId="19" fillId="92" borderId="66" xfId="0" applyFont="1" applyFill="1" applyBorder="1" applyAlignment="1">
      <alignment horizontal="center" vertical="center" wrapText="1"/>
    </xf>
    <xf numFmtId="0" fontId="19" fillId="92" borderId="329" xfId="0" applyFont="1" applyFill="1" applyBorder="1" applyAlignment="1">
      <alignment horizontal="center" vertical="center" wrapText="1"/>
    </xf>
    <xf numFmtId="0" fontId="16" fillId="92" borderId="24" xfId="0" applyFont="1" applyFill="1" applyBorder="1" applyAlignment="1">
      <alignment vertical="center"/>
    </xf>
    <xf numFmtId="0" fontId="0" fillId="48" borderId="21" xfId="0" applyFill="1" applyBorder="1" applyAlignment="1">
      <alignment horizontal="left" vertical="center" wrapText="1"/>
    </xf>
    <xf numFmtId="0" fontId="0" fillId="48" borderId="22" xfId="0" applyFill="1" applyBorder="1" applyAlignment="1">
      <alignment horizontal="left"/>
    </xf>
    <xf numFmtId="0" fontId="0" fillId="48" borderId="23" xfId="0" applyFill="1" applyBorder="1" applyAlignment="1">
      <alignment horizontal="left"/>
    </xf>
    <xf numFmtId="0" fontId="0" fillId="48" borderId="27" xfId="0" applyFill="1" applyBorder="1" applyAlignment="1">
      <alignment horizontal="left" vertical="center" wrapText="1"/>
    </xf>
    <xf numFmtId="0" fontId="0" fillId="48" borderId="28" xfId="0" applyFill="1" applyBorder="1" applyAlignment="1">
      <alignment horizontal="left" vertical="top"/>
    </xf>
    <xf numFmtId="0" fontId="0" fillId="0" borderId="29" xfId="0" applyBorder="1" applyAlignment="1">
      <alignment horizontal="left"/>
    </xf>
    <xf numFmtId="0" fontId="0" fillId="48" borderId="32" xfId="0" applyFill="1" applyBorder="1" applyAlignment="1">
      <alignment horizontal="left" vertical="center" wrapText="1"/>
    </xf>
    <xf numFmtId="0" fontId="0" fillId="0" borderId="33" xfId="0" applyBorder="1" applyAlignment="1">
      <alignment horizontal="left" vertical="top"/>
    </xf>
    <xf numFmtId="0" fontId="0" fillId="0" borderId="34" xfId="0" applyBorder="1" applyAlignment="1">
      <alignment horizontal="left"/>
    </xf>
    <xf numFmtId="0" fontId="19" fillId="48" borderId="16" xfId="0" applyFont="1" applyFill="1" applyBorder="1" applyAlignment="1">
      <alignment vertical="center"/>
    </xf>
    <xf numFmtId="0" fontId="19" fillId="0" borderId="0" xfId="0" applyFont="1" applyAlignment="1">
      <alignment vertical="center"/>
    </xf>
    <xf numFmtId="0" fontId="18" fillId="0" borderId="0" xfId="0" applyFont="1" applyAlignment="1">
      <alignment horizontal="left" indent="3"/>
    </xf>
    <xf numFmtId="0" fontId="129" fillId="0" borderId="89" xfId="0" applyFont="1" applyBorder="1" applyAlignment="1">
      <alignment horizontal="center" vertical="center" wrapText="1"/>
    </xf>
    <xf numFmtId="0" fontId="129" fillId="0" borderId="93" xfId="0" applyFont="1" applyBorder="1" applyAlignment="1">
      <alignment horizontal="center" vertical="center" wrapText="1"/>
    </xf>
    <xf numFmtId="0" fontId="129" fillId="0" borderId="94" xfId="0" applyFont="1" applyBorder="1" applyAlignment="1">
      <alignment horizontal="center" vertical="center" wrapText="1"/>
    </xf>
    <xf numFmtId="3" fontId="19" fillId="60" borderId="330" xfId="0" applyNumberFormat="1" applyFont="1" applyFill="1" applyBorder="1" applyAlignment="1">
      <alignment horizontal="left" vertical="center" wrapText="1"/>
    </xf>
    <xf numFmtId="3" fontId="19" fillId="60" borderId="331" xfId="0" applyNumberFormat="1" applyFont="1" applyFill="1" applyBorder="1" applyAlignment="1" applyProtection="1">
      <alignment horizontal="left" vertical="center" wrapText="1"/>
      <protection locked="0"/>
    </xf>
    <xf numFmtId="168" fontId="19" fillId="60" borderId="331" xfId="0" applyNumberFormat="1" applyFont="1" applyFill="1" applyBorder="1" applyAlignment="1" applyProtection="1">
      <alignment horizontal="left" vertical="center" wrapText="1"/>
      <protection locked="0"/>
    </xf>
    <xf numFmtId="168" fontId="19" fillId="60" borderId="332" xfId="0" applyNumberFormat="1" applyFont="1" applyFill="1" applyBorder="1" applyAlignment="1" applyProtection="1">
      <alignment horizontal="left" vertical="center" wrapText="1"/>
      <protection locked="0"/>
    </xf>
    <xf numFmtId="0" fontId="129" fillId="0" borderId="10" xfId="0" applyFont="1" applyBorder="1" applyAlignment="1">
      <alignment horizontal="center" vertical="center" wrapText="1"/>
    </xf>
    <xf numFmtId="0" fontId="129" fillId="0" borderId="11" xfId="0" applyFont="1" applyBorder="1" applyAlignment="1">
      <alignment horizontal="center" vertical="center" wrapText="1"/>
    </xf>
    <xf numFmtId="0" fontId="129" fillId="0" borderId="12" xfId="0" applyFont="1" applyBorder="1" applyAlignment="1">
      <alignment horizontal="center" vertical="center" wrapText="1"/>
    </xf>
    <xf numFmtId="14" fontId="0" fillId="45" borderId="46" xfId="0" applyNumberFormat="1" applyFill="1" applyBorder="1" applyAlignment="1">
      <alignment horizontal="left" vertical="center"/>
    </xf>
    <xf numFmtId="0" fontId="129" fillId="0" borderId="16" xfId="0" applyFont="1" applyBorder="1" applyAlignment="1">
      <alignment horizontal="center" vertical="center"/>
    </xf>
    <xf numFmtId="0" fontId="129" fillId="0" borderId="18" xfId="0" applyFont="1" applyBorder="1" applyAlignment="1">
      <alignment horizontal="center" vertical="center"/>
    </xf>
    <xf numFmtId="0" fontId="129" fillId="0" borderId="19" xfId="0" applyFont="1" applyBorder="1" applyAlignment="1">
      <alignment horizontal="center" vertical="center"/>
    </xf>
    <xf numFmtId="14" fontId="19" fillId="45" borderId="46" xfId="0" applyNumberFormat="1" applyFont="1" applyFill="1" applyBorder="1" applyAlignment="1">
      <alignment horizontal="left" vertical="center"/>
    </xf>
    <xf numFmtId="0" fontId="130" fillId="0" borderId="16" xfId="0" applyFont="1" applyBorder="1" applyAlignment="1">
      <alignment horizontal="right" vertical="center"/>
    </xf>
    <xf numFmtId="0" fontId="46" fillId="51" borderId="0" xfId="0" applyFont="1" applyFill="1" applyAlignment="1">
      <alignment vertical="center"/>
    </xf>
    <xf numFmtId="0" fontId="16" fillId="51" borderId="0" xfId="0" applyFont="1" applyFill="1" applyAlignment="1">
      <alignment vertical="center"/>
    </xf>
    <xf numFmtId="0" fontId="130" fillId="0" borderId="46" xfId="0" applyFont="1" applyBorder="1" applyAlignment="1">
      <alignment horizontal="right"/>
    </xf>
    <xf numFmtId="169" fontId="19" fillId="45" borderId="98" xfId="0" applyNumberFormat="1" applyFont="1" applyFill="1" applyBorder="1" applyAlignment="1">
      <alignment horizontal="center" vertical="center" wrapText="1"/>
    </xf>
    <xf numFmtId="169" fontId="19" fillId="52" borderId="95" xfId="0" applyNumberFormat="1" applyFont="1" applyFill="1" applyBorder="1" applyAlignment="1">
      <alignment horizontal="left" vertical="center" wrapText="1"/>
    </xf>
    <xf numFmtId="0" fontId="18" fillId="0" borderId="0" xfId="0" applyFont="1" applyAlignment="1">
      <alignment horizontal="right" vertical="center"/>
    </xf>
    <xf numFmtId="169" fontId="19" fillId="52" borderId="333" xfId="0" applyNumberFormat="1" applyFont="1" applyFill="1" applyBorder="1" applyAlignment="1">
      <alignment horizontal="center" vertical="center" wrapText="1"/>
    </xf>
    <xf numFmtId="169" fontId="19" fillId="52" borderId="93" xfId="0" applyNumberFormat="1" applyFont="1" applyFill="1" applyBorder="1" applyAlignment="1">
      <alignment horizontal="left" vertical="center" wrapText="1"/>
    </xf>
    <xf numFmtId="169" fontId="45" fillId="49" borderId="333" xfId="0" applyNumberFormat="1" applyFont="1" applyFill="1" applyBorder="1"/>
    <xf numFmtId="0" fontId="131" fillId="0" borderId="0" xfId="0" applyFont="1" applyAlignment="1">
      <alignment vertical="center"/>
    </xf>
    <xf numFmtId="0" fontId="46" fillId="52" borderId="0" xfId="0" applyFont="1" applyFill="1"/>
    <xf numFmtId="0" fontId="131" fillId="52" borderId="0" xfId="0" applyFont="1" applyFill="1" applyAlignment="1">
      <alignment vertical="center"/>
    </xf>
    <xf numFmtId="0" fontId="0" fillId="0" borderId="0" xfId="0" applyAlignment="1">
      <alignment horizontal="left" vertical="top"/>
    </xf>
    <xf numFmtId="0" fontId="47" fillId="52" borderId="0" xfId="0" applyFont="1" applyFill="1" applyAlignment="1">
      <alignment vertical="top"/>
    </xf>
    <xf numFmtId="0" fontId="46" fillId="0" borderId="0" xfId="0" applyFont="1"/>
    <xf numFmtId="0" fontId="20" fillId="49" borderId="0" xfId="0" applyFont="1" applyFill="1" applyAlignment="1">
      <alignment horizontal="left"/>
    </xf>
    <xf numFmtId="14" fontId="0" fillId="0" borderId="0" xfId="0" applyNumberFormat="1" applyAlignment="1">
      <alignment vertical="center" wrapText="1"/>
    </xf>
    <xf numFmtId="0" fontId="18" fillId="53" borderId="25" xfId="0" applyFont="1" applyFill="1" applyBorder="1" applyAlignment="1">
      <alignment horizontal="left" vertical="top"/>
    </xf>
    <xf numFmtId="0" fontId="18" fillId="53" borderId="30" xfId="0" applyFont="1" applyFill="1" applyBorder="1" applyAlignment="1">
      <alignment horizontal="center" vertical="top"/>
    </xf>
    <xf numFmtId="0" fontId="21" fillId="54" borderId="334" xfId="0" applyFont="1" applyFill="1" applyBorder="1" applyAlignment="1">
      <alignment vertical="center" wrapText="1"/>
    </xf>
    <xf numFmtId="0" fontId="21" fillId="54" borderId="335" xfId="0" applyFont="1" applyFill="1" applyBorder="1" applyAlignment="1">
      <alignment vertical="center" wrapText="1"/>
    </xf>
    <xf numFmtId="49" fontId="21" fillId="54" borderId="11" xfId="0" applyNumberFormat="1" applyFont="1" applyFill="1" applyBorder="1" applyAlignment="1">
      <alignment vertical="center" wrapText="1"/>
    </xf>
    <xf numFmtId="49" fontId="21" fillId="54" borderId="336" xfId="0" applyNumberFormat="1" applyFont="1" applyFill="1" applyBorder="1" applyAlignment="1">
      <alignment vertical="center" wrapText="1"/>
    </xf>
    <xf numFmtId="49" fontId="20" fillId="54" borderId="10" xfId="0" applyNumberFormat="1" applyFont="1" applyFill="1" applyBorder="1"/>
    <xf numFmtId="49" fontId="25" fillId="54" borderId="10" xfId="0" applyNumberFormat="1" applyFont="1" applyFill="1" applyBorder="1"/>
    <xf numFmtId="0" fontId="20" fillId="54" borderId="36" xfId="0" applyFont="1" applyFill="1" applyBorder="1" applyAlignment="1">
      <alignment vertical="center"/>
    </xf>
    <xf numFmtId="49" fontId="20" fillId="54" borderId="334" xfId="0" applyNumberFormat="1" applyFont="1" applyFill="1" applyBorder="1"/>
    <xf numFmtId="49" fontId="25" fillId="54" borderId="334" xfId="0" applyNumberFormat="1" applyFont="1" applyFill="1" applyBorder="1"/>
    <xf numFmtId="0" fontId="0" fillId="54" borderId="83" xfId="0" applyFill="1" applyBorder="1"/>
    <xf numFmtId="0" fontId="20" fillId="54" borderId="83" xfId="0" applyFont="1" applyFill="1" applyBorder="1" applyAlignment="1">
      <alignment vertical="center"/>
    </xf>
    <xf numFmtId="49" fontId="20" fillId="54" borderId="337" xfId="0" applyNumberFormat="1" applyFont="1" applyFill="1" applyBorder="1"/>
    <xf numFmtId="49" fontId="25" fillId="54" borderId="337" xfId="0" applyNumberFormat="1" applyFont="1" applyFill="1" applyBorder="1"/>
    <xf numFmtId="0" fontId="20" fillId="54" borderId="60" xfId="0" applyFont="1" applyFill="1" applyBorder="1" applyAlignment="1">
      <alignment vertical="center"/>
    </xf>
    <xf numFmtId="1" fontId="24" fillId="49" borderId="0" xfId="0" applyNumberFormat="1" applyFont="1" applyFill="1" applyAlignment="1">
      <alignment horizontal="center"/>
    </xf>
    <xf numFmtId="0" fontId="16" fillId="0" borderId="0" xfId="0" quotePrefix="1" applyFont="1" applyAlignment="1">
      <alignment horizontal="left"/>
    </xf>
    <xf numFmtId="0" fontId="16" fillId="0" borderId="0" xfId="0" quotePrefix="1" applyFont="1"/>
    <xf numFmtId="0" fontId="0" fillId="0" borderId="108" xfId="0" applyBorder="1" applyAlignment="1">
      <alignment horizontal="right"/>
    </xf>
    <xf numFmtId="0" fontId="0" fillId="41" borderId="49" xfId="0" applyFill="1" applyBorder="1" applyAlignment="1">
      <alignment horizontal="left"/>
    </xf>
    <xf numFmtId="0" fontId="30" fillId="64" borderId="18" xfId="0" applyFont="1" applyFill="1" applyBorder="1" applyAlignment="1">
      <alignment horizontal="center"/>
    </xf>
    <xf numFmtId="0" fontId="0" fillId="0" borderId="100" xfId="0" applyBorder="1" applyAlignment="1">
      <alignment horizontal="right"/>
    </xf>
    <xf numFmtId="0" fontId="0" fillId="41" borderId="55" xfId="0" applyFill="1" applyBorder="1" applyAlignment="1">
      <alignment horizontal="left"/>
    </xf>
    <xf numFmtId="0" fontId="0" fillId="41" borderId="55" xfId="0" quotePrefix="1" applyFill="1" applyBorder="1" applyAlignment="1">
      <alignment horizontal="left"/>
    </xf>
    <xf numFmtId="0" fontId="0" fillId="0" borderId="115" xfId="0" applyBorder="1" applyAlignment="1">
      <alignment horizontal="right"/>
    </xf>
    <xf numFmtId="0" fontId="0" fillId="0" borderId="21" xfId="0" applyBorder="1"/>
    <xf numFmtId="0" fontId="16" fillId="0" borderId="23" xfId="0" applyFont="1" applyBorder="1"/>
    <xf numFmtId="0" fontId="0" fillId="0" borderId="27" xfId="0" applyBorder="1" applyAlignment="1">
      <alignment horizontal="right"/>
    </xf>
    <xf numFmtId="0" fontId="0" fillId="52" borderId="29" xfId="0" quotePrefix="1" applyFill="1" applyBorder="1" applyAlignment="1">
      <alignment horizontal="left"/>
    </xf>
    <xf numFmtId="0" fontId="20" fillId="49" borderId="0" xfId="0" quotePrefix="1" applyFont="1" applyFill="1" applyAlignment="1">
      <alignment horizontal="left"/>
    </xf>
    <xf numFmtId="0" fontId="0" fillId="0" borderId="32" xfId="0" applyBorder="1" applyAlignment="1">
      <alignment horizontal="right"/>
    </xf>
    <xf numFmtId="0" fontId="0" fillId="52" borderId="34" xfId="0" quotePrefix="1" applyFill="1" applyBorder="1" applyAlignment="1">
      <alignment horizontal="left"/>
    </xf>
    <xf numFmtId="0" fontId="0" fillId="0" borderId="0" xfId="0" quotePrefix="1" applyAlignment="1">
      <alignment horizontal="center"/>
    </xf>
    <xf numFmtId="0" fontId="43" fillId="0" borderId="10" xfId="0" applyFont="1" applyBorder="1" applyAlignment="1">
      <alignment horizontal="left"/>
    </xf>
    <xf numFmtId="0" fontId="20" fillId="49" borderId="11" xfId="0" applyFont="1" applyFill="1" applyBorder="1"/>
    <xf numFmtId="0" fontId="43" fillId="49" borderId="37" xfId="0" applyFont="1" applyFill="1" applyBorder="1"/>
    <xf numFmtId="0" fontId="20" fillId="49" borderId="38" xfId="0" applyFont="1" applyFill="1" applyBorder="1"/>
    <xf numFmtId="0" fontId="43" fillId="0" borderId="13" xfId="0" applyFont="1" applyBorder="1"/>
    <xf numFmtId="0" fontId="20" fillId="49" borderId="14" xfId="0" applyFont="1" applyFill="1" applyBorder="1"/>
    <xf numFmtId="0" fontId="20" fillId="49" borderId="15" xfId="0" applyFont="1" applyFill="1" applyBorder="1"/>
    <xf numFmtId="0" fontId="0" fillId="0" borderId="18" xfId="0" applyBorder="1"/>
    <xf numFmtId="0" fontId="0" fillId="0" borderId="105" xfId="0" applyBorder="1"/>
    <xf numFmtId="0" fontId="18" fillId="47" borderId="37" xfId="0" applyFont="1" applyFill="1" applyBorder="1" applyAlignment="1" applyProtection="1">
      <alignment horizontal="left" indent="2"/>
      <protection locked="0"/>
    </xf>
    <xf numFmtId="0" fontId="19" fillId="44" borderId="0" xfId="0" applyFont="1" applyFill="1" applyAlignment="1" applyProtection="1">
      <alignment horizontal="left"/>
      <protection locked="0"/>
    </xf>
    <xf numFmtId="0" fontId="45" fillId="44" borderId="0" xfId="0" applyFont="1" applyFill="1" applyAlignment="1" applyProtection="1">
      <alignment horizontal="left"/>
      <protection locked="0"/>
    </xf>
    <xf numFmtId="0" fontId="45" fillId="47" borderId="0" xfId="0" applyFont="1" applyFill="1" applyAlignment="1" applyProtection="1">
      <alignment horizontal="left"/>
      <protection locked="0"/>
    </xf>
    <xf numFmtId="0" fontId="20" fillId="47" borderId="0" xfId="0" applyFont="1" applyFill="1" applyAlignment="1" applyProtection="1">
      <alignment horizontal="left"/>
      <protection locked="0"/>
    </xf>
    <xf numFmtId="0" fontId="20" fillId="47" borderId="38" xfId="0" applyFont="1" applyFill="1" applyBorder="1" applyAlignment="1" applyProtection="1">
      <alignment horizontal="left"/>
      <protection locked="0"/>
    </xf>
    <xf numFmtId="0" fontId="0" fillId="0" borderId="0" xfId="0" applyAlignment="1">
      <alignment horizontal="right"/>
    </xf>
    <xf numFmtId="0" fontId="18" fillId="47" borderId="85" xfId="0" applyFont="1" applyFill="1" applyBorder="1" applyAlignment="1" applyProtection="1">
      <alignment horizontal="left" indent="2"/>
      <protection locked="0"/>
    </xf>
    <xf numFmtId="0" fontId="19" fillId="43" borderId="97" xfId="0" applyFont="1" applyFill="1" applyBorder="1" applyAlignment="1" applyProtection="1">
      <alignment horizontal="left"/>
      <protection locked="0"/>
    </xf>
    <xf numFmtId="0" fontId="45" fillId="47" borderId="97" xfId="0" applyFont="1" applyFill="1" applyBorder="1" applyAlignment="1" applyProtection="1">
      <alignment horizontal="left"/>
      <protection locked="0"/>
    </xf>
    <xf numFmtId="0" fontId="55" fillId="47" borderId="97" xfId="0" applyFont="1" applyFill="1" applyBorder="1" applyAlignment="1" applyProtection="1">
      <alignment horizontal="left" vertical="top"/>
      <protection locked="0"/>
    </xf>
    <xf numFmtId="0" fontId="20" fillId="47" borderId="97" xfId="0" applyFont="1" applyFill="1" applyBorder="1" applyAlignment="1" applyProtection="1">
      <alignment horizontal="left"/>
      <protection locked="0"/>
    </xf>
    <xf numFmtId="0" fontId="20" fillId="47" borderId="146" xfId="0" applyFont="1" applyFill="1" applyBorder="1" applyAlignment="1" applyProtection="1">
      <alignment horizontal="left"/>
      <protection locked="0"/>
    </xf>
    <xf numFmtId="0" fontId="19" fillId="69" borderId="0" xfId="0" applyFont="1" applyFill="1" applyAlignment="1" applyProtection="1">
      <alignment horizontal="left"/>
      <protection locked="0"/>
    </xf>
    <xf numFmtId="0" fontId="55" fillId="47" borderId="0" xfId="0" applyFont="1" applyFill="1" applyAlignment="1" applyProtection="1">
      <alignment horizontal="left" vertical="top"/>
      <protection locked="0"/>
    </xf>
    <xf numFmtId="0" fontId="18" fillId="47" borderId="37" xfId="0" applyFont="1" applyFill="1" applyBorder="1" applyAlignment="1" applyProtection="1">
      <alignment horizontal="left" vertical="center" indent="2"/>
      <protection locked="0"/>
    </xf>
    <xf numFmtId="0" fontId="45" fillId="47" borderId="0" xfId="0" applyFont="1" applyFill="1" applyAlignment="1" applyProtection="1">
      <alignment horizontal="left" vertical="center"/>
      <protection locked="0"/>
    </xf>
    <xf numFmtId="0" fontId="18" fillId="47" borderId="13" xfId="0" applyFont="1" applyFill="1" applyBorder="1" applyAlignment="1" applyProtection="1">
      <alignment horizontal="left" vertical="top" indent="2"/>
      <protection locked="0"/>
    </xf>
    <xf numFmtId="14" fontId="18" fillId="69" borderId="14" xfId="0" quotePrefix="1" applyNumberFormat="1" applyFont="1" applyFill="1" applyBorder="1" applyAlignment="1" applyProtection="1">
      <alignment horizontal="left" vertical="top"/>
      <protection locked="0"/>
    </xf>
    <xf numFmtId="0" fontId="56" fillId="47" borderId="14" xfId="0" applyFont="1" applyFill="1" applyBorder="1" applyAlignment="1" applyProtection="1">
      <alignment horizontal="left"/>
      <protection locked="0"/>
    </xf>
    <xf numFmtId="0" fontId="55" fillId="47" borderId="14" xfId="0" applyFont="1" applyFill="1" applyBorder="1" applyAlignment="1" applyProtection="1">
      <alignment horizontal="left" vertical="top"/>
      <protection locked="0"/>
    </xf>
    <xf numFmtId="0" fontId="45" fillId="47" borderId="14" xfId="0" applyFont="1" applyFill="1" applyBorder="1" applyAlignment="1" applyProtection="1">
      <alignment horizontal="left" vertical="top"/>
      <protection locked="0"/>
    </xf>
    <xf numFmtId="0" fontId="45" fillId="47" borderId="15" xfId="0" applyFont="1" applyFill="1" applyBorder="1" applyAlignment="1" applyProtection="1">
      <alignment horizontal="left" vertical="top"/>
      <protection locked="0"/>
    </xf>
    <xf numFmtId="0" fontId="18" fillId="47" borderId="89" xfId="0" applyFont="1" applyFill="1" applyBorder="1" applyAlignment="1">
      <alignment horizontal="left" indent="2"/>
    </xf>
    <xf numFmtId="0" fontId="18" fillId="69" borderId="93" xfId="0" applyFont="1" applyFill="1" applyBorder="1" applyAlignment="1" applyProtection="1">
      <alignment horizontal="center"/>
      <protection locked="0"/>
    </xf>
    <xf numFmtId="0" fontId="20" fillId="47" borderId="93" xfId="0" applyFont="1" applyFill="1" applyBorder="1"/>
    <xf numFmtId="0" fontId="20" fillId="47" borderId="94" xfId="0" applyFont="1" applyFill="1" applyBorder="1"/>
    <xf numFmtId="0" fontId="18" fillId="47" borderId="232" xfId="0" applyFont="1" applyFill="1" applyBorder="1" applyAlignment="1">
      <alignment horizontal="left" vertical="top" indent="2"/>
    </xf>
    <xf numFmtId="0" fontId="18" fillId="47" borderId="186" xfId="0" applyFont="1" applyFill="1" applyBorder="1" applyAlignment="1">
      <alignment horizontal="left" vertical="top" indent="2"/>
    </xf>
    <xf numFmtId="0" fontId="18" fillId="47" borderId="187" xfId="0" applyFont="1" applyFill="1" applyBorder="1" applyAlignment="1">
      <alignment horizontal="left" vertical="top" indent="2"/>
    </xf>
    <xf numFmtId="0" fontId="40" fillId="57" borderId="342" xfId="0" applyFont="1" applyFill="1" applyBorder="1"/>
    <xf numFmtId="0" fontId="41" fillId="57" borderId="307" xfId="0" applyFont="1" applyFill="1" applyBorder="1"/>
    <xf numFmtId="0" fontId="31" fillId="57" borderId="307" xfId="0" applyFont="1" applyFill="1" applyBorder="1"/>
    <xf numFmtId="0" fontId="31" fillId="57" borderId="328" xfId="0" applyFont="1" applyFill="1" applyBorder="1"/>
    <xf numFmtId="0" fontId="18" fillId="47" borderId="90" xfId="0" applyFont="1" applyFill="1" applyBorder="1" applyAlignment="1" applyProtection="1">
      <alignment horizontal="left" vertical="center"/>
      <protection locked="0"/>
    </xf>
    <xf numFmtId="0" fontId="18" fillId="47" borderId="52" xfId="0" quotePrefix="1" applyFont="1" applyFill="1" applyBorder="1" applyAlignment="1">
      <alignment horizontal="center" vertical="center"/>
    </xf>
    <xf numFmtId="0" fontId="0" fillId="47" borderId="52" xfId="0" applyFill="1" applyBorder="1" applyAlignment="1">
      <alignment vertical="center"/>
    </xf>
    <xf numFmtId="0" fontId="0" fillId="47" borderId="22" xfId="0" applyFill="1" applyBorder="1" applyAlignment="1">
      <alignment vertical="center"/>
    </xf>
    <xf numFmtId="0" fontId="0" fillId="47" borderId="23" xfId="0" applyFill="1" applyBorder="1" applyAlignment="1">
      <alignment vertical="center"/>
    </xf>
    <xf numFmtId="0" fontId="18" fillId="47" borderId="27" xfId="0" applyFont="1" applyFill="1" applyBorder="1" applyAlignment="1">
      <alignment horizontal="left" vertical="center"/>
    </xf>
    <xf numFmtId="0" fontId="45" fillId="47" borderId="28" xfId="0" applyFont="1" applyFill="1" applyBorder="1" applyAlignment="1">
      <alignment vertical="center"/>
    </xf>
    <xf numFmtId="0" fontId="45" fillId="47" borderId="28" xfId="0" quotePrefix="1" applyFont="1" applyFill="1" applyBorder="1" applyAlignment="1">
      <alignment vertical="center"/>
    </xf>
    <xf numFmtId="0" fontId="0" fillId="47" borderId="28" xfId="0" applyFill="1" applyBorder="1" applyAlignment="1">
      <alignment vertical="center"/>
    </xf>
    <xf numFmtId="0" fontId="0" fillId="47" borderId="29" xfId="0" applyFill="1" applyBorder="1" applyAlignment="1">
      <alignment vertical="center"/>
    </xf>
    <xf numFmtId="0" fontId="18" fillId="47" borderId="27" xfId="0" applyFont="1" applyFill="1" applyBorder="1" applyAlignment="1">
      <alignment horizontal="left" vertical="top" indent="1"/>
    </xf>
    <xf numFmtId="0" fontId="0" fillId="47" borderId="28" xfId="0" applyFill="1" applyBorder="1"/>
    <xf numFmtId="0" fontId="0" fillId="47" borderId="29" xfId="0" applyFill="1" applyBorder="1"/>
    <xf numFmtId="0" fontId="18" fillId="47" borderId="32" xfId="0" applyFont="1" applyFill="1" applyBorder="1" applyAlignment="1">
      <alignment horizontal="left" vertical="top" indent="1"/>
    </xf>
    <xf numFmtId="0" fontId="18" fillId="47" borderId="33" xfId="0" quotePrefix="1" applyFont="1" applyFill="1" applyBorder="1" applyAlignment="1">
      <alignment horizontal="center" vertical="top"/>
    </xf>
    <xf numFmtId="0" fontId="45" fillId="47" borderId="33" xfId="0" applyFont="1" applyFill="1" applyBorder="1" applyAlignment="1">
      <alignment vertical="top"/>
    </xf>
    <xf numFmtId="0" fontId="0" fillId="47" borderId="33" xfId="0" applyFill="1" applyBorder="1"/>
    <xf numFmtId="0" fontId="0" fillId="47" borderId="34" xfId="0" applyFill="1" applyBorder="1"/>
    <xf numFmtId="0" fontId="40" fillId="57" borderId="343" xfId="0" applyFont="1" applyFill="1" applyBorder="1"/>
    <xf numFmtId="0" fontId="41" fillId="57" borderId="344" xfId="0" applyFont="1" applyFill="1" applyBorder="1"/>
    <xf numFmtId="0" fontId="31" fillId="57" borderId="344" xfId="0" applyFont="1" applyFill="1" applyBorder="1"/>
    <xf numFmtId="0" fontId="31" fillId="57" borderId="345" xfId="0" applyFont="1" applyFill="1" applyBorder="1"/>
    <xf numFmtId="0" fontId="18" fillId="47" borderId="27" xfId="0" applyFont="1" applyFill="1" applyBorder="1" applyAlignment="1">
      <alignment horizontal="left" vertical="center" indent="2"/>
    </xf>
    <xf numFmtId="0" fontId="18" fillId="47" borderId="28" xfId="0" applyFont="1" applyFill="1" applyBorder="1" applyAlignment="1">
      <alignment horizontal="center" vertical="center"/>
    </xf>
    <xf numFmtId="0" fontId="45" fillId="47" borderId="109" xfId="0" quotePrefix="1" applyFont="1" applyFill="1" applyBorder="1" applyAlignment="1">
      <alignment vertical="center"/>
    </xf>
    <xf numFmtId="0" fontId="45" fillId="47" borderId="100" xfId="0" applyFont="1" applyFill="1" applyBorder="1" applyAlignment="1">
      <alignment vertical="center"/>
    </xf>
    <xf numFmtId="0" fontId="0" fillId="47" borderId="100" xfId="0" applyFill="1" applyBorder="1" applyAlignment="1">
      <alignment vertical="center"/>
    </xf>
    <xf numFmtId="0" fontId="0" fillId="47" borderId="81" xfId="0" applyFill="1" applyBorder="1" applyAlignment="1">
      <alignment vertical="center"/>
    </xf>
    <xf numFmtId="0" fontId="0" fillId="36" borderId="10" xfId="0" applyFill="1" applyBorder="1" applyAlignment="1">
      <alignment horizontal="left" indent="1"/>
    </xf>
    <xf numFmtId="0" fontId="14" fillId="41" borderId="10" xfId="0" applyFont="1" applyFill="1" applyBorder="1" applyAlignment="1">
      <alignment horizontal="center"/>
    </xf>
    <xf numFmtId="0" fontId="0" fillId="36" borderId="72" xfId="0" applyFill="1" applyBorder="1" applyAlignment="1">
      <alignment horizontal="left"/>
    </xf>
    <xf numFmtId="0" fontId="0" fillId="36" borderId="184" xfId="0" applyFill="1" applyBorder="1"/>
    <xf numFmtId="0" fontId="0" fillId="36" borderId="271" xfId="0" applyFill="1" applyBorder="1"/>
    <xf numFmtId="0" fontId="0" fillId="36" borderId="37" xfId="0" applyFill="1" applyBorder="1" applyAlignment="1">
      <alignment horizontal="left" indent="1"/>
    </xf>
    <xf numFmtId="0" fontId="14" fillId="41" borderId="37" xfId="0" applyFont="1" applyFill="1" applyBorder="1" applyAlignment="1">
      <alignment horizontal="center"/>
    </xf>
    <xf numFmtId="0" fontId="0" fillId="36" borderId="37" xfId="0" applyFill="1" applyBorder="1" applyAlignment="1">
      <alignment horizontal="left"/>
    </xf>
    <xf numFmtId="0" fontId="0" fillId="36" borderId="0" xfId="0" applyFill="1"/>
    <xf numFmtId="0" fontId="0" fillId="36" borderId="38" xfId="0" applyFill="1" applyBorder="1"/>
    <xf numFmtId="0" fontId="0" fillId="36" borderId="347" xfId="0" applyFill="1" applyBorder="1" applyAlignment="1">
      <alignment horizontal="left" indent="1"/>
    </xf>
    <xf numFmtId="0" fontId="0" fillId="41" borderId="347" xfId="0" quotePrefix="1" applyFill="1" applyBorder="1" applyAlignment="1">
      <alignment horizontal="center"/>
    </xf>
    <xf numFmtId="0" fontId="0" fillId="36" borderId="223" xfId="0" applyFill="1" applyBorder="1" applyAlignment="1">
      <alignment horizontal="left"/>
    </xf>
    <xf numFmtId="0" fontId="0" fillId="36" borderId="115" xfId="0" applyFill="1" applyBorder="1"/>
    <xf numFmtId="0" fontId="0" fillId="36" borderId="116" xfId="0" applyFill="1" applyBorder="1"/>
    <xf numFmtId="0" fontId="0" fillId="36" borderId="80" xfId="0" applyFill="1" applyBorder="1" applyAlignment="1">
      <alignment horizontal="left" indent="1"/>
    </xf>
    <xf numFmtId="0" fontId="0" fillId="41" borderId="80" xfId="0" applyFill="1" applyBorder="1" applyAlignment="1">
      <alignment horizontal="center"/>
    </xf>
    <xf numFmtId="0" fontId="0" fillId="36" borderId="80" xfId="0" applyFill="1" applyBorder="1" applyAlignment="1">
      <alignment horizontal="left"/>
    </xf>
    <xf numFmtId="0" fontId="0" fillId="36" borderId="100" xfId="0" applyFill="1" applyBorder="1"/>
    <xf numFmtId="0" fontId="0" fillId="36" borderId="81" xfId="0" applyFill="1" applyBorder="1"/>
    <xf numFmtId="0" fontId="0" fillId="36" borderId="25" xfId="0" applyFill="1" applyBorder="1" applyAlignment="1">
      <alignment horizontal="left" indent="1"/>
    </xf>
    <xf numFmtId="0" fontId="0" fillId="41" borderId="25" xfId="0" applyFill="1" applyBorder="1" applyAlignment="1">
      <alignment horizontal="center"/>
    </xf>
    <xf numFmtId="0" fontId="0" fillId="36" borderId="222" xfId="0" applyFill="1" applyBorder="1" applyAlignment="1">
      <alignment horizontal="left"/>
    </xf>
    <xf numFmtId="0" fontId="0" fillId="36" borderId="102" xfId="0" applyFill="1" applyBorder="1"/>
    <xf numFmtId="0" fontId="0" fillId="36" borderId="221" xfId="0" applyFill="1" applyBorder="1"/>
    <xf numFmtId="0" fontId="0" fillId="41" borderId="347" xfId="0" applyFill="1" applyBorder="1" applyAlignment="1">
      <alignment horizontal="center"/>
    </xf>
    <xf numFmtId="0" fontId="0" fillId="36" borderId="222" xfId="0" applyFill="1" applyBorder="1" applyAlignment="1">
      <alignment horizontal="left" indent="1"/>
    </xf>
    <xf numFmtId="0" fontId="0" fillId="41" borderId="222" xfId="0" applyFill="1" applyBorder="1" applyAlignment="1">
      <alignment horizontal="center"/>
    </xf>
    <xf numFmtId="0" fontId="14" fillId="41" borderId="222" xfId="0" applyFont="1" applyFill="1" applyBorder="1" applyAlignment="1">
      <alignment horizontal="center"/>
    </xf>
    <xf numFmtId="0" fontId="0" fillId="41" borderId="37" xfId="0" applyFill="1" applyBorder="1" applyAlignment="1">
      <alignment horizontal="center"/>
    </xf>
    <xf numFmtId="0" fontId="0" fillId="36" borderId="77" xfId="0" applyFill="1" applyBorder="1" applyAlignment="1">
      <alignment horizontal="left"/>
    </xf>
    <xf numFmtId="0" fontId="0" fillId="36" borderId="30" xfId="0" applyFill="1" applyBorder="1"/>
    <xf numFmtId="0" fontId="0" fillId="36" borderId="121" xfId="0" applyFill="1" applyBorder="1"/>
    <xf numFmtId="0" fontId="0" fillId="36" borderId="82" xfId="0" applyFill="1" applyBorder="1" applyAlignment="1">
      <alignment horizontal="left" indent="1"/>
    </xf>
    <xf numFmtId="0" fontId="0" fillId="41" borderId="82" xfId="0" applyFill="1" applyBorder="1" applyAlignment="1">
      <alignment horizontal="center"/>
    </xf>
    <xf numFmtId="0" fontId="0" fillId="36" borderId="223" xfId="0" applyFill="1" applyBorder="1" applyAlignment="1">
      <alignment horizontal="left" indent="1"/>
    </xf>
    <xf numFmtId="0" fontId="0" fillId="41" borderId="223" xfId="0" applyFill="1" applyBorder="1" applyAlignment="1">
      <alignment horizontal="center"/>
    </xf>
    <xf numFmtId="0" fontId="0" fillId="36" borderId="100" xfId="0" quotePrefix="1" applyFill="1" applyBorder="1"/>
    <xf numFmtId="0" fontId="0" fillId="36" borderId="200" xfId="0" applyFill="1" applyBorder="1" applyAlignment="1">
      <alignment horizontal="left" indent="1"/>
    </xf>
    <xf numFmtId="0" fontId="0" fillId="41" borderId="200" xfId="0" applyFill="1" applyBorder="1" applyAlignment="1">
      <alignment horizontal="center"/>
    </xf>
    <xf numFmtId="0" fontId="0" fillId="36" borderId="200" xfId="0" applyFill="1" applyBorder="1" applyAlignment="1">
      <alignment horizontal="left"/>
    </xf>
    <xf numFmtId="0" fontId="0" fillId="36" borderId="35" xfId="0" applyFill="1" applyBorder="1"/>
    <xf numFmtId="0" fontId="0" fillId="36" borderId="84" xfId="0" applyFill="1" applyBorder="1"/>
    <xf numFmtId="0" fontId="19" fillId="37" borderId="90" xfId="0" applyFont="1" applyFill="1" applyBorder="1" applyAlignment="1">
      <alignment horizontal="left"/>
    </xf>
    <xf numFmtId="0" fontId="69" fillId="37" borderId="28" xfId="0" quotePrefix="1" applyFont="1" applyFill="1" applyBorder="1" applyAlignment="1">
      <alignment horizontal="center" vertical="center"/>
    </xf>
    <xf numFmtId="0" fontId="45" fillId="37" borderId="122" xfId="0" quotePrefix="1" applyFont="1" applyFill="1" applyBorder="1" applyAlignment="1">
      <alignment vertical="top"/>
    </xf>
    <xf numFmtId="0" fontId="45" fillId="37" borderId="348" xfId="0" quotePrefix="1" applyFont="1" applyFill="1" applyBorder="1" applyAlignment="1">
      <alignment vertical="top"/>
    </xf>
    <xf numFmtId="0" fontId="45" fillId="37" borderId="349" xfId="0" applyFont="1" applyFill="1" applyBorder="1" applyAlignment="1">
      <alignment vertical="top"/>
    </xf>
    <xf numFmtId="0" fontId="0" fillId="37" borderId="349" xfId="0" applyFill="1" applyBorder="1"/>
    <xf numFmtId="0" fontId="0" fillId="37" borderId="350" xfId="0" applyFill="1" applyBorder="1"/>
    <xf numFmtId="0" fontId="18" fillId="37" borderId="90" xfId="0" applyFont="1" applyFill="1" applyBorder="1" applyAlignment="1">
      <alignment horizontal="left" vertical="top" indent="4"/>
    </xf>
    <xf numFmtId="0" fontId="18" fillId="37" borderId="28" xfId="0" applyFont="1" applyFill="1" applyBorder="1" applyAlignment="1">
      <alignment horizontal="center" vertical="top"/>
    </xf>
    <xf numFmtId="0" fontId="45" fillId="37" borderId="52" xfId="0" quotePrefix="1" applyFont="1" applyFill="1" applyBorder="1" applyAlignment="1">
      <alignment vertical="center"/>
    </xf>
    <xf numFmtId="0" fontId="53" fillId="37" borderId="114" xfId="0" applyFont="1" applyFill="1" applyBorder="1" applyAlignment="1">
      <alignment horizontal="left" vertical="center"/>
    </xf>
    <xf numFmtId="0" fontId="45" fillId="37" borderId="115" xfId="0" applyFont="1" applyFill="1" applyBorder="1" applyAlignment="1">
      <alignment vertical="center"/>
    </xf>
    <xf numFmtId="0" fontId="0" fillId="37" borderId="115" xfId="0" applyFill="1" applyBorder="1" applyAlignment="1">
      <alignment vertical="center"/>
    </xf>
    <xf numFmtId="0" fontId="0" fillId="37" borderId="116" xfId="0" applyFill="1" applyBorder="1" applyAlignment="1">
      <alignment vertical="center"/>
    </xf>
    <xf numFmtId="0" fontId="18" fillId="37" borderId="115" xfId="0" applyFont="1" applyFill="1" applyBorder="1" applyAlignment="1">
      <alignment horizontal="center" vertical="center" wrapText="1"/>
    </xf>
    <xf numFmtId="0" fontId="53" fillId="37" borderId="109" xfId="0" applyFont="1" applyFill="1" applyBorder="1" applyAlignment="1">
      <alignment horizontal="left" vertical="center"/>
    </xf>
    <xf numFmtId="0" fontId="45" fillId="37" borderId="100" xfId="0" applyFont="1" applyFill="1" applyBorder="1" applyAlignment="1">
      <alignment vertical="center"/>
    </xf>
    <xf numFmtId="0" fontId="0" fillId="37" borderId="100" xfId="0" applyFill="1" applyBorder="1" applyAlignment="1">
      <alignment vertical="center"/>
    </xf>
    <xf numFmtId="0" fontId="0" fillId="37" borderId="81" xfId="0" applyFill="1" applyBorder="1" applyAlignment="1">
      <alignment vertical="center"/>
    </xf>
    <xf numFmtId="0" fontId="18" fillId="37" borderId="124" xfId="0" applyFont="1" applyFill="1" applyBorder="1" applyAlignment="1">
      <alignment horizontal="left" vertical="top" indent="4"/>
    </xf>
    <xf numFmtId="0" fontId="18" fillId="37" borderId="52" xfId="0" applyFont="1" applyFill="1" applyBorder="1" applyAlignment="1">
      <alignment horizontal="center" vertical="top"/>
    </xf>
    <xf numFmtId="0" fontId="45" fillId="37" borderId="0" xfId="0" quotePrefix="1" applyFont="1" applyFill="1" applyAlignment="1">
      <alignment vertical="top"/>
    </xf>
    <xf numFmtId="0" fontId="45" fillId="37" borderId="0" xfId="0" applyFont="1" applyFill="1" applyAlignment="1">
      <alignment vertical="top"/>
    </xf>
    <xf numFmtId="0" fontId="0" fillId="37" borderId="0" xfId="0" applyFill="1"/>
    <xf numFmtId="0" fontId="0" fillId="37" borderId="38" xfId="0" applyFill="1" applyBorder="1"/>
    <xf numFmtId="0" fontId="19" fillId="37" borderId="90" xfId="0" applyFont="1" applyFill="1" applyBorder="1" applyAlignment="1">
      <alignment horizontal="left" vertical="top"/>
    </xf>
    <xf numFmtId="0" fontId="18" fillId="37" borderId="0" xfId="0" applyFont="1" applyFill="1" applyAlignment="1">
      <alignment horizontal="center"/>
    </xf>
    <xf numFmtId="0" fontId="45" fillId="37" borderId="52" xfId="0" quotePrefix="1" applyFont="1" applyFill="1" applyBorder="1" applyAlignment="1">
      <alignment vertical="top"/>
    </xf>
    <xf numFmtId="0" fontId="45" fillId="37" borderId="114" xfId="0" quotePrefix="1" applyFont="1" applyFill="1" applyBorder="1" applyAlignment="1">
      <alignment vertical="top"/>
    </xf>
    <xf numFmtId="0" fontId="45" fillId="37" borderId="115" xfId="0" applyFont="1" applyFill="1" applyBorder="1" applyAlignment="1">
      <alignment vertical="top"/>
    </xf>
    <xf numFmtId="0" fontId="0" fillId="37" borderId="115" xfId="0" applyFill="1" applyBorder="1"/>
    <xf numFmtId="0" fontId="0" fillId="37" borderId="116" xfId="0" applyFill="1" applyBorder="1"/>
    <xf numFmtId="0" fontId="59" fillId="37" borderId="52" xfId="0" quotePrefix="1" applyFont="1" applyFill="1" applyBorder="1" applyAlignment="1">
      <alignment horizontal="center"/>
    </xf>
    <xf numFmtId="0" fontId="45" fillId="37" borderId="123" xfId="0" quotePrefix="1" applyFont="1" applyFill="1" applyBorder="1" applyAlignment="1">
      <alignment vertical="top"/>
    </xf>
    <xf numFmtId="0" fontId="20" fillId="37" borderId="0" xfId="0" applyFont="1" applyFill="1"/>
    <xf numFmtId="0" fontId="20" fillId="37" borderId="38" xfId="0" applyFont="1" applyFill="1" applyBorder="1"/>
    <xf numFmtId="0" fontId="45" fillId="37" borderId="52" xfId="0" quotePrefix="1" applyFont="1" applyFill="1" applyBorder="1" applyAlignment="1">
      <alignment horizontal="left" vertical="top"/>
    </xf>
    <xf numFmtId="0" fontId="45" fillId="37" borderId="114" xfId="0" quotePrefix="1" applyFont="1" applyFill="1" applyBorder="1" applyAlignment="1">
      <alignment horizontal="left" vertical="top"/>
    </xf>
    <xf numFmtId="0" fontId="45" fillId="37" borderId="116" xfId="0" applyFont="1" applyFill="1" applyBorder="1" applyAlignment="1">
      <alignment vertical="top"/>
    </xf>
    <xf numFmtId="0" fontId="18" fillId="37" borderId="160" xfId="0" applyFont="1" applyFill="1" applyBorder="1" applyAlignment="1">
      <alignment horizontal="left" vertical="top" indent="4"/>
    </xf>
    <xf numFmtId="0" fontId="19" fillId="37" borderId="117" xfId="0" applyFont="1" applyFill="1" applyBorder="1" applyAlignment="1">
      <alignment horizontal="center" vertical="top"/>
    </xf>
    <xf numFmtId="0" fontId="45" fillId="37" borderId="117" xfId="0" quotePrefix="1" applyFont="1" applyFill="1" applyBorder="1" applyAlignment="1">
      <alignment vertical="top"/>
    </xf>
    <xf numFmtId="0" fontId="45" fillId="37" borderId="118" xfId="0" quotePrefix="1" applyFont="1" applyFill="1" applyBorder="1" applyAlignment="1">
      <alignment vertical="top"/>
    </xf>
    <xf numFmtId="0" fontId="45" fillId="37" borderId="102" xfId="0" applyFont="1" applyFill="1" applyBorder="1" applyAlignment="1">
      <alignment vertical="top"/>
    </xf>
    <xf numFmtId="0" fontId="45" fillId="37" borderId="221" xfId="0" applyFont="1" applyFill="1" applyBorder="1" applyAlignment="1">
      <alignment vertical="top"/>
    </xf>
    <xf numFmtId="0" fontId="19" fillId="37" borderId="113" xfId="0" applyFont="1" applyFill="1" applyBorder="1" applyAlignment="1">
      <alignment horizontal="left" vertical="top"/>
    </xf>
    <xf numFmtId="0" fontId="45" fillId="37" borderId="52" xfId="0" quotePrefix="1" applyFont="1" applyFill="1" applyBorder="1" applyAlignment="1">
      <alignment horizontal="center" vertical="top"/>
    </xf>
    <xf numFmtId="0" fontId="45" fillId="37" borderId="28" xfId="0" quotePrefix="1" applyFont="1" applyFill="1" applyBorder="1" applyAlignment="1">
      <alignment horizontal="center" vertical="top"/>
    </xf>
    <xf numFmtId="0" fontId="45" fillId="37" borderId="28" xfId="0" quotePrefix="1" applyFont="1" applyFill="1" applyBorder="1" applyAlignment="1">
      <alignment vertical="top"/>
    </xf>
    <xf numFmtId="0" fontId="45" fillId="37" borderId="109" xfId="0" quotePrefix="1" applyFont="1" applyFill="1" applyBorder="1" applyAlignment="1">
      <alignment vertical="top"/>
    </xf>
    <xf numFmtId="0" fontId="45" fillId="37" borderId="100" xfId="0" applyFont="1" applyFill="1" applyBorder="1" applyAlignment="1">
      <alignment vertical="top"/>
    </xf>
    <xf numFmtId="0" fontId="0" fillId="37" borderId="100" xfId="0" applyFill="1" applyBorder="1"/>
    <xf numFmtId="0" fontId="0" fillId="37" borderId="81" xfId="0" applyFill="1" applyBorder="1"/>
    <xf numFmtId="0" fontId="18" fillId="37" borderId="37" xfId="0" applyFont="1" applyFill="1" applyBorder="1" applyAlignment="1">
      <alignment horizontal="left" vertical="top" indent="4"/>
    </xf>
    <xf numFmtId="0" fontId="18" fillId="37" borderId="109" xfId="0" quotePrefix="1" applyFont="1" applyFill="1" applyBorder="1" applyAlignment="1">
      <alignment horizontal="center" vertical="top"/>
    </xf>
    <xf numFmtId="0" fontId="25" fillId="37" borderId="82" xfId="0" applyFont="1" applyFill="1" applyBorder="1" applyAlignment="1">
      <alignment horizontal="left" indent="4"/>
    </xf>
    <xf numFmtId="0" fontId="18" fillId="37" borderId="125" xfId="0" quotePrefix="1" applyFont="1" applyFill="1" applyBorder="1" applyAlignment="1">
      <alignment horizontal="center" vertical="top"/>
    </xf>
    <xf numFmtId="0" fontId="20" fillId="37" borderId="104" xfId="0" applyFont="1" applyFill="1" applyBorder="1"/>
    <xf numFmtId="0" fontId="20" fillId="37" borderId="105" xfId="0" applyFont="1" applyFill="1" applyBorder="1"/>
    <xf numFmtId="0" fontId="18" fillId="37" borderId="52" xfId="0" quotePrefix="1" applyFont="1" applyFill="1" applyBorder="1" applyAlignment="1">
      <alignment horizontal="center" vertical="top"/>
    </xf>
    <xf numFmtId="0" fontId="18" fillId="37" borderId="117" xfId="0" applyFont="1" applyFill="1" applyBorder="1" applyAlignment="1">
      <alignment horizontal="center" vertical="top"/>
    </xf>
    <xf numFmtId="0" fontId="45" fillId="37" borderId="117" xfId="0" quotePrefix="1" applyFont="1" applyFill="1" applyBorder="1" applyAlignment="1">
      <alignment horizontal="left" vertical="top"/>
    </xf>
    <xf numFmtId="0" fontId="45" fillId="37" borderId="118" xfId="0" quotePrefix="1" applyFont="1" applyFill="1" applyBorder="1" applyAlignment="1">
      <alignment horizontal="left" vertical="top"/>
    </xf>
    <xf numFmtId="0" fontId="18" fillId="47" borderId="27" xfId="0" applyFont="1" applyFill="1" applyBorder="1" applyAlignment="1">
      <alignment vertical="center"/>
    </xf>
    <xf numFmtId="0" fontId="62" fillId="56" borderId="37" xfId="0" applyFont="1" applyFill="1" applyBorder="1" applyAlignment="1">
      <alignment horizontal="left" vertical="top" indent="2"/>
    </xf>
    <xf numFmtId="0" fontId="18" fillId="56" borderId="0" xfId="0" quotePrefix="1" applyFont="1" applyFill="1" applyAlignment="1">
      <alignment horizontal="center" vertical="top"/>
    </xf>
    <xf numFmtId="0" fontId="45" fillId="56" borderId="0" xfId="0" quotePrefix="1" applyFont="1" applyFill="1" applyAlignment="1">
      <alignment vertical="top"/>
    </xf>
    <xf numFmtId="0" fontId="67" fillId="56" borderId="0" xfId="0" quotePrefix="1" applyFont="1" applyFill="1" applyAlignment="1">
      <alignment vertical="top"/>
    </xf>
    <xf numFmtId="0" fontId="20" fillId="56" borderId="0" xfId="0" applyFont="1" applyFill="1" applyAlignment="1">
      <alignment vertical="top"/>
    </xf>
    <xf numFmtId="0" fontId="20" fillId="56" borderId="38" xfId="0" applyFont="1" applyFill="1" applyBorder="1" applyAlignment="1">
      <alignment vertical="top"/>
    </xf>
    <xf numFmtId="0" fontId="40" fillId="63" borderId="110" xfId="0" applyFont="1" applyFill="1" applyBorder="1"/>
    <xf numFmtId="0" fontId="41" fillId="63" borderId="111" xfId="0" applyFont="1" applyFill="1" applyBorder="1"/>
    <xf numFmtId="0" fontId="31" fillId="63" borderId="111" xfId="0" applyFont="1" applyFill="1" applyBorder="1"/>
    <xf numFmtId="0" fontId="31" fillId="63" borderId="112" xfId="0" applyFont="1" applyFill="1" applyBorder="1"/>
    <xf numFmtId="0" fontId="40" fillId="63" borderId="47" xfId="0" applyFont="1" applyFill="1" applyBorder="1"/>
    <xf numFmtId="0" fontId="41" fillId="63" borderId="48" xfId="0" applyFont="1" applyFill="1" applyBorder="1"/>
    <xf numFmtId="0" fontId="31" fillId="63" borderId="48" xfId="0" applyFont="1" applyFill="1" applyBorder="1"/>
    <xf numFmtId="0" fontId="41" fillId="63" borderId="153" xfId="0" applyFont="1" applyFill="1" applyBorder="1"/>
    <xf numFmtId="0" fontId="132" fillId="56" borderId="0" xfId="50" quotePrefix="1" applyNumberFormat="1" applyFont="1">
      <alignment vertical="center"/>
    </xf>
    <xf numFmtId="0" fontId="132" fillId="56" borderId="0" xfId="50" applyNumberFormat="1" applyFont="1">
      <alignment vertical="center"/>
    </xf>
    <xf numFmtId="49" fontId="132" fillId="56" borderId="0" xfId="50" applyFont="1">
      <alignment vertical="center"/>
    </xf>
    <xf numFmtId="0" fontId="132" fillId="56" borderId="0" xfId="50" applyNumberFormat="1" applyFont="1" applyAlignment="1">
      <alignment horizontal="left" vertical="center"/>
    </xf>
    <xf numFmtId="0" fontId="34" fillId="49" borderId="0" xfId="65" applyFill="1">
      <alignment vertical="center"/>
    </xf>
    <xf numFmtId="0" fontId="34" fillId="60" borderId="0" xfId="65" applyFill="1">
      <alignment vertical="center"/>
    </xf>
    <xf numFmtId="0" fontId="77" fillId="60" borderId="0" xfId="65" applyFont="1" applyFill="1">
      <alignment vertical="center"/>
    </xf>
    <xf numFmtId="0" fontId="72" fillId="49" borderId="0" xfId="65" applyFont="1" applyFill="1" applyAlignment="1">
      <alignment horizontal="justify" vertical="center" wrapText="1"/>
    </xf>
    <xf numFmtId="49" fontId="134" fillId="49" borderId="0" xfId="50" applyFont="1" applyFill="1">
      <alignment vertical="center"/>
    </xf>
    <xf numFmtId="0" fontId="135" fillId="49" borderId="0" xfId="0" applyFont="1" applyFill="1"/>
    <xf numFmtId="0" fontId="135" fillId="68" borderId="0" xfId="0" applyFont="1" applyFill="1"/>
    <xf numFmtId="0" fontId="135" fillId="68" borderId="0" xfId="0" applyFont="1" applyFill="1" applyAlignment="1">
      <alignment vertical="top"/>
    </xf>
    <xf numFmtId="0" fontId="135" fillId="68" borderId="0" xfId="0" applyFont="1" applyFill="1" applyAlignment="1">
      <alignment horizontal="centerContinuous" vertical="top"/>
    </xf>
    <xf numFmtId="0" fontId="135" fillId="68" borderId="0" xfId="0" applyFont="1" applyFill="1" applyAlignment="1">
      <alignment horizontal="center" vertical="top"/>
    </xf>
    <xf numFmtId="0" fontId="0" fillId="68" borderId="0" xfId="0" applyFill="1"/>
    <xf numFmtId="0" fontId="20" fillId="68" borderId="0" xfId="0" applyFont="1" applyFill="1"/>
    <xf numFmtId="0" fontId="136" fillId="68" borderId="0" xfId="0" applyFont="1" applyFill="1"/>
    <xf numFmtId="0" fontId="20" fillId="68" borderId="0" xfId="0" applyFont="1" applyFill="1" applyAlignment="1">
      <alignment vertical="center"/>
    </xf>
    <xf numFmtId="0" fontId="86" fillId="0" borderId="0" xfId="0" applyFont="1" applyAlignment="1">
      <alignment vertical="center"/>
    </xf>
    <xf numFmtId="0" fontId="60" fillId="49" borderId="0" xfId="0" applyFont="1" applyFill="1" applyAlignment="1">
      <alignment vertical="center"/>
    </xf>
    <xf numFmtId="0" fontId="60" fillId="68" borderId="0" xfId="0" applyFont="1" applyFill="1" applyAlignment="1">
      <alignment vertical="center"/>
    </xf>
    <xf numFmtId="0" fontId="94" fillId="68" borderId="0" xfId="0" applyFont="1" applyFill="1"/>
    <xf numFmtId="0" fontId="94" fillId="68" borderId="0" xfId="0" applyFont="1" applyFill="1" applyAlignment="1">
      <alignment wrapText="1"/>
    </xf>
    <xf numFmtId="0" fontId="136" fillId="68" borderId="0" xfId="0" applyFont="1" applyFill="1" applyAlignment="1">
      <alignment horizontal="left"/>
    </xf>
    <xf numFmtId="0" fontId="20" fillId="68" borderId="0" xfId="0" applyFont="1" applyFill="1" applyAlignment="1">
      <alignment horizontal="left"/>
    </xf>
    <xf numFmtId="0" fontId="79" fillId="68" borderId="0" xfId="0" applyFont="1" applyFill="1" applyAlignment="1">
      <alignment horizontal="right"/>
    </xf>
    <xf numFmtId="0" fontId="94" fillId="68" borderId="0" xfId="0" applyFont="1" applyFill="1" applyAlignment="1">
      <alignment horizontal="right"/>
    </xf>
    <xf numFmtId="0" fontId="20" fillId="49" borderId="0" xfId="0" applyFont="1" applyFill="1" applyAlignment="1">
      <alignment vertical="top"/>
    </xf>
    <xf numFmtId="0" fontId="137" fillId="49" borderId="0" xfId="0" applyFont="1" applyFill="1" applyAlignment="1">
      <alignment vertical="top"/>
    </xf>
    <xf numFmtId="0" fontId="135" fillId="49" borderId="0" xfId="0" applyFont="1" applyFill="1" applyAlignment="1">
      <alignment vertical="top"/>
    </xf>
    <xf numFmtId="0" fontId="20" fillId="68" borderId="0" xfId="0" applyFont="1" applyFill="1" applyAlignment="1">
      <alignment vertical="top"/>
    </xf>
    <xf numFmtId="0" fontId="138" fillId="68" borderId="0" xfId="0" applyFont="1" applyFill="1" applyAlignment="1">
      <alignment vertical="top"/>
    </xf>
    <xf numFmtId="0" fontId="57" fillId="68" borderId="0" xfId="0" applyFont="1" applyFill="1" applyAlignment="1">
      <alignment vertical="top"/>
    </xf>
    <xf numFmtId="0" fontId="136" fillId="68" borderId="0" xfId="0" applyFont="1" applyFill="1" applyAlignment="1">
      <alignment horizontal="right" vertical="center"/>
    </xf>
    <xf numFmtId="0" fontId="137" fillId="68" borderId="0" xfId="0" applyFont="1" applyFill="1" applyAlignment="1">
      <alignment vertical="top"/>
    </xf>
    <xf numFmtId="0" fontId="24" fillId="68" borderId="0" xfId="0" applyFont="1" applyFill="1" applyAlignment="1">
      <alignment horizontal="center" vertical="top"/>
    </xf>
    <xf numFmtId="0" fontId="35" fillId="68" borderId="0" xfId="0" applyFont="1" applyFill="1" applyAlignment="1">
      <alignment vertical="top"/>
    </xf>
    <xf numFmtId="0" fontId="139" fillId="68" borderId="0" xfId="0" applyFont="1" applyFill="1" applyAlignment="1">
      <alignment vertical="top"/>
    </xf>
    <xf numFmtId="0" fontId="140" fillId="68" borderId="0" xfId="0" applyFont="1" applyFill="1" applyAlignment="1">
      <alignment vertical="top"/>
    </xf>
    <xf numFmtId="0" fontId="30" fillId="68" borderId="0" xfId="0" applyFont="1" applyFill="1" applyAlignment="1">
      <alignment vertical="top"/>
    </xf>
    <xf numFmtId="0" fontId="94" fillId="68" borderId="0" xfId="0" applyFont="1" applyFill="1" applyAlignment="1">
      <alignment vertical="top"/>
    </xf>
    <xf numFmtId="0" fontId="140" fillId="68" borderId="0" xfId="0" applyFont="1" applyFill="1" applyAlignment="1">
      <alignment horizontal="center" vertical="top"/>
    </xf>
    <xf numFmtId="0" fontId="141" fillId="68" borderId="0" xfId="0" applyFont="1" applyFill="1" applyAlignment="1">
      <alignment horizontal="center" vertical="top"/>
    </xf>
    <xf numFmtId="0" fontId="140" fillId="68" borderId="0" xfId="0" applyFont="1" applyFill="1" applyAlignment="1">
      <alignment horizontal="left" vertical="top"/>
    </xf>
    <xf numFmtId="14" fontId="0" fillId="0" borderId="0" xfId="0" applyNumberFormat="1"/>
    <xf numFmtId="0" fontId="136" fillId="68" borderId="0" xfId="0" applyFont="1" applyFill="1" applyAlignment="1">
      <alignment vertical="top" wrapText="1"/>
    </xf>
    <xf numFmtId="0" fontId="137" fillId="68" borderId="0" xfId="0" applyFont="1" applyFill="1"/>
    <xf numFmtId="1" fontId="20" fillId="53" borderId="26" xfId="0" applyNumberFormat="1" applyFont="1" applyFill="1" applyBorder="1" applyAlignment="1">
      <alignment horizontal="center" vertical="top"/>
    </xf>
    <xf numFmtId="1" fontId="20" fillId="53" borderId="30" xfId="0" applyNumberFormat="1" applyFont="1" applyFill="1" applyBorder="1" applyAlignment="1">
      <alignment horizontal="center" vertical="top"/>
    </xf>
    <xf numFmtId="0" fontId="38" fillId="47" borderId="22" xfId="0" applyFont="1" applyFill="1" applyBorder="1"/>
    <xf numFmtId="0" fontId="38" fillId="47" borderId="28" xfId="0" applyFont="1" applyFill="1" applyBorder="1"/>
    <xf numFmtId="49" fontId="18" fillId="69" borderId="49" xfId="55" applyBorder="1" applyAlignment="1">
      <alignment horizontal="left" wrapText="1" indent="1"/>
      <protection locked="0"/>
    </xf>
    <xf numFmtId="49" fontId="18" fillId="74" borderId="55" xfId="55" applyFill="1" applyBorder="1" applyAlignment="1">
      <alignment horizontal="left" wrapText="1" indent="1"/>
      <protection locked="0"/>
    </xf>
    <xf numFmtId="49" fontId="18" fillId="69" borderId="55" xfId="55" applyBorder="1" applyAlignment="1">
      <alignment horizontal="left" wrapText="1" indent="1"/>
      <protection locked="0"/>
    </xf>
    <xf numFmtId="49" fontId="18" fillId="69" borderId="83" xfId="55" applyBorder="1" applyAlignment="1">
      <alignment horizontal="left" wrapText="1" indent="1"/>
      <protection locked="0"/>
    </xf>
    <xf numFmtId="49" fontId="18" fillId="74" borderId="83" xfId="55" applyFill="1" applyBorder="1" applyAlignment="1">
      <alignment horizontal="left" wrapText="1" indent="1"/>
      <protection locked="0"/>
    </xf>
    <xf numFmtId="49" fontId="18" fillId="74" borderId="60" xfId="55" applyFill="1" applyBorder="1" applyAlignment="1">
      <alignment horizontal="left" wrapText="1" indent="1"/>
      <protection locked="0"/>
    </xf>
    <xf numFmtId="49" fontId="18" fillId="69" borderId="60" xfId="55" applyBorder="1" applyAlignment="1">
      <alignment horizontal="left" wrapText="1" indent="1"/>
      <protection locked="0"/>
    </xf>
    <xf numFmtId="0" fontId="18" fillId="0" borderId="228" xfId="49" applyBorder="1">
      <alignment horizontal="left" vertical="center" wrapText="1" indent="1"/>
    </xf>
    <xf numFmtId="0" fontId="115" fillId="0" borderId="15" xfId="0" applyFont="1" applyBorder="1" applyAlignment="1">
      <alignment horizontal="center"/>
    </xf>
    <xf numFmtId="167" fontId="38" fillId="75" borderId="21" xfId="48" applyFill="1" applyBorder="1">
      <alignment horizontal="right"/>
      <protection locked="0"/>
    </xf>
    <xf numFmtId="167" fontId="38" fillId="75" borderId="22" xfId="48" applyFill="1" applyBorder="1">
      <alignment horizontal="right"/>
      <protection locked="0"/>
    </xf>
    <xf numFmtId="167" fontId="38" fillId="75" borderId="23" xfId="48" applyFill="1" applyBorder="1">
      <alignment horizontal="right"/>
      <protection locked="0"/>
    </xf>
    <xf numFmtId="167" fontId="38" fillId="75" borderId="124" xfId="48" applyFill="1" applyBorder="1">
      <alignment horizontal="right"/>
      <protection locked="0"/>
    </xf>
    <xf numFmtId="167" fontId="38" fillId="75" borderId="125" xfId="48" applyFill="1" applyBorder="1">
      <alignment horizontal="right"/>
      <protection locked="0"/>
    </xf>
    <xf numFmtId="167" fontId="38" fillId="75" borderId="306" xfId="48" applyFill="1" applyBorder="1">
      <alignment horizontal="right"/>
      <protection locked="0"/>
    </xf>
    <xf numFmtId="170" fontId="0" fillId="60" borderId="232" xfId="1" applyNumberFormat="1" applyFont="1" applyFill="1" applyBorder="1"/>
    <xf numFmtId="0" fontId="18" fillId="49" borderId="352" xfId="0" applyFont="1" applyFill="1" applyBorder="1" applyAlignment="1">
      <alignment horizontal="left" vertical="center" wrapText="1" indent="1"/>
    </xf>
    <xf numFmtId="0" fontId="18" fillId="49" borderId="353" xfId="0" applyFont="1" applyFill="1" applyBorder="1" applyAlignment="1">
      <alignment horizontal="left" vertical="center" wrapText="1" indent="1"/>
    </xf>
    <xf numFmtId="0" fontId="18" fillId="49" borderId="354" xfId="0" applyFont="1" applyFill="1" applyBorder="1" applyAlignment="1">
      <alignment horizontal="left" vertical="center" wrapText="1" indent="1"/>
    </xf>
    <xf numFmtId="49" fontId="18" fillId="69" borderId="355" xfId="55" applyBorder="1">
      <alignment horizontal="left" vertical="center"/>
      <protection locked="0"/>
    </xf>
    <xf numFmtId="49" fontId="18" fillId="69" borderId="62" xfId="55" applyBorder="1">
      <alignment horizontal="left" vertical="center"/>
      <protection locked="0"/>
    </xf>
    <xf numFmtId="49" fontId="18" fillId="69" borderId="356" xfId="55" applyBorder="1">
      <alignment horizontal="left" vertical="center"/>
      <protection locked="0"/>
    </xf>
    <xf numFmtId="0" fontId="18" fillId="0" borderId="74" xfId="49" applyBorder="1">
      <alignment horizontal="left" vertical="center" wrapText="1" indent="1"/>
    </xf>
    <xf numFmtId="0" fontId="18" fillId="0" borderId="357" xfId="49" applyBorder="1">
      <alignment horizontal="left" vertical="center" wrapText="1" indent="1"/>
    </xf>
    <xf numFmtId="0" fontId="18" fillId="0" borderId="358" xfId="49" applyBorder="1">
      <alignment horizontal="left" vertical="center" wrapText="1" indent="1"/>
    </xf>
    <xf numFmtId="0" fontId="143" fillId="68" borderId="0" xfId="0" applyFont="1" applyFill="1" applyAlignment="1">
      <alignment vertical="top"/>
    </xf>
    <xf numFmtId="164" fontId="18" fillId="69" borderId="52" xfId="0" applyNumberFormat="1" applyFont="1" applyFill="1" applyBorder="1" applyProtection="1">
      <protection locked="0"/>
    </xf>
    <xf numFmtId="164" fontId="18" fillId="69" borderId="232" xfId="0" applyNumberFormat="1" applyFont="1" applyFill="1" applyBorder="1" applyProtection="1">
      <protection locked="0"/>
    </xf>
    <xf numFmtId="164" fontId="18" fillId="69" borderId="147" xfId="0" applyNumberFormat="1" applyFont="1" applyFill="1" applyBorder="1" applyProtection="1">
      <protection locked="0"/>
    </xf>
    <xf numFmtId="164" fontId="18" fillId="69" borderId="70" xfId="0" applyNumberFormat="1" applyFont="1" applyFill="1" applyBorder="1" applyProtection="1">
      <protection locked="0"/>
    </xf>
    <xf numFmtId="164" fontId="18" fillId="69" borderId="186" xfId="0" applyNumberFormat="1" applyFont="1" applyFill="1" applyBorder="1" applyProtection="1">
      <protection locked="0"/>
    </xf>
    <xf numFmtId="164" fontId="18" fillId="69" borderId="28" xfId="0" applyNumberFormat="1" applyFont="1" applyFill="1" applyBorder="1" applyProtection="1">
      <protection locked="0"/>
    </xf>
    <xf numFmtId="164" fontId="18" fillId="69" borderId="29" xfId="0" applyNumberFormat="1" applyFont="1" applyFill="1" applyBorder="1" applyProtection="1">
      <protection locked="0"/>
    </xf>
    <xf numFmtId="0" fontId="18" fillId="0" borderId="75" xfId="49" applyFont="1">
      <alignment horizontal="left" vertical="center" wrapText="1" indent="1"/>
    </xf>
    <xf numFmtId="49" fontId="18" fillId="74" borderId="27" xfId="55" applyFill="1" applyBorder="1">
      <alignment horizontal="left" vertical="center"/>
      <protection locked="0"/>
    </xf>
    <xf numFmtId="49" fontId="18" fillId="69" borderId="160" xfId="55" applyBorder="1">
      <alignment horizontal="left" vertical="center"/>
      <protection locked="0"/>
    </xf>
    <xf numFmtId="0" fontId="39" fillId="0" borderId="359" xfId="49" applyFont="1" applyBorder="1">
      <alignment horizontal="left" vertical="center" wrapText="1" indent="1"/>
    </xf>
    <xf numFmtId="49" fontId="18" fillId="69" borderId="360" xfId="55" applyBorder="1">
      <alignment horizontal="left" vertical="center"/>
      <protection locked="0"/>
    </xf>
    <xf numFmtId="0" fontId="18" fillId="0" borderId="279" xfId="49" applyFont="1" applyBorder="1">
      <alignment horizontal="left" vertical="center" wrapText="1" indent="1"/>
    </xf>
    <xf numFmtId="0" fontId="102" fillId="60" borderId="0" xfId="0" applyFont="1" applyFill="1" applyAlignment="1">
      <alignment horizontal="right" indent="3"/>
    </xf>
    <xf numFmtId="0" fontId="38" fillId="60" borderId="0" xfId="64" quotePrefix="1" applyFont="1" applyFill="1" applyBorder="1"/>
    <xf numFmtId="0" fontId="18" fillId="49" borderId="361" xfId="0" applyFont="1" applyFill="1" applyBorder="1" applyAlignment="1">
      <alignment horizontal="left" vertical="center" wrapText="1" indent="1"/>
    </xf>
    <xf numFmtId="0" fontId="14" fillId="49" borderId="0" xfId="0" applyFont="1" applyFill="1"/>
    <xf numFmtId="167" fontId="38" fillId="59" borderId="170" xfId="48" applyBorder="1">
      <alignment horizontal="right"/>
      <protection locked="0"/>
    </xf>
    <xf numFmtId="10" fontId="38" fillId="59" borderId="21" xfId="66" applyBorder="1">
      <alignment horizontal="right"/>
      <protection locked="0"/>
    </xf>
    <xf numFmtId="10" fontId="38" fillId="59" borderId="67" xfId="66" applyBorder="1">
      <alignment horizontal="right"/>
      <protection locked="0"/>
    </xf>
    <xf numFmtId="10" fontId="38" fillId="59" borderId="185" xfId="66" applyBorder="1">
      <alignment horizontal="right"/>
      <protection locked="0"/>
    </xf>
    <xf numFmtId="10" fontId="38" fillId="59" borderId="22" xfId="66" applyBorder="1">
      <alignment horizontal="right"/>
      <protection locked="0"/>
    </xf>
    <xf numFmtId="10" fontId="38" fillId="59" borderId="23" xfId="66" applyBorder="1">
      <alignment horizontal="right"/>
      <protection locked="0"/>
    </xf>
    <xf numFmtId="10" fontId="38" fillId="59" borderId="90" xfId="66" applyBorder="1">
      <alignment horizontal="right"/>
      <protection locked="0"/>
    </xf>
    <xf numFmtId="10" fontId="38" fillId="59" borderId="91" xfId="66" applyBorder="1">
      <alignment horizontal="right"/>
      <protection locked="0"/>
    </xf>
    <xf numFmtId="10" fontId="38" fillId="59" borderId="232" xfId="66" applyBorder="1">
      <alignment horizontal="right"/>
      <protection locked="0"/>
    </xf>
    <xf numFmtId="10" fontId="38" fillId="59" borderId="52" xfId="66" applyBorder="1">
      <alignment horizontal="right"/>
      <protection locked="0"/>
    </xf>
    <xf numFmtId="10" fontId="38" fillId="59" borderId="147" xfId="66" applyBorder="1">
      <alignment horizontal="right"/>
      <protection locked="0"/>
    </xf>
    <xf numFmtId="10" fontId="38" fillId="59" borderId="27" xfId="66" applyBorder="1">
      <alignment horizontal="right"/>
      <protection locked="0"/>
    </xf>
    <xf numFmtId="10" fontId="38" fillId="59" borderId="70" xfId="66" applyBorder="1">
      <alignment horizontal="right"/>
      <protection locked="0"/>
    </xf>
    <xf numFmtId="10" fontId="38" fillId="59" borderId="186" xfId="66" applyBorder="1">
      <alignment horizontal="right"/>
      <protection locked="0"/>
    </xf>
    <xf numFmtId="10" fontId="38" fillId="59" borderId="28" xfId="66" applyBorder="1">
      <alignment horizontal="right"/>
      <protection locked="0"/>
    </xf>
    <xf numFmtId="10" fontId="38" fillId="59" borderId="29" xfId="66" applyBorder="1">
      <alignment horizontal="right"/>
      <protection locked="0"/>
    </xf>
    <xf numFmtId="10" fontId="38" fillId="59" borderId="119" xfId="66" applyBorder="1">
      <alignment horizontal="right"/>
      <protection locked="0"/>
    </xf>
    <xf numFmtId="10" fontId="38" fillId="59" borderId="234" xfId="66" applyBorder="1">
      <alignment horizontal="right"/>
      <protection locked="0"/>
    </xf>
    <xf numFmtId="10" fontId="38" fillId="59" borderId="209" xfId="66" applyBorder="1">
      <alignment horizontal="right"/>
      <protection locked="0"/>
    </xf>
    <xf numFmtId="10" fontId="38" fillId="59" borderId="120" xfId="66" applyBorder="1">
      <alignment horizontal="right"/>
      <protection locked="0"/>
    </xf>
    <xf numFmtId="10" fontId="38" fillId="59" borderId="210" xfId="66" applyBorder="1">
      <alignment horizontal="right"/>
      <protection locked="0"/>
    </xf>
    <xf numFmtId="10" fontId="38" fillId="59" borderId="32" xfId="66" applyBorder="1">
      <alignment horizontal="right"/>
      <protection locked="0"/>
    </xf>
    <xf numFmtId="10" fontId="38" fillId="59" borderId="188" xfId="66" applyBorder="1">
      <alignment horizontal="right"/>
      <protection locked="0"/>
    </xf>
    <xf numFmtId="10" fontId="38" fillId="59" borderId="187" xfId="66" applyBorder="1">
      <alignment horizontal="right"/>
      <protection locked="0"/>
    </xf>
    <xf numFmtId="10" fontId="38" fillId="59" borderId="33" xfId="66" applyBorder="1">
      <alignment horizontal="right"/>
      <protection locked="0"/>
    </xf>
    <xf numFmtId="10" fontId="38" fillId="59" borderId="34" xfId="66" applyBorder="1">
      <alignment horizontal="right"/>
      <protection locked="0"/>
    </xf>
    <xf numFmtId="167" fontId="38" fillId="66" borderId="162" xfId="48" applyFill="1" applyBorder="1" applyProtection="1">
      <alignment horizontal="right"/>
    </xf>
    <xf numFmtId="167" fontId="38" fillId="66" borderId="163" xfId="48" applyFill="1" applyBorder="1" applyProtection="1">
      <alignment horizontal="right"/>
    </xf>
    <xf numFmtId="167" fontId="38" fillId="66" borderId="166" xfId="48" applyFill="1" applyBorder="1" applyProtection="1">
      <alignment horizontal="right"/>
    </xf>
    <xf numFmtId="167" fontId="38" fillId="66" borderId="168" xfId="48" applyFill="1" applyBorder="1" applyProtection="1">
      <alignment horizontal="right"/>
    </xf>
    <xf numFmtId="167" fontId="38" fillId="66" borderId="173" xfId="48" applyFill="1" applyBorder="1" applyProtection="1">
      <alignment horizontal="right"/>
    </xf>
    <xf numFmtId="167" fontId="38" fillId="66" borderId="174" xfId="48" applyFill="1" applyBorder="1" applyProtection="1">
      <alignment horizontal="right"/>
    </xf>
    <xf numFmtId="167" fontId="38" fillId="66" borderId="177" xfId="48" applyFill="1" applyBorder="1" applyProtection="1">
      <alignment horizontal="right"/>
    </xf>
    <xf numFmtId="167" fontId="38" fillId="66" borderId="165" xfId="48" applyFill="1" applyBorder="1" applyProtection="1">
      <alignment horizontal="right"/>
    </xf>
    <xf numFmtId="167" fontId="38" fillId="66" borderId="171" xfId="48" applyFill="1" applyBorder="1" applyProtection="1">
      <alignment horizontal="right"/>
    </xf>
    <xf numFmtId="167" fontId="38" fillId="66" borderId="176" xfId="48" applyFill="1" applyBorder="1" applyProtection="1">
      <alignment horizontal="right"/>
    </xf>
    <xf numFmtId="167" fontId="38" fillId="66" borderId="192" xfId="48" applyFill="1" applyBorder="1" applyProtection="1">
      <alignment horizontal="right"/>
    </xf>
    <xf numFmtId="167" fontId="38" fillId="66" borderId="196" xfId="48" applyFill="1" applyBorder="1" applyProtection="1">
      <alignment horizontal="right"/>
    </xf>
    <xf numFmtId="167" fontId="38" fillId="66" borderId="194" xfId="48" applyFill="1" applyBorder="1" applyProtection="1">
      <alignment horizontal="right"/>
    </xf>
    <xf numFmtId="167" fontId="38" fillId="66" borderId="195" xfId="48" applyFill="1" applyBorder="1" applyProtection="1">
      <alignment horizontal="right"/>
    </xf>
    <xf numFmtId="0" fontId="18" fillId="60" borderId="27" xfId="55" applyNumberFormat="1" applyFill="1" applyBorder="1" applyProtection="1">
      <alignment horizontal="left" vertical="center"/>
    </xf>
    <xf numFmtId="164" fontId="18" fillId="60" borderId="33" xfId="0" applyNumberFormat="1" applyFont="1" applyFill="1" applyBorder="1" applyProtection="1">
      <protection locked="0"/>
    </xf>
    <xf numFmtId="164" fontId="18" fillId="60" borderId="188" xfId="0" applyNumberFormat="1" applyFont="1" applyFill="1" applyBorder="1" applyProtection="1">
      <protection locked="0"/>
    </xf>
    <xf numFmtId="164" fontId="18" fillId="60" borderId="187" xfId="0" applyNumberFormat="1" applyFont="1" applyFill="1" applyBorder="1" applyProtection="1">
      <protection locked="0"/>
    </xf>
    <xf numFmtId="164" fontId="18" fillId="60" borderId="34" xfId="0" applyNumberFormat="1" applyFont="1" applyFill="1" applyBorder="1" applyProtection="1">
      <protection locked="0"/>
    </xf>
    <xf numFmtId="0" fontId="0" fillId="49" borderId="39" xfId="0" applyFill="1" applyBorder="1" applyAlignment="1">
      <alignment vertical="center"/>
    </xf>
    <xf numFmtId="0" fontId="0" fillId="49" borderId="86" xfId="0" applyFill="1" applyBorder="1" applyAlignment="1">
      <alignment vertical="center"/>
    </xf>
    <xf numFmtId="0" fontId="19" fillId="87" borderId="0" xfId="0" applyFont="1" applyFill="1" applyAlignment="1">
      <alignment horizontal="right" vertical="center" wrapText="1"/>
    </xf>
    <xf numFmtId="0" fontId="24" fillId="47" borderId="0" xfId="0" applyFont="1" applyFill="1" applyAlignment="1" applyProtection="1">
      <alignment horizontal="left" wrapText="1"/>
      <protection locked="0"/>
    </xf>
    <xf numFmtId="0" fontId="24" fillId="47" borderId="38" xfId="0" applyFont="1" applyFill="1" applyBorder="1" applyAlignment="1" applyProtection="1">
      <alignment horizontal="left" wrapText="1"/>
      <protection locked="0"/>
    </xf>
    <xf numFmtId="49" fontId="21" fillId="45" borderId="78" xfId="57" applyBorder="1" applyAlignment="1">
      <alignment horizontal="center" vertical="center" wrapText="1"/>
    </xf>
    <xf numFmtId="0" fontId="21" fillId="41" borderId="21" xfId="52" applyBorder="1" applyAlignment="1">
      <alignment horizontal="center" vertical="center" wrapText="1"/>
    </xf>
    <xf numFmtId="170" fontId="74" fillId="70" borderId="18" xfId="68">
      <alignment horizontal="right" vertical="center"/>
    </xf>
    <xf numFmtId="49" fontId="18" fillId="69" borderId="28" xfId="69" applyAlignment="1">
      <protection locked="0"/>
    </xf>
    <xf numFmtId="0" fontId="18" fillId="0" borderId="75" xfId="70">
      <alignment horizontal="left" vertical="center" wrapText="1" indent="1"/>
    </xf>
    <xf numFmtId="173" fontId="18" fillId="69" borderId="0" xfId="71">
      <protection locked="0"/>
    </xf>
    <xf numFmtId="0" fontId="37" fillId="95" borderId="0" xfId="72" applyBorder="1">
      <alignment horizontal="left" vertical="center"/>
    </xf>
    <xf numFmtId="0" fontId="37" fillId="58" borderId="0" xfId="73" applyBorder="1">
      <alignment vertical="center"/>
    </xf>
    <xf numFmtId="0" fontId="36" fillId="96" borderId="0" xfId="74" applyBorder="1">
      <alignment vertical="center"/>
    </xf>
    <xf numFmtId="0" fontId="121" fillId="43" borderId="30" xfId="0" applyFont="1" applyFill="1" applyBorder="1" applyAlignment="1">
      <alignment horizontal="center"/>
    </xf>
    <xf numFmtId="0" fontId="121" fillId="43" borderId="362" xfId="0" applyFont="1" applyFill="1" applyBorder="1" applyAlignment="1">
      <alignment horizontal="center"/>
    </xf>
    <xf numFmtId="0" fontId="121" fillId="43" borderId="363" xfId="0" applyFont="1" applyFill="1" applyBorder="1" applyAlignment="1">
      <alignment horizontal="center"/>
    </xf>
    <xf numFmtId="0" fontId="18" fillId="97" borderId="363" xfId="0" applyFont="1" applyFill="1" applyBorder="1" applyAlignment="1">
      <alignment vertical="top"/>
    </xf>
    <xf numFmtId="0" fontId="121" fillId="43" borderId="11" xfId="0" applyFont="1" applyFill="1" applyBorder="1" applyAlignment="1">
      <alignment horizontal="center"/>
    </xf>
    <xf numFmtId="0" fontId="121" fillId="43" borderId="364" xfId="0" applyFont="1" applyFill="1" applyBorder="1" applyAlignment="1">
      <alignment horizontal="center"/>
    </xf>
    <xf numFmtId="0" fontId="18" fillId="97" borderId="20" xfId="0" applyFont="1" applyFill="1" applyBorder="1" applyAlignment="1">
      <alignment vertical="top"/>
    </xf>
    <xf numFmtId="0" fontId="0" fillId="0" borderId="0" xfId="0" applyAlignment="1">
      <alignment horizontal="right" vertical="top" wrapText="1"/>
    </xf>
    <xf numFmtId="0" fontId="121" fillId="0" borderId="0" xfId="0" applyFont="1"/>
    <xf numFmtId="0" fontId="121" fillId="34" borderId="14" xfId="0" quotePrefix="1" applyFont="1" applyFill="1" applyBorder="1" applyAlignment="1">
      <alignment horizontal="left" vertical="top"/>
    </xf>
    <xf numFmtId="0" fontId="145" fillId="0" borderId="0" xfId="0" applyFont="1" applyAlignment="1">
      <alignment horizontal="left"/>
    </xf>
    <xf numFmtId="0" fontId="121" fillId="34" borderId="15" xfId="0" applyFont="1" applyFill="1" applyBorder="1" applyAlignment="1">
      <alignment horizontal="left" vertical="top"/>
    </xf>
    <xf numFmtId="0" fontId="121" fillId="34" borderId="14" xfId="0" applyFont="1" applyFill="1" applyBorder="1" applyAlignment="1">
      <alignment horizontal="left" vertical="top"/>
    </xf>
    <xf numFmtId="49" fontId="121" fillId="34" borderId="14" xfId="0" quotePrefix="1" applyNumberFormat="1" applyFont="1" applyFill="1" applyBorder="1" applyAlignment="1">
      <alignment horizontal="left" vertical="top"/>
    </xf>
    <xf numFmtId="0" fontId="146" fillId="34" borderId="14" xfId="0" applyFont="1" applyFill="1" applyBorder="1" applyAlignment="1">
      <alignment horizontal="center" vertical="top"/>
    </xf>
    <xf numFmtId="0" fontId="146" fillId="34" borderId="13" xfId="0" applyFont="1" applyFill="1" applyBorder="1" applyAlignment="1">
      <alignment horizontal="center" vertical="top"/>
    </xf>
    <xf numFmtId="0" fontId="32" fillId="0" borderId="33" xfId="0" applyFont="1" applyBorder="1" applyAlignment="1">
      <alignment vertical="center"/>
    </xf>
    <xf numFmtId="0" fontId="32" fillId="0" borderId="34" xfId="0" applyFont="1" applyBorder="1" applyAlignment="1">
      <alignment vertical="center"/>
    </xf>
    <xf numFmtId="0" fontId="32" fillId="0" borderId="32" xfId="0" applyFont="1" applyBorder="1" applyAlignment="1">
      <alignment vertical="center"/>
    </xf>
    <xf numFmtId="0" fontId="32" fillId="0" borderId="28" xfId="0" applyFont="1" applyBorder="1" applyAlignment="1">
      <alignment vertical="center"/>
    </xf>
    <xf numFmtId="0" fontId="32" fillId="0" borderId="29" xfId="0" applyFont="1" applyBorder="1" applyAlignment="1">
      <alignment vertical="center"/>
    </xf>
    <xf numFmtId="0" fontId="32" fillId="0" borderId="27" xfId="0" applyFont="1" applyBorder="1" applyAlignment="1">
      <alignment vertical="center"/>
    </xf>
    <xf numFmtId="0" fontId="32" fillId="52" borderId="27" xfId="0" applyFont="1" applyFill="1" applyBorder="1" applyAlignment="1">
      <alignment vertical="center"/>
    </xf>
    <xf numFmtId="0" fontId="32" fillId="52" borderId="29" xfId="0" applyFont="1" applyFill="1" applyBorder="1" applyAlignment="1">
      <alignment vertical="center"/>
    </xf>
    <xf numFmtId="0" fontId="32" fillId="52" borderId="23" xfId="0" applyFont="1" applyFill="1" applyBorder="1" applyAlignment="1">
      <alignment vertical="center"/>
    </xf>
    <xf numFmtId="0" fontId="32" fillId="52" borderId="21" xfId="0" applyFont="1" applyFill="1" applyBorder="1" applyAlignment="1">
      <alignment vertical="center"/>
    </xf>
    <xf numFmtId="0" fontId="0" fillId="98" borderId="0" xfId="0" applyFill="1"/>
    <xf numFmtId="0" fontId="16" fillId="98" borderId="0" xfId="0" applyFont="1" applyFill="1"/>
    <xf numFmtId="0" fontId="19" fillId="44" borderId="19" xfId="0" applyFont="1" applyFill="1" applyBorder="1" applyAlignment="1">
      <alignment horizontal="centerContinuous" vertical="center" wrapText="1"/>
    </xf>
    <xf numFmtId="0" fontId="19" fillId="44" borderId="16" xfId="0" applyFont="1" applyFill="1" applyBorder="1" applyAlignment="1">
      <alignment horizontal="centerContinuous" vertical="center" wrapText="1"/>
    </xf>
    <xf numFmtId="0" fontId="147" fillId="41" borderId="200" xfId="0" quotePrefix="1" applyFont="1" applyFill="1" applyBorder="1" applyAlignment="1">
      <alignment horizontal="left"/>
    </xf>
    <xf numFmtId="0" fontId="147" fillId="41" borderId="80" xfId="0" quotePrefix="1" applyFont="1" applyFill="1" applyBorder="1" applyAlignment="1">
      <alignment horizontal="left"/>
    </xf>
    <xf numFmtId="0" fontId="147" fillId="41" borderId="223" xfId="0" quotePrefix="1" applyFont="1" applyFill="1" applyBorder="1" applyAlignment="1">
      <alignment horizontal="left"/>
    </xf>
    <xf numFmtId="0" fontId="147" fillId="41" borderId="222" xfId="0" quotePrefix="1" applyFont="1" applyFill="1" applyBorder="1" applyAlignment="1">
      <alignment horizontal="left"/>
    </xf>
    <xf numFmtId="0" fontId="147" fillId="41" borderId="82" xfId="0" quotePrefix="1" applyFont="1" applyFill="1" applyBorder="1" applyAlignment="1">
      <alignment horizontal="left"/>
    </xf>
    <xf numFmtId="0" fontId="147" fillId="41" borderId="37" xfId="0" quotePrefix="1" applyFont="1" applyFill="1" applyBorder="1" applyAlignment="1">
      <alignment horizontal="left"/>
    </xf>
    <xf numFmtId="0" fontId="147" fillId="41" borderId="347" xfId="0" quotePrefix="1" applyFont="1" applyFill="1" applyBorder="1" applyAlignment="1">
      <alignment horizontal="left"/>
    </xf>
    <xf numFmtId="0" fontId="147" fillId="41" borderId="25" xfId="0" quotePrefix="1" applyFont="1" applyFill="1" applyBorder="1" applyAlignment="1">
      <alignment horizontal="left"/>
    </xf>
    <xf numFmtId="0" fontId="147" fillId="41" borderId="10" xfId="0" quotePrefix="1" applyFont="1" applyFill="1" applyBorder="1" applyAlignment="1">
      <alignment horizontal="left"/>
    </xf>
    <xf numFmtId="49" fontId="0" fillId="60" borderId="34" xfId="0" applyNumberFormat="1" applyFill="1" applyBorder="1" applyAlignment="1">
      <alignment horizontal="center"/>
    </xf>
    <xf numFmtId="49" fontId="0" fillId="60" borderId="29" xfId="0" applyNumberFormat="1" applyFill="1" applyBorder="1" applyAlignment="1">
      <alignment horizontal="center"/>
    </xf>
    <xf numFmtId="49" fontId="0" fillId="60" borderId="23" xfId="0" applyNumberFormat="1" applyFill="1" applyBorder="1" applyAlignment="1">
      <alignment horizontal="center"/>
    </xf>
    <xf numFmtId="0" fontId="27" fillId="0" borderId="365" xfId="0" applyFont="1" applyBorder="1"/>
    <xf numFmtId="0" fontId="18" fillId="0" borderId="26" xfId="0" applyFont="1" applyBorder="1"/>
    <xf numFmtId="0" fontId="27" fillId="0" borderId="26" xfId="0" applyFont="1" applyBorder="1"/>
    <xf numFmtId="0" fontId="27" fillId="0" borderId="25" xfId="0" applyFont="1" applyBorder="1"/>
    <xf numFmtId="171" fontId="18" fillId="0" borderId="26" xfId="0" applyNumberFormat="1" applyFont="1" applyBorder="1" applyAlignment="1">
      <alignment horizontal="center" vertical="center"/>
    </xf>
    <xf numFmtId="0" fontId="18" fillId="0" borderId="26" xfId="0" applyFont="1" applyBorder="1" applyAlignment="1">
      <alignment vertical="center"/>
    </xf>
    <xf numFmtId="0" fontId="18" fillId="0" borderId="25" xfId="0" applyFont="1" applyBorder="1" applyAlignment="1">
      <alignment vertical="center"/>
    </xf>
    <xf numFmtId="0" fontId="18" fillId="0" borderId="26" xfId="0" applyFont="1" applyBorder="1" applyAlignment="1">
      <alignment vertical="top"/>
    </xf>
    <xf numFmtId="0" fontId="18" fillId="0" borderId="30" xfId="0" applyFont="1" applyBorder="1" applyAlignment="1">
      <alignment horizontal="center" vertical="top"/>
    </xf>
    <xf numFmtId="1" fontId="18" fillId="0" borderId="30" xfId="0" applyNumberFormat="1" applyFont="1" applyBorder="1" applyAlignment="1">
      <alignment horizontal="center" vertical="top"/>
    </xf>
    <xf numFmtId="1" fontId="18" fillId="0" borderId="26" xfId="0" applyNumberFormat="1" applyFont="1" applyBorder="1" applyAlignment="1">
      <alignment horizontal="center" vertical="top"/>
    </xf>
    <xf numFmtId="0" fontId="18" fillId="0" borderId="25" xfId="0" applyFont="1" applyBorder="1" applyAlignment="1">
      <alignment horizontal="center" vertical="top"/>
    </xf>
    <xf numFmtId="0" fontId="18" fillId="0" borderId="25" xfId="0" applyFont="1" applyBorder="1" applyAlignment="1">
      <alignment horizontal="left" vertical="top"/>
    </xf>
    <xf numFmtId="166" fontId="18" fillId="0" borderId="42" xfId="0" applyNumberFormat="1" applyFont="1" applyBorder="1" applyAlignment="1">
      <alignment horizontal="right" vertical="top" indent="1"/>
    </xf>
    <xf numFmtId="0" fontId="20" fillId="0" borderId="41" xfId="0" applyFont="1" applyBorder="1" applyAlignment="1">
      <alignment vertical="top"/>
    </xf>
    <xf numFmtId="0" fontId="27" fillId="53" borderId="365" xfId="0" applyFont="1" applyFill="1" applyBorder="1"/>
    <xf numFmtId="171" fontId="18" fillId="53" borderId="26" xfId="0" applyNumberFormat="1" applyFont="1" applyFill="1" applyBorder="1" applyAlignment="1">
      <alignment horizontal="center" vertical="center"/>
    </xf>
    <xf numFmtId="166" fontId="18" fillId="53" borderId="42" xfId="0" applyNumberFormat="1" applyFont="1" applyFill="1" applyBorder="1" applyAlignment="1">
      <alignment horizontal="right" vertical="top" indent="1"/>
    </xf>
    <xf numFmtId="0" fontId="20" fillId="53" borderId="41" xfId="0" applyFont="1" applyFill="1" applyBorder="1" applyAlignment="1">
      <alignment vertical="top"/>
    </xf>
    <xf numFmtId="1" fontId="20" fillId="0" borderId="30" xfId="0" applyNumberFormat="1" applyFont="1" applyBorder="1" applyAlignment="1">
      <alignment horizontal="center" vertical="top"/>
    </xf>
    <xf numFmtId="1" fontId="20" fillId="0" borderId="26" xfId="0" applyNumberFormat="1" applyFont="1" applyBorder="1" applyAlignment="1">
      <alignment horizontal="center" vertical="top"/>
    </xf>
    <xf numFmtId="0" fontId="26" fillId="0" borderId="26" xfId="0" applyFont="1" applyBorder="1" applyAlignment="1">
      <alignment vertical="top"/>
    </xf>
    <xf numFmtId="174" fontId="18" fillId="53" borderId="42" xfId="0" applyNumberFormat="1" applyFont="1" applyFill="1" applyBorder="1" applyAlignment="1">
      <alignment horizontal="right" vertical="top" indent="1"/>
    </xf>
    <xf numFmtId="171" fontId="18" fillId="0" borderId="26" xfId="0" applyNumberFormat="1" applyFont="1" applyBorder="1" applyAlignment="1">
      <alignment horizontal="center"/>
    </xf>
    <xf numFmtId="0" fontId="18" fillId="0" borderId="26" xfId="0" applyFont="1" applyBorder="1" applyAlignment="1">
      <alignment horizontal="center" vertical="top"/>
    </xf>
    <xf numFmtId="171" fontId="18" fillId="53" borderId="26" xfId="0" applyNumberFormat="1" applyFont="1" applyFill="1" applyBorder="1" applyAlignment="1">
      <alignment horizontal="center"/>
    </xf>
    <xf numFmtId="0" fontId="18" fillId="0" borderId="25" xfId="0" applyFont="1" applyBorder="1"/>
    <xf numFmtId="0" fontId="0" fillId="0" borderId="25" xfId="0" applyBorder="1" applyAlignment="1">
      <alignment horizontal="left" vertical="top"/>
    </xf>
    <xf numFmtId="166" fontId="18" fillId="60" borderId="42" xfId="0" applyNumberFormat="1" applyFont="1" applyFill="1" applyBorder="1" applyAlignment="1">
      <alignment horizontal="right" vertical="top" indent="1"/>
    </xf>
    <xf numFmtId="0" fontId="20" fillId="60" borderId="41" xfId="0" applyFont="1" applyFill="1" applyBorder="1" applyAlignment="1">
      <alignment vertical="top"/>
    </xf>
    <xf numFmtId="0" fontId="0" fillId="53" borderId="25" xfId="0" applyFill="1" applyBorder="1" applyAlignment="1">
      <alignment horizontal="left" vertical="top"/>
    </xf>
    <xf numFmtId="0" fontId="29" fillId="53" borderId="25" xfId="0" applyFont="1" applyFill="1" applyBorder="1" applyAlignment="1">
      <alignment horizontal="center" vertical="top"/>
    </xf>
    <xf numFmtId="174" fontId="18" fillId="0" borderId="42" xfId="0" applyNumberFormat="1" applyFont="1" applyBorder="1" applyAlignment="1">
      <alignment horizontal="right" vertical="top" indent="1"/>
    </xf>
    <xf numFmtId="0" fontId="0" fillId="34" borderId="15" xfId="0" applyFill="1" applyBorder="1"/>
    <xf numFmtId="0" fontId="0" fillId="34" borderId="14" xfId="0" applyFill="1" applyBorder="1"/>
    <xf numFmtId="0" fontId="0" fillId="34" borderId="13" xfId="0" applyFill="1" applyBorder="1"/>
    <xf numFmtId="0" fontId="16" fillId="47" borderId="15" xfId="0" applyFont="1" applyFill="1" applyBorder="1" applyAlignment="1">
      <alignment horizontal="center"/>
    </xf>
    <xf numFmtId="0" fontId="16" fillId="47" borderId="14" xfId="0" applyFont="1" applyFill="1" applyBorder="1"/>
    <xf numFmtId="0" fontId="16" fillId="47" borderId="13" xfId="0" applyFont="1" applyFill="1" applyBorder="1"/>
    <xf numFmtId="0" fontId="0" fillId="60" borderId="14" xfId="0" applyFill="1" applyBorder="1"/>
    <xf numFmtId="0" fontId="0" fillId="60" borderId="14" xfId="0" applyFill="1" applyBorder="1" applyAlignment="1">
      <alignment vertical="center"/>
    </xf>
    <xf numFmtId="1" fontId="20" fillId="60" borderId="14" xfId="0" applyNumberFormat="1" applyFont="1" applyFill="1" applyBorder="1"/>
    <xf numFmtId="0" fontId="20" fillId="60" borderId="14" xfId="0" applyFont="1" applyFill="1" applyBorder="1"/>
    <xf numFmtId="0" fontId="20" fillId="60" borderId="14" xfId="0" applyFont="1" applyFill="1" applyBorder="1" applyAlignment="1">
      <alignment horizontal="center"/>
    </xf>
    <xf numFmtId="0" fontId="0" fillId="60" borderId="14" xfId="0" applyFill="1" applyBorder="1" applyAlignment="1">
      <alignment horizontal="left"/>
    </xf>
    <xf numFmtId="49" fontId="20" fillId="60" borderId="14" xfId="0" applyNumberFormat="1" applyFont="1" applyFill="1" applyBorder="1"/>
    <xf numFmtId="0" fontId="20" fillId="60" borderId="13" xfId="0" applyFont="1" applyFill="1" applyBorder="1"/>
    <xf numFmtId="0" fontId="0" fillId="60" borderId="0" xfId="0" applyFill="1"/>
    <xf numFmtId="0" fontId="0" fillId="60" borderId="0" xfId="0" applyFill="1" applyAlignment="1">
      <alignment vertical="center"/>
    </xf>
    <xf numFmtId="0" fontId="0" fillId="60" borderId="37" xfId="0" applyFill="1" applyBorder="1"/>
    <xf numFmtId="0" fontId="0" fillId="60" borderId="11" xfId="0" applyFill="1" applyBorder="1"/>
    <xf numFmtId="0" fontId="0" fillId="60" borderId="11" xfId="0" applyFill="1" applyBorder="1" applyAlignment="1">
      <alignment vertical="center"/>
    </xf>
    <xf numFmtId="0" fontId="0" fillId="60" borderId="10" xfId="0" applyFill="1" applyBorder="1"/>
    <xf numFmtId="0" fontId="22" fillId="46" borderId="15" xfId="0" applyFont="1" applyFill="1" applyBorder="1" applyAlignment="1">
      <alignment vertical="top"/>
    </xf>
    <xf numFmtId="0" fontId="22" fillId="46" borderId="14" xfId="0" applyFont="1" applyFill="1" applyBorder="1" applyAlignment="1">
      <alignment vertical="top"/>
    </xf>
    <xf numFmtId="0" fontId="22" fillId="46" borderId="14" xfId="0" applyFont="1" applyFill="1" applyBorder="1" applyAlignment="1">
      <alignment horizontal="left" vertical="top"/>
    </xf>
    <xf numFmtId="0" fontId="22" fillId="46" borderId="13" xfId="0" applyFont="1" applyFill="1" applyBorder="1" applyAlignment="1">
      <alignment vertical="top"/>
    </xf>
    <xf numFmtId="0" fontId="22" fillId="46" borderId="38" xfId="0" applyFont="1" applyFill="1" applyBorder="1" applyAlignment="1">
      <alignment vertical="top"/>
    </xf>
    <xf numFmtId="0" fontId="22" fillId="46" borderId="0" xfId="0" applyFont="1" applyFill="1" applyAlignment="1">
      <alignment vertical="top"/>
    </xf>
    <xf numFmtId="0" fontId="22" fillId="46" borderId="0" xfId="0" applyFont="1" applyFill="1" applyAlignment="1">
      <alignment horizontal="left" vertical="top"/>
    </xf>
    <xf numFmtId="14" fontId="22" fillId="46" borderId="0" xfId="0" applyNumberFormat="1" applyFont="1" applyFill="1" applyAlignment="1">
      <alignment horizontal="left" vertical="top"/>
    </xf>
    <xf numFmtId="0" fontId="22" fillId="46" borderId="37" xfId="0" applyFont="1" applyFill="1" applyBorder="1" applyAlignment="1">
      <alignment vertical="top"/>
    </xf>
    <xf numFmtId="49" fontId="21" fillId="46" borderId="37" xfId="0" applyNumberFormat="1" applyFont="1" applyFill="1" applyBorder="1" applyAlignment="1">
      <alignment horizontal="right" vertical="top"/>
    </xf>
    <xf numFmtId="0" fontId="21" fillId="46" borderId="12" xfId="0" applyFont="1" applyFill="1" applyBorder="1" applyAlignment="1">
      <alignment horizontal="center" vertical="top"/>
    </xf>
    <xf numFmtId="0" fontId="21" fillId="46" borderId="11" xfId="0" applyFont="1" applyFill="1" applyBorder="1" applyAlignment="1">
      <alignment horizontal="center" vertical="top"/>
    </xf>
    <xf numFmtId="0" fontId="21" fillId="46" borderId="10" xfId="0" applyFont="1" applyFill="1" applyBorder="1" applyAlignment="1">
      <alignment horizontal="left" vertical="top"/>
    </xf>
    <xf numFmtId="164" fontId="18" fillId="60" borderId="52" xfId="0" applyNumberFormat="1" applyFont="1" applyFill="1" applyBorder="1" applyProtection="1">
      <protection locked="0"/>
    </xf>
    <xf numFmtId="164" fontId="18" fillId="60" borderId="91" xfId="0" applyNumberFormat="1" applyFont="1" applyFill="1" applyBorder="1" applyProtection="1">
      <protection locked="0"/>
    </xf>
    <xf numFmtId="49" fontId="21" fillId="45" borderId="160" xfId="57" applyBorder="1">
      <alignment horizontal="centerContinuous" vertical="center" wrapText="1"/>
    </xf>
    <xf numFmtId="49" fontId="21" fillId="45" borderId="117" xfId="57" applyBorder="1">
      <alignment horizontal="centerContinuous" vertical="center" wrapText="1"/>
    </xf>
    <xf numFmtId="49" fontId="21" fillId="45" borderId="161" xfId="57" applyBorder="1">
      <alignment horizontal="centerContinuous" vertical="center" wrapText="1"/>
    </xf>
    <xf numFmtId="0" fontId="21" fillId="41" borderId="90" xfId="52">
      <alignment horizontal="centerContinuous" vertical="center" wrapText="1"/>
    </xf>
    <xf numFmtId="0" fontId="21" fillId="41" borderId="21" xfId="52" applyBorder="1">
      <alignment horizontal="centerContinuous" vertical="center" wrapText="1"/>
    </xf>
    <xf numFmtId="0" fontId="21" fillId="41" borderId="49" xfId="52" applyBorder="1">
      <alignment horizontal="centerContinuous" vertical="center" wrapText="1"/>
    </xf>
    <xf numFmtId="0" fontId="21" fillId="41" borderId="208" xfId="52" applyBorder="1">
      <alignment horizontal="centerContinuous" vertical="center" wrapText="1"/>
    </xf>
    <xf numFmtId="49" fontId="21" fillId="45" borderId="21" xfId="57" applyBorder="1">
      <alignment horizontal="centerContinuous" vertical="center" wrapText="1"/>
    </xf>
    <xf numFmtId="49" fontId="21" fillId="45" borderId="22" xfId="57" applyBorder="1">
      <alignment horizontal="centerContinuous" vertical="center" wrapText="1"/>
    </xf>
    <xf numFmtId="49" fontId="21" fillId="45" borderId="23" xfId="57" applyBorder="1">
      <alignment horizontal="centerContinuous" vertical="center" wrapText="1"/>
    </xf>
    <xf numFmtId="0" fontId="34" fillId="56" borderId="0" xfId="50" quotePrefix="1" applyNumberFormat="1" applyAlignment="1">
      <alignment horizontal="centerContinuous" vertical="center"/>
    </xf>
    <xf numFmtId="0" fontId="34" fillId="56" borderId="0" xfId="50" applyNumberFormat="1" applyAlignment="1">
      <alignment horizontal="centerContinuous" vertical="center"/>
    </xf>
    <xf numFmtId="0" fontId="132" fillId="56" borderId="0" xfId="50" applyNumberFormat="1" applyFont="1" applyAlignment="1">
      <alignment horizontal="centerContinuous" vertical="center"/>
    </xf>
    <xf numFmtId="49" fontId="132" fillId="56" borderId="0" xfId="50" applyFont="1" applyAlignment="1">
      <alignment horizontal="centerContinuous" vertical="center"/>
    </xf>
    <xf numFmtId="0" fontId="103" fillId="50" borderId="0" xfId="0" applyFont="1" applyFill="1" applyAlignment="1">
      <alignment horizontal="centerContinuous"/>
    </xf>
    <xf numFmtId="0" fontId="103" fillId="50" borderId="0" xfId="0" applyFont="1" applyFill="1" applyAlignment="1">
      <alignment horizontal="centerContinuous" wrapText="1"/>
    </xf>
    <xf numFmtId="0" fontId="151" fillId="50" borderId="0" xfId="0" applyFont="1" applyFill="1" applyAlignment="1">
      <alignment horizontal="right" indent="3"/>
    </xf>
    <xf numFmtId="49" fontId="95" fillId="50" borderId="0" xfId="0" quotePrefix="1" applyNumberFormat="1" applyFont="1" applyFill="1"/>
    <xf numFmtId="0" fontId="17" fillId="0" borderId="0" xfId="0" applyFont="1"/>
    <xf numFmtId="0" fontId="21" fillId="72" borderId="133" xfId="59" applyBorder="1" applyAlignment="1">
      <alignment horizontal="center" vertical="center" wrapText="1"/>
    </xf>
    <xf numFmtId="167" fontId="38" fillId="59" borderId="232" xfId="48" applyBorder="1">
      <alignment horizontal="right"/>
      <protection locked="0"/>
    </xf>
    <xf numFmtId="0" fontId="21" fillId="72" borderId="89" xfId="59" applyBorder="1">
      <alignment horizontal="right" vertical="center" wrapText="1" indent="1"/>
    </xf>
    <xf numFmtId="0" fontId="21" fillId="72" borderId="93" xfId="59" applyBorder="1">
      <alignment horizontal="right" vertical="center" wrapText="1" indent="1"/>
    </xf>
    <xf numFmtId="0" fontId="21" fillId="72" borderId="94" xfId="59" applyBorder="1">
      <alignment horizontal="right" vertical="center" wrapText="1" indent="1"/>
    </xf>
    <xf numFmtId="167" fontId="38" fillId="66" borderId="173" xfId="48" applyFill="1" applyBorder="1">
      <alignment horizontal="right"/>
      <protection locked="0"/>
    </xf>
    <xf numFmtId="167" fontId="38" fillId="66" borderId="174" xfId="48" applyFill="1" applyBorder="1">
      <alignment horizontal="right"/>
      <protection locked="0"/>
    </xf>
    <xf numFmtId="167" fontId="38" fillId="66" borderId="177" xfId="48" applyFill="1" applyBorder="1">
      <alignment horizontal="right"/>
      <protection locked="0"/>
    </xf>
    <xf numFmtId="175" fontId="18" fillId="53" borderId="42" xfId="0" applyNumberFormat="1" applyFont="1" applyFill="1" applyBorder="1" applyAlignment="1">
      <alignment horizontal="right" vertical="top" indent="1"/>
    </xf>
    <xf numFmtId="0" fontId="27" fillId="53" borderId="25" xfId="0" applyFont="1" applyFill="1" applyBorder="1" applyAlignment="1">
      <alignment horizontal="left" vertical="center"/>
    </xf>
    <xf numFmtId="0" fontId="27" fillId="53" borderId="26" xfId="0" applyFont="1" applyFill="1" applyBorder="1" applyAlignment="1">
      <alignment vertical="center"/>
    </xf>
    <xf numFmtId="0" fontId="27" fillId="53" borderId="26" xfId="0" applyFont="1" applyFill="1" applyBorder="1" applyAlignment="1">
      <alignment horizontal="left" vertical="center"/>
    </xf>
    <xf numFmtId="0" fontId="23" fillId="35" borderId="10" xfId="0" applyFont="1" applyFill="1" applyBorder="1" applyAlignment="1">
      <alignment horizontal="right" vertical="top" wrapText="1"/>
    </xf>
    <xf numFmtId="0" fontId="19" fillId="35" borderId="10" xfId="0" applyFont="1" applyFill="1" applyBorder="1" applyAlignment="1">
      <alignment horizontal="right" vertical="top" wrapText="1"/>
    </xf>
    <xf numFmtId="0" fontId="19" fillId="35" borderId="40" xfId="0" applyFont="1" applyFill="1" applyBorder="1" applyAlignment="1">
      <alignment horizontal="right" vertical="top" wrapText="1"/>
    </xf>
    <xf numFmtId="0" fontId="23" fillId="36" borderId="11" xfId="0" applyFont="1" applyFill="1" applyBorder="1" applyAlignment="1">
      <alignment horizontal="right" vertical="top" wrapText="1"/>
    </xf>
    <xf numFmtId="0" fontId="23" fillId="38" borderId="11" xfId="0" applyFont="1" applyFill="1" applyBorder="1" applyAlignment="1">
      <alignment horizontal="right" vertical="top" wrapText="1"/>
    </xf>
    <xf numFmtId="0" fontId="19" fillId="39" borderId="11" xfId="0" applyFont="1" applyFill="1" applyBorder="1" applyAlignment="1">
      <alignment horizontal="right" vertical="top" wrapText="1"/>
    </xf>
    <xf numFmtId="0" fontId="19" fillId="35" borderId="11" xfId="0" applyFont="1" applyFill="1" applyBorder="1" applyAlignment="1">
      <alignment horizontal="right" vertical="top" wrapText="1"/>
    </xf>
    <xf numFmtId="0" fontId="19" fillId="40" borderId="11" xfId="0" applyFont="1" applyFill="1" applyBorder="1" applyAlignment="1">
      <alignment horizontal="right" vertical="top" wrapText="1"/>
    </xf>
    <xf numFmtId="0" fontId="19" fillId="40" borderId="10" xfId="0" applyFont="1" applyFill="1" applyBorder="1" applyAlignment="1">
      <alignment horizontal="right" vertical="top" wrapText="1"/>
    </xf>
    <xf numFmtId="0" fontId="19" fillId="98" borderId="36" xfId="0" applyFont="1" applyFill="1" applyBorder="1" applyAlignment="1">
      <alignment horizontal="right" vertical="top" wrapText="1"/>
    </xf>
    <xf numFmtId="0" fontId="22" fillId="97" borderId="10" xfId="0" applyFont="1" applyFill="1" applyBorder="1" applyAlignment="1">
      <alignment vertical="top"/>
    </xf>
    <xf numFmtId="0" fontId="121" fillId="43" borderId="367" xfId="0" applyFont="1" applyFill="1" applyBorder="1" applyAlignment="1">
      <alignment horizontal="center"/>
    </xf>
    <xf numFmtId="0" fontId="22" fillId="98" borderId="362" xfId="0" applyFont="1" applyFill="1" applyBorder="1" applyAlignment="1">
      <alignment vertical="top"/>
    </xf>
    <xf numFmtId="0" fontId="121" fillId="43" borderId="83" xfId="0" applyFont="1" applyFill="1" applyBorder="1" applyAlignment="1">
      <alignment horizontal="center"/>
    </xf>
    <xf numFmtId="0" fontId="20" fillId="41" borderId="200" xfId="0" applyFont="1" applyFill="1" applyBorder="1" applyAlignment="1">
      <alignment vertical="top"/>
    </xf>
    <xf numFmtId="0" fontId="18" fillId="42" borderId="31" xfId="0" applyFont="1" applyFill="1" applyBorder="1" applyAlignment="1">
      <alignment vertical="top"/>
    </xf>
    <xf numFmtId="0" fontId="121" fillId="43" borderId="200" xfId="0" applyFont="1" applyFill="1" applyBorder="1" applyAlignment="1">
      <alignment horizontal="center"/>
    </xf>
    <xf numFmtId="0" fontId="121" fillId="43" borderId="31" xfId="0" applyFont="1" applyFill="1" applyBorder="1" applyAlignment="1">
      <alignment horizontal="center"/>
    </xf>
    <xf numFmtId="0" fontId="121" fillId="43" borderId="35" xfId="0" applyFont="1" applyFill="1" applyBorder="1" applyAlignment="1">
      <alignment horizontal="center"/>
    </xf>
    <xf numFmtId="0" fontId="121" fillId="43" borderId="60" xfId="0" applyFont="1" applyFill="1" applyBorder="1" applyAlignment="1">
      <alignment horizontal="center"/>
    </xf>
    <xf numFmtId="0" fontId="21" fillId="72" borderId="132" xfId="59" applyBorder="1" applyAlignment="1">
      <alignment horizontal="centerContinuous" vertical="center" wrapText="1"/>
    </xf>
    <xf numFmtId="0" fontId="21" fillId="72" borderId="133" xfId="59" applyBorder="1" applyAlignment="1">
      <alignment horizontal="centerContinuous" vertical="center" wrapText="1"/>
    </xf>
    <xf numFmtId="0" fontId="21" fillId="71" borderId="133" xfId="58" applyBorder="1" applyAlignment="1">
      <alignment horizontal="centerContinuous" vertical="center" wrapText="1"/>
    </xf>
    <xf numFmtId="0" fontId="21" fillId="71" borderId="151" xfId="58" applyBorder="1" applyAlignment="1">
      <alignment horizontal="centerContinuous" vertical="center" wrapText="1"/>
    </xf>
    <xf numFmtId="167" fontId="38" fillId="59" borderId="351" xfId="48" applyBorder="1" applyAlignment="1">
      <alignment horizontal="centerContinuous"/>
      <protection locked="0"/>
    </xf>
    <xf numFmtId="167" fontId="38" fillId="59" borderId="198" xfId="48" applyBorder="1" applyAlignment="1">
      <alignment horizontal="centerContinuous"/>
      <protection locked="0"/>
    </xf>
    <xf numFmtId="167" fontId="38" fillId="59" borderId="29" xfId="48" applyBorder="1" applyAlignment="1">
      <alignment horizontal="centerContinuous"/>
      <protection locked="0"/>
    </xf>
    <xf numFmtId="167" fontId="38" fillId="59" borderId="27" xfId="48" applyBorder="1" applyAlignment="1">
      <alignment horizontal="centerContinuous"/>
      <protection locked="0"/>
    </xf>
    <xf numFmtId="167" fontId="38" fillId="59" borderId="28" xfId="48" applyBorder="1" applyAlignment="1">
      <alignment horizontal="centerContinuous"/>
      <protection locked="0"/>
    </xf>
    <xf numFmtId="167" fontId="38" fillId="59" borderId="182" xfId="48" applyBorder="1" applyAlignment="1">
      <alignment horizontal="centerContinuous"/>
      <protection locked="0"/>
    </xf>
    <xf numFmtId="167" fontId="38" fillId="59" borderId="32" xfId="48" applyBorder="1" applyAlignment="1">
      <alignment horizontal="centerContinuous"/>
      <protection locked="0"/>
    </xf>
    <xf numFmtId="167" fontId="38" fillId="59" borderId="33" xfId="48" applyBorder="1" applyAlignment="1">
      <alignment horizontal="centerContinuous"/>
      <protection locked="0"/>
    </xf>
    <xf numFmtId="167" fontId="38" fillId="59" borderId="183" xfId="48" applyBorder="1" applyAlignment="1">
      <alignment horizontal="centerContinuous"/>
      <protection locked="0"/>
    </xf>
    <xf numFmtId="167" fontId="38" fillId="59" borderId="34" xfId="48" applyBorder="1" applyAlignment="1">
      <alignment horizontal="centerContinuous"/>
      <protection locked="0"/>
    </xf>
    <xf numFmtId="0" fontId="0" fillId="0" borderId="0" xfId="0" applyAlignment="1">
      <alignment horizontal="centerContinuous"/>
    </xf>
    <xf numFmtId="0" fontId="19" fillId="57" borderId="18" xfId="46" applyBorder="1" applyAlignment="1">
      <alignment horizontal="centerContinuous" vertical="center"/>
    </xf>
    <xf numFmtId="0" fontId="19" fillId="57" borderId="19" xfId="46" applyBorder="1" applyAlignment="1">
      <alignment horizontal="centerContinuous" vertical="center"/>
    </xf>
    <xf numFmtId="0" fontId="35" fillId="56" borderId="16" xfId="44" applyAlignment="1">
      <alignment horizontal="centerContinuous" vertical="center"/>
    </xf>
    <xf numFmtId="170" fontId="74" fillId="100" borderId="18" xfId="60" applyBorder="1">
      <alignment horizontal="right" vertical="center"/>
      <protection locked="0"/>
    </xf>
    <xf numFmtId="0" fontId="18" fillId="0" borderId="368" xfId="49" applyBorder="1">
      <alignment horizontal="left" vertical="center" wrapText="1" indent="1"/>
    </xf>
    <xf numFmtId="170" fontId="74" fillId="100" borderId="19" xfId="60" applyBorder="1">
      <alignment horizontal="right" vertical="center"/>
      <protection locked="0"/>
    </xf>
    <xf numFmtId="170" fontId="74" fillId="100" borderId="16" xfId="60" applyBorder="1">
      <alignment horizontal="right" vertical="center"/>
      <protection locked="0"/>
    </xf>
    <xf numFmtId="167" fontId="38" fillId="66" borderId="213" xfId="48" applyFill="1" applyBorder="1" applyProtection="1">
      <alignment horizontal="right"/>
    </xf>
    <xf numFmtId="0" fontId="18" fillId="0" borderId="298" xfId="49" applyBorder="1">
      <alignment horizontal="left" vertical="center" wrapText="1" indent="1"/>
    </xf>
    <xf numFmtId="167" fontId="38" fillId="59" borderId="119" xfId="48" applyBorder="1" applyAlignment="1">
      <alignment horizontal="centerContinuous"/>
      <protection locked="0"/>
    </xf>
    <xf numFmtId="167" fontId="38" fillId="59" borderId="120" xfId="48" applyBorder="1" applyAlignment="1">
      <alignment horizontal="centerContinuous"/>
      <protection locked="0"/>
    </xf>
    <xf numFmtId="167" fontId="38" fillId="59" borderId="280" xfId="48" applyBorder="1" applyAlignment="1">
      <alignment horizontal="centerContinuous"/>
      <protection locked="0"/>
    </xf>
    <xf numFmtId="167" fontId="38" fillId="59" borderId="210" xfId="48" applyBorder="1" applyAlignment="1">
      <alignment horizontal="centerContinuous"/>
      <protection locked="0"/>
    </xf>
    <xf numFmtId="0" fontId="18" fillId="0" borderId="0" xfId="0" applyFont="1" applyAlignment="1">
      <alignment vertical="center"/>
    </xf>
    <xf numFmtId="0" fontId="51" fillId="0" borderId="0" xfId="0" applyFont="1" applyAlignment="1" applyProtection="1">
      <alignment vertical="center"/>
      <protection locked="0"/>
    </xf>
    <xf numFmtId="0" fontId="51" fillId="0" borderId="0" xfId="0" applyFont="1" applyAlignment="1" applyProtection="1">
      <alignment horizontal="center" vertical="center"/>
      <protection locked="0"/>
    </xf>
    <xf numFmtId="0" fontId="0" fillId="0" borderId="0" xfId="0" applyProtection="1">
      <protection locked="0"/>
    </xf>
    <xf numFmtId="0" fontId="107" fillId="0" borderId="12" xfId="0" applyFont="1" applyBorder="1" applyAlignment="1">
      <alignment vertical="top" wrapText="1"/>
    </xf>
    <xf numFmtId="0" fontId="18" fillId="0" borderId="0" xfId="0" quotePrefix="1" applyFont="1" applyAlignment="1">
      <alignment vertical="center"/>
    </xf>
    <xf numFmtId="2" fontId="157" fillId="102" borderId="99" xfId="0" applyNumberFormat="1" applyFont="1" applyFill="1" applyBorder="1" applyAlignment="1">
      <alignment horizontal="center" vertical="center" wrapText="1"/>
    </xf>
    <xf numFmtId="0" fontId="28" fillId="53" borderId="369" xfId="0" applyFont="1" applyFill="1" applyBorder="1" applyAlignment="1">
      <alignment vertical="top"/>
    </xf>
    <xf numFmtId="0" fontId="28" fillId="0" borderId="369" xfId="0" applyFont="1" applyBorder="1" applyAlignment="1">
      <alignment vertical="top"/>
    </xf>
    <xf numFmtId="0" fontId="20" fillId="60" borderId="369" xfId="0" applyFont="1" applyFill="1" applyBorder="1" applyAlignment="1">
      <alignment vertical="top"/>
    </xf>
    <xf numFmtId="0" fontId="21" fillId="50" borderId="0" xfId="0" applyFont="1" applyFill="1" applyAlignment="1">
      <alignment vertical="center" wrapText="1"/>
    </xf>
    <xf numFmtId="0" fontId="21" fillId="50" borderId="189" xfId="0" applyFont="1" applyFill="1" applyBorder="1" applyAlignment="1">
      <alignment vertical="center" wrapText="1"/>
    </xf>
    <xf numFmtId="49" fontId="21" fillId="50" borderId="189" xfId="0" applyNumberFormat="1" applyFont="1" applyFill="1" applyBorder="1" applyAlignment="1">
      <alignment vertical="center" wrapText="1"/>
    </xf>
    <xf numFmtId="0" fontId="19" fillId="51" borderId="37" xfId="0" applyFont="1" applyFill="1" applyBorder="1" applyAlignment="1">
      <alignment horizontal="left" vertical="center" wrapText="1"/>
    </xf>
    <xf numFmtId="0" fontId="19" fillId="51" borderId="189" xfId="0" applyFont="1" applyFill="1" applyBorder="1" applyAlignment="1">
      <alignment horizontal="center" vertical="center" wrapText="1"/>
    </xf>
    <xf numFmtId="0" fontId="79" fillId="93" borderId="189" xfId="0" applyFont="1" applyFill="1" applyBorder="1" applyAlignment="1">
      <alignment horizontal="center" vertical="center" wrapText="1"/>
    </xf>
    <xf numFmtId="1" fontId="79" fillId="93" borderId="189" xfId="0" applyNumberFormat="1" applyFont="1" applyFill="1" applyBorder="1" applyAlignment="1">
      <alignment horizontal="center" vertical="center" wrapText="1"/>
    </xf>
    <xf numFmtId="0" fontId="19" fillId="35" borderId="37" xfId="0" applyFont="1" applyFill="1" applyBorder="1" applyAlignment="1">
      <alignment horizontal="center" vertical="center" wrapText="1"/>
    </xf>
    <xf numFmtId="0" fontId="19" fillId="35" borderId="123" xfId="0" applyFont="1" applyFill="1" applyBorder="1" applyAlignment="1">
      <alignment horizontal="center" vertical="center" wrapText="1"/>
    </xf>
    <xf numFmtId="0" fontId="19" fillId="52" borderId="189" xfId="0" applyFont="1" applyFill="1" applyBorder="1" applyAlignment="1">
      <alignment vertical="center" wrapText="1"/>
    </xf>
    <xf numFmtId="0" fontId="19" fillId="52" borderId="123" xfId="0" applyFont="1" applyFill="1" applyBorder="1" applyAlignment="1">
      <alignment vertical="center" wrapText="1"/>
    </xf>
    <xf numFmtId="0" fontId="19" fillId="45" borderId="123" xfId="0" applyFont="1" applyFill="1" applyBorder="1" applyAlignment="1">
      <alignment vertical="center" wrapText="1"/>
    </xf>
    <xf numFmtId="0" fontId="19" fillId="37" borderId="0" xfId="0" applyFont="1" applyFill="1" applyAlignment="1">
      <alignment vertical="center" wrapText="1"/>
    </xf>
    <xf numFmtId="0" fontId="19" fillId="37" borderId="37" xfId="0" applyFont="1" applyFill="1" applyBorder="1" applyAlignment="1">
      <alignment vertical="center" wrapText="1"/>
    </xf>
    <xf numFmtId="0" fontId="19" fillId="37" borderId="189" xfId="0" applyFont="1" applyFill="1" applyBorder="1" applyAlignment="1">
      <alignment vertical="center" wrapText="1"/>
    </xf>
    <xf numFmtId="0" fontId="25" fillId="0" borderId="26" xfId="0" applyFont="1" applyBorder="1" applyAlignment="1">
      <alignment horizontal="center" vertical="top"/>
    </xf>
    <xf numFmtId="0" fontId="25" fillId="0" borderId="26" xfId="0" applyFont="1" applyBorder="1" applyAlignment="1">
      <alignment vertical="top"/>
    </xf>
    <xf numFmtId="0" fontId="18" fillId="53" borderId="25" xfId="0" applyFont="1" applyFill="1" applyBorder="1" applyAlignment="1">
      <alignment horizontal="center"/>
    </xf>
    <xf numFmtId="0" fontId="18" fillId="0" borderId="25" xfId="0" applyFont="1" applyBorder="1" applyAlignment="1">
      <alignment horizontal="center"/>
    </xf>
    <xf numFmtId="166" fontId="18" fillId="53" borderId="0" xfId="0" applyNumberFormat="1" applyFont="1" applyFill="1" applyAlignment="1">
      <alignment horizontal="right" vertical="top" indent="1"/>
    </xf>
    <xf numFmtId="166" fontId="18" fillId="0" borderId="0" xfId="0" applyNumberFormat="1" applyFont="1" applyAlignment="1">
      <alignment horizontal="right" vertical="top" indent="1"/>
    </xf>
    <xf numFmtId="166" fontId="18" fillId="60" borderId="0" xfId="0" applyNumberFormat="1" applyFont="1" applyFill="1" applyAlignment="1">
      <alignment horizontal="right" vertical="top" indent="1"/>
    </xf>
    <xf numFmtId="0" fontId="28" fillId="53" borderId="370" xfId="0" applyFont="1" applyFill="1" applyBorder="1" applyAlignment="1">
      <alignment vertical="top"/>
    </xf>
    <xf numFmtId="49" fontId="21" fillId="50" borderId="0" xfId="0" applyNumberFormat="1" applyFont="1" applyFill="1" applyAlignment="1">
      <alignment vertical="center" wrapText="1"/>
    </xf>
    <xf numFmtId="0" fontId="19" fillId="48" borderId="37" xfId="0" applyFont="1" applyFill="1" applyBorder="1" applyAlignment="1">
      <alignment vertical="center" wrapText="1"/>
    </xf>
    <xf numFmtId="0" fontId="19" fillId="99" borderId="37" xfId="0" applyFont="1" applyFill="1" applyBorder="1" applyAlignment="1">
      <alignment vertical="center" wrapText="1"/>
    </xf>
    <xf numFmtId="166" fontId="18" fillId="0" borderId="38" xfId="0" applyNumberFormat="1" applyFont="1" applyBorder="1" applyAlignment="1">
      <alignment horizontal="right" vertical="top" indent="1"/>
    </xf>
    <xf numFmtId="166" fontId="18" fillId="103" borderId="0" xfId="0" applyNumberFormat="1" applyFont="1" applyFill="1" applyAlignment="1">
      <alignment horizontal="right" vertical="top" indent="1"/>
    </xf>
    <xf numFmtId="0" fontId="158" fillId="104" borderId="0" xfId="0" applyFont="1" applyFill="1" applyAlignment="1">
      <alignment horizontal="centerContinuous" vertical="center"/>
    </xf>
    <xf numFmtId="167" fontId="1" fillId="83" borderId="177" xfId="48" applyFont="1" applyFill="1" applyBorder="1">
      <alignment horizontal="right"/>
      <protection locked="0"/>
    </xf>
    <xf numFmtId="167" fontId="1" fillId="83" borderId="174" xfId="48" applyFont="1" applyFill="1" applyBorder="1">
      <alignment horizontal="right"/>
      <protection locked="0"/>
    </xf>
    <xf numFmtId="167" fontId="1" fillId="83" borderId="173" xfId="48" applyFont="1" applyFill="1" applyBorder="1">
      <alignment horizontal="right"/>
      <protection locked="0"/>
    </xf>
    <xf numFmtId="167" fontId="38" fillId="59" borderId="371" xfId="48" applyBorder="1">
      <alignment horizontal="right"/>
      <protection locked="0"/>
    </xf>
    <xf numFmtId="167" fontId="38" fillId="59" borderId="372" xfId="48" applyBorder="1">
      <alignment horizontal="right"/>
      <protection locked="0"/>
    </xf>
    <xf numFmtId="0" fontId="18" fillId="49" borderId="121" xfId="0" applyFont="1" applyFill="1" applyBorder="1" applyAlignment="1">
      <alignment horizontal="left" vertical="center" wrapText="1" indent="2"/>
    </xf>
    <xf numFmtId="0" fontId="18" fillId="0" borderId="0" xfId="49" applyBorder="1">
      <alignment horizontal="left" vertical="center" wrapText="1" indent="1"/>
    </xf>
    <xf numFmtId="167" fontId="38" fillId="59" borderId="373" xfId="48" applyBorder="1" applyAlignment="1">
      <alignment horizontal="centerContinuous"/>
      <protection locked="0"/>
    </xf>
    <xf numFmtId="167" fontId="38" fillId="59" borderId="67" xfId="48" applyBorder="1" applyAlignment="1">
      <alignment horizontal="centerContinuous"/>
      <protection locked="0"/>
    </xf>
    <xf numFmtId="0" fontId="159" fillId="105" borderId="374" xfId="0" applyFont="1" applyFill="1" applyBorder="1" applyAlignment="1">
      <alignment vertical="center"/>
    </xf>
    <xf numFmtId="0" fontId="160" fillId="105" borderId="374" xfId="0" applyFont="1" applyFill="1" applyBorder="1" applyAlignment="1">
      <alignment vertical="center"/>
    </xf>
    <xf numFmtId="0" fontId="159" fillId="76" borderId="374" xfId="0" applyFont="1" applyFill="1" applyBorder="1" applyAlignment="1">
      <alignment vertical="center"/>
    </xf>
    <xf numFmtId="0" fontId="73" fillId="76" borderId="374" xfId="0" applyFont="1" applyFill="1" applyBorder="1" applyAlignment="1">
      <alignment vertical="center"/>
    </xf>
    <xf numFmtId="0" fontId="159" fillId="85" borderId="374" xfId="0" applyFont="1" applyFill="1" applyBorder="1" applyAlignment="1">
      <alignment vertical="center"/>
    </xf>
    <xf numFmtId="0" fontId="73" fillId="106" borderId="374" xfId="0" applyFont="1" applyFill="1" applyBorder="1" applyAlignment="1">
      <alignment vertical="center"/>
    </xf>
    <xf numFmtId="0" fontId="159" fillId="107" borderId="375" xfId="0" applyFont="1" applyFill="1" applyBorder="1" applyAlignment="1">
      <alignment vertical="center"/>
    </xf>
    <xf numFmtId="0" fontId="73" fillId="108" borderId="376" xfId="0" applyFont="1" applyFill="1" applyBorder="1" applyAlignment="1">
      <alignment vertical="center"/>
    </xf>
    <xf numFmtId="167" fontId="38" fillId="109" borderId="173" xfId="48" applyFill="1" applyBorder="1">
      <alignment horizontal="right"/>
      <protection locked="0"/>
    </xf>
    <xf numFmtId="167" fontId="38" fillId="109" borderId="164" xfId="48" applyFill="1" applyBorder="1">
      <alignment horizontal="right"/>
      <protection locked="0"/>
    </xf>
    <xf numFmtId="167" fontId="38" fillId="109" borderId="203" xfId="48" applyFill="1" applyBorder="1">
      <alignment horizontal="right"/>
      <protection locked="0"/>
    </xf>
    <xf numFmtId="167" fontId="38" fillId="109" borderId="174" xfId="48" applyFill="1" applyBorder="1">
      <alignment horizontal="right"/>
      <protection locked="0"/>
    </xf>
    <xf numFmtId="167" fontId="38" fillId="109" borderId="175" xfId="48" applyFill="1" applyBorder="1">
      <alignment horizontal="right"/>
      <protection locked="0"/>
    </xf>
    <xf numFmtId="167" fontId="38" fillId="109" borderId="190" xfId="48" applyFill="1" applyBorder="1">
      <alignment horizontal="right"/>
      <protection locked="0"/>
    </xf>
    <xf numFmtId="167" fontId="38" fillId="109" borderId="45" xfId="48" applyFill="1" applyBorder="1">
      <alignment horizontal="right"/>
      <protection locked="0"/>
    </xf>
    <xf numFmtId="167" fontId="38" fillId="109" borderId="276" xfId="48" applyFill="1" applyBorder="1">
      <alignment horizontal="right"/>
      <protection locked="0"/>
    </xf>
    <xf numFmtId="167" fontId="38" fillId="109" borderId="204" xfId="48" applyFill="1" applyBorder="1">
      <alignment horizontal="right"/>
      <protection locked="0"/>
    </xf>
    <xf numFmtId="167" fontId="38" fillId="109" borderId="178" xfId="48" applyFill="1" applyBorder="1">
      <alignment horizontal="right"/>
      <protection locked="0"/>
    </xf>
    <xf numFmtId="167" fontId="38" fillId="109" borderId="162" xfId="48" applyFill="1" applyBorder="1">
      <alignment horizontal="right"/>
      <protection locked="0"/>
    </xf>
    <xf numFmtId="167" fontId="38" fillId="109" borderId="163" xfId="48" applyFill="1" applyBorder="1">
      <alignment horizontal="right"/>
      <protection locked="0"/>
    </xf>
    <xf numFmtId="167" fontId="38" fillId="109" borderId="166" xfId="48" applyFill="1" applyBorder="1">
      <alignment horizontal="right"/>
      <protection locked="0"/>
    </xf>
    <xf numFmtId="167" fontId="38" fillId="109" borderId="192" xfId="48" applyFill="1" applyBorder="1">
      <alignment horizontal="right"/>
      <protection locked="0"/>
    </xf>
    <xf numFmtId="167" fontId="38" fillId="109" borderId="193" xfId="48" applyFill="1" applyBorder="1">
      <alignment horizontal="right"/>
      <protection locked="0"/>
    </xf>
    <xf numFmtId="167" fontId="38" fillId="109" borderId="235" xfId="48" applyFill="1" applyBorder="1">
      <alignment horizontal="right"/>
      <protection locked="0"/>
    </xf>
    <xf numFmtId="167" fontId="38" fillId="109" borderId="195" xfId="48" applyFill="1" applyBorder="1">
      <alignment horizontal="right"/>
      <protection locked="0"/>
    </xf>
    <xf numFmtId="167" fontId="38" fillId="109" borderId="196" xfId="48" applyFill="1" applyBorder="1">
      <alignment horizontal="right"/>
      <protection locked="0"/>
    </xf>
    <xf numFmtId="167" fontId="38" fillId="109" borderId="21" xfId="48" applyFill="1" applyBorder="1">
      <alignment horizontal="right"/>
      <protection locked="0"/>
    </xf>
    <xf numFmtId="167" fontId="38" fillId="109" borderId="67" xfId="48" applyFill="1" applyBorder="1">
      <alignment horizontal="right"/>
      <protection locked="0"/>
    </xf>
    <xf numFmtId="167" fontId="38" fillId="109" borderId="185" xfId="48" applyFill="1" applyBorder="1">
      <alignment horizontal="right"/>
      <protection locked="0"/>
    </xf>
    <xf numFmtId="167" fontId="38" fillId="109" borderId="22" xfId="48" applyFill="1" applyBorder="1">
      <alignment horizontal="right"/>
      <protection locked="0"/>
    </xf>
    <xf numFmtId="167" fontId="38" fillId="109" borderId="23" xfId="48" applyFill="1" applyBorder="1">
      <alignment horizontal="right"/>
      <protection locked="0"/>
    </xf>
    <xf numFmtId="167" fontId="38" fillId="109" borderId="27" xfId="48" applyFill="1" applyBorder="1">
      <alignment horizontal="right"/>
      <protection locked="0"/>
    </xf>
    <xf numFmtId="167" fontId="38" fillId="109" borderId="70" xfId="48" applyFill="1" applyBorder="1">
      <alignment horizontal="right"/>
      <protection locked="0"/>
    </xf>
    <xf numFmtId="167" fontId="38" fillId="109" borderId="186" xfId="48" applyFill="1" applyBorder="1">
      <alignment horizontal="right"/>
      <protection locked="0"/>
    </xf>
    <xf numFmtId="167" fontId="38" fillId="109" borderId="28" xfId="48" applyFill="1" applyBorder="1">
      <alignment horizontal="right"/>
      <protection locked="0"/>
    </xf>
    <xf numFmtId="167" fontId="38" fillId="109" borderId="29" xfId="48" applyFill="1" applyBorder="1">
      <alignment horizontal="right"/>
      <protection locked="0"/>
    </xf>
    <xf numFmtId="167" fontId="38" fillId="109" borderId="32" xfId="48" applyFill="1" applyBorder="1">
      <alignment horizontal="right"/>
      <protection locked="0"/>
    </xf>
    <xf numFmtId="167" fontId="38" fillId="109" borderId="188" xfId="48" applyFill="1" applyBorder="1">
      <alignment horizontal="right"/>
      <protection locked="0"/>
    </xf>
    <xf numFmtId="167" fontId="38" fillId="109" borderId="187" xfId="48" applyFill="1" applyBorder="1">
      <alignment horizontal="right"/>
      <protection locked="0"/>
    </xf>
    <xf numFmtId="167" fontId="38" fillId="109" borderId="33" xfId="48" applyFill="1" applyBorder="1">
      <alignment horizontal="right"/>
      <protection locked="0"/>
    </xf>
    <xf numFmtId="167" fontId="38" fillId="109" borderId="34" xfId="48" applyFill="1" applyBorder="1">
      <alignment horizontal="right"/>
      <protection locked="0"/>
    </xf>
    <xf numFmtId="167" fontId="38" fillId="109" borderId="170" xfId="48" applyFill="1" applyBorder="1">
      <alignment horizontal="right"/>
      <protection locked="0"/>
    </xf>
    <xf numFmtId="167" fontId="38" fillId="109" borderId="171" xfId="48" applyFill="1" applyBorder="1">
      <alignment horizontal="right"/>
      <protection locked="0"/>
    </xf>
    <xf numFmtId="167" fontId="38" fillId="109" borderId="177" xfId="48" applyFill="1" applyBorder="1">
      <alignment horizontal="right"/>
      <protection locked="0"/>
    </xf>
    <xf numFmtId="167" fontId="38" fillId="109" borderId="194" xfId="48" applyFill="1" applyBorder="1">
      <alignment horizontal="right"/>
      <protection locked="0"/>
    </xf>
    <xf numFmtId="167" fontId="38" fillId="109" borderId="233" xfId="48" applyFill="1" applyBorder="1">
      <alignment horizontal="right"/>
      <protection locked="0"/>
    </xf>
    <xf numFmtId="167" fontId="38" fillId="109" borderId="237" xfId="48" applyFill="1" applyBorder="1">
      <alignment horizontal="right"/>
      <protection locked="0"/>
    </xf>
    <xf numFmtId="167" fontId="38" fillId="109" borderId="169" xfId="48" applyFill="1" applyBorder="1">
      <alignment horizontal="right"/>
      <protection locked="0"/>
    </xf>
    <xf numFmtId="167" fontId="38" fillId="109" borderId="172" xfId="48" applyFill="1" applyBorder="1">
      <alignment horizontal="right"/>
      <protection locked="0"/>
    </xf>
    <xf numFmtId="167" fontId="38" fillId="109" borderId="272" xfId="48" applyFill="1" applyBorder="1">
      <alignment horizontal="right"/>
      <protection locked="0"/>
    </xf>
    <xf numFmtId="167" fontId="38" fillId="109" borderId="239" xfId="48" applyFill="1" applyBorder="1">
      <alignment horizontal="right"/>
      <protection locked="0"/>
    </xf>
    <xf numFmtId="167" fontId="38" fillId="109" borderId="217" xfId="48" applyFill="1" applyBorder="1">
      <alignment horizontal="right"/>
      <protection locked="0"/>
    </xf>
    <xf numFmtId="167" fontId="38" fillId="109" borderId="273" xfId="48" applyFill="1" applyBorder="1">
      <alignment horizontal="right"/>
      <protection locked="0"/>
    </xf>
    <xf numFmtId="167" fontId="38" fillId="109" borderId="202" xfId="48" applyFill="1" applyBorder="1">
      <alignment horizontal="right"/>
      <protection locked="0"/>
    </xf>
    <xf numFmtId="167" fontId="38" fillId="109" borderId="180" xfId="48" applyFill="1" applyBorder="1">
      <alignment horizontal="right"/>
      <protection locked="0"/>
    </xf>
    <xf numFmtId="167" fontId="38" fillId="109" borderId="266" xfId="48" applyFill="1" applyBorder="1">
      <alignment horizontal="right"/>
      <protection locked="0"/>
    </xf>
    <xf numFmtId="167" fontId="38" fillId="109" borderId="52" xfId="48" applyFill="1" applyBorder="1">
      <alignment horizontal="right"/>
      <protection locked="0"/>
    </xf>
    <xf numFmtId="167" fontId="38" fillId="109" borderId="147" xfId="48" applyFill="1" applyBorder="1">
      <alignment horizontal="right"/>
      <protection locked="0"/>
    </xf>
    <xf numFmtId="0" fontId="18" fillId="76" borderId="75" xfId="49" applyFill="1">
      <alignment horizontal="left" vertical="center" wrapText="1" indent="1"/>
    </xf>
    <xf numFmtId="167" fontId="38" fillId="109" borderId="169" xfId="48" applyFill="1" applyBorder="1" applyProtection="1">
      <alignment horizontal="right"/>
    </xf>
    <xf numFmtId="167" fontId="38" fillId="109" borderId="172" xfId="48" applyFill="1" applyBorder="1" applyProtection="1">
      <alignment horizontal="right"/>
    </xf>
    <xf numFmtId="167" fontId="38" fillId="109" borderId="182" xfId="48" applyFill="1" applyBorder="1">
      <alignment horizontal="right"/>
      <protection locked="0"/>
    </xf>
    <xf numFmtId="167" fontId="38" fillId="109" borderId="109" xfId="48" applyFill="1" applyBorder="1">
      <alignment horizontal="right"/>
      <protection locked="0"/>
    </xf>
    <xf numFmtId="0" fontId="162" fillId="0" borderId="0" xfId="75" applyFont="1" applyFill="1" applyBorder="1" applyAlignment="1">
      <alignment horizontal="left" wrapText="1"/>
    </xf>
    <xf numFmtId="0" fontId="162" fillId="0" borderId="0" xfId="75" applyFont="1" applyFill="1" applyBorder="1" applyAlignment="1">
      <alignment horizontal="right"/>
    </xf>
    <xf numFmtId="0" fontId="162" fillId="0" borderId="0" xfId="75" applyFont="1" applyFill="1" applyBorder="1" applyAlignment="1">
      <alignment horizontal="right" wrapText="1"/>
    </xf>
    <xf numFmtId="176" fontId="0" fillId="0" borderId="0" xfId="1" applyNumberFormat="1" applyFont="1" applyFill="1" applyBorder="1" applyProtection="1">
      <protection locked="0"/>
    </xf>
    <xf numFmtId="0" fontId="16" fillId="0" borderId="0" xfId="0" applyFont="1" applyProtection="1">
      <protection locked="0"/>
    </xf>
    <xf numFmtId="176" fontId="16" fillId="0" borderId="0" xfId="0" applyNumberFormat="1" applyFont="1" applyProtection="1">
      <protection locked="0"/>
    </xf>
    <xf numFmtId="0" fontId="162" fillId="0" borderId="0" xfId="0" applyFont="1" applyAlignment="1">
      <alignment horizontal="left" vertical="top" wrapText="1"/>
    </xf>
    <xf numFmtId="42" fontId="0" fillId="0" borderId="0" xfId="0" applyNumberFormat="1" applyProtection="1">
      <protection locked="0"/>
    </xf>
    <xf numFmtId="42" fontId="16" fillId="0" borderId="0" xfId="0" applyNumberFormat="1" applyFont="1" applyProtection="1">
      <protection locked="0"/>
    </xf>
    <xf numFmtId="0" fontId="14" fillId="0" borderId="0" xfId="0" applyFont="1" applyProtection="1">
      <protection locked="0"/>
    </xf>
    <xf numFmtId="42" fontId="14" fillId="0" borderId="0" xfId="0" applyNumberFormat="1" applyFont="1" applyProtection="1">
      <protection locked="0"/>
    </xf>
    <xf numFmtId="0" fontId="21" fillId="0" borderId="0" xfId="54" applyFill="1" applyBorder="1">
      <alignment horizontal="right" vertical="center" wrapText="1" indent="1"/>
    </xf>
    <xf numFmtId="0" fontId="18" fillId="0" borderId="0" xfId="49" applyFont="1" applyBorder="1">
      <alignment horizontal="left" vertical="center" wrapText="1" indent="1"/>
    </xf>
    <xf numFmtId="167" fontId="38" fillId="0" borderId="0" xfId="48" applyFill="1" applyBorder="1">
      <alignment horizontal="right"/>
      <protection locked="0"/>
    </xf>
    <xf numFmtId="167" fontId="0" fillId="0" borderId="0" xfId="48" applyFont="1" applyFill="1" applyBorder="1">
      <alignment horizontal="right"/>
      <protection locked="0"/>
    </xf>
    <xf numFmtId="49" fontId="118" fillId="0" borderId="0" xfId="51" applyNumberFormat="1" applyFont="1" applyFill="1" applyBorder="1">
      <alignment horizontal="right" vertical="center"/>
      <protection locked="0"/>
    </xf>
    <xf numFmtId="170" fontId="74" fillId="0" borderId="0" xfId="51" applyFill="1" applyBorder="1">
      <alignment horizontal="right" vertical="center"/>
      <protection locked="0"/>
    </xf>
    <xf numFmtId="167" fontId="14" fillId="0" borderId="0" xfId="48" applyFont="1" applyFill="1" applyBorder="1">
      <alignment horizontal="right"/>
      <protection locked="0"/>
    </xf>
    <xf numFmtId="170" fontId="43" fillId="0" borderId="0" xfId="51" applyFont="1" applyFill="1" applyBorder="1">
      <alignment horizontal="right" vertical="center"/>
      <protection locked="0"/>
    </xf>
    <xf numFmtId="167" fontId="38" fillId="109" borderId="378" xfId="48" applyFill="1" applyBorder="1">
      <alignment horizontal="right"/>
      <protection locked="0"/>
    </xf>
    <xf numFmtId="167" fontId="38" fillId="109" borderId="379" xfId="48" applyFill="1" applyBorder="1">
      <alignment horizontal="right"/>
      <protection locked="0"/>
    </xf>
    <xf numFmtId="167" fontId="38" fillId="109" borderId="380" xfId="48" applyFill="1" applyBorder="1">
      <alignment horizontal="right"/>
      <protection locked="0"/>
    </xf>
    <xf numFmtId="167" fontId="38" fillId="109" borderId="381" xfId="48" applyFill="1" applyBorder="1">
      <alignment horizontal="right"/>
      <protection locked="0"/>
    </xf>
    <xf numFmtId="167" fontId="38" fillId="109" borderId="382" xfId="48" applyFill="1" applyBorder="1">
      <alignment horizontal="right"/>
      <protection locked="0"/>
    </xf>
    <xf numFmtId="167" fontId="38" fillId="109" borderId="168" xfId="48" applyFill="1" applyBorder="1">
      <alignment horizontal="right"/>
      <protection locked="0"/>
    </xf>
    <xf numFmtId="0" fontId="37" fillId="80" borderId="72" xfId="47" applyFill="1" applyBorder="1">
      <alignment horizontal="left" vertical="center"/>
    </xf>
    <xf numFmtId="167" fontId="38" fillId="109" borderId="215" xfId="48" applyFill="1" applyBorder="1">
      <alignment horizontal="right"/>
      <protection locked="0"/>
    </xf>
    <xf numFmtId="0" fontId="19" fillId="94" borderId="18" xfId="46" applyFill="1" applyBorder="1">
      <alignment vertical="center"/>
    </xf>
    <xf numFmtId="0" fontId="19" fillId="94" borderId="19" xfId="46" applyFill="1" applyBorder="1">
      <alignment vertical="center"/>
    </xf>
    <xf numFmtId="0" fontId="106" fillId="56" borderId="253" xfId="0" applyFont="1" applyFill="1" applyBorder="1" applyAlignment="1">
      <alignment horizontal="right" vertical="center" indent="2"/>
    </xf>
    <xf numFmtId="0" fontId="106" fillId="56" borderId="256" xfId="0" applyFont="1" applyFill="1" applyBorder="1" applyAlignment="1">
      <alignment horizontal="right" vertical="center" indent="2"/>
    </xf>
    <xf numFmtId="0" fontId="106" fillId="56" borderId="254" xfId="0" applyFont="1" applyFill="1" applyBorder="1" applyAlignment="1">
      <alignment horizontal="right" vertical="center" indent="2"/>
    </xf>
    <xf numFmtId="0" fontId="77" fillId="49" borderId="40" xfId="0" quotePrefix="1" applyFont="1" applyFill="1" applyBorder="1" applyAlignment="1">
      <alignment horizontal="left" vertical="top" wrapText="1"/>
    </xf>
    <xf numFmtId="0" fontId="36" fillId="49" borderId="11" xfId="0" quotePrefix="1" applyFont="1" applyFill="1" applyBorder="1" applyAlignment="1">
      <alignment horizontal="left" vertical="top" wrapText="1"/>
    </xf>
    <xf numFmtId="0" fontId="36" fillId="49" borderId="12" xfId="0" quotePrefix="1" applyFont="1" applyFill="1" applyBorder="1" applyAlignment="1">
      <alignment horizontal="left" vertical="top" wrapText="1"/>
    </xf>
    <xf numFmtId="0" fontId="51" fillId="0" borderId="10" xfId="0" quotePrefix="1"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152" fillId="101" borderId="37" xfId="0" applyFont="1" applyFill="1" applyBorder="1" applyAlignment="1">
      <alignment horizontal="center" vertical="center"/>
    </xf>
    <xf numFmtId="0" fontId="152" fillId="101" borderId="0" xfId="0" applyFont="1" applyFill="1" applyAlignment="1">
      <alignment horizontal="center" vertical="center"/>
    </xf>
    <xf numFmtId="0" fontId="152" fillId="101" borderId="38" xfId="0" applyFont="1" applyFill="1" applyBorder="1" applyAlignment="1">
      <alignment horizontal="center" vertical="center"/>
    </xf>
    <xf numFmtId="0" fontId="77" fillId="0" borderId="13" xfId="0" applyFont="1" applyBorder="1" applyAlignment="1">
      <alignment horizontal="center" vertical="center"/>
    </xf>
    <xf numFmtId="0" fontId="77" fillId="0" borderId="14" xfId="0" applyFont="1" applyBorder="1" applyAlignment="1">
      <alignment horizontal="center" vertical="center"/>
    </xf>
    <xf numFmtId="0" fontId="77" fillId="0" borderId="15" xfId="0" applyFont="1" applyBorder="1" applyAlignment="1">
      <alignment horizontal="center" vertical="center"/>
    </xf>
    <xf numFmtId="0" fontId="105" fillId="56" borderId="16" xfId="0" applyFont="1" applyFill="1" applyBorder="1" applyAlignment="1" applyProtection="1">
      <alignment horizontal="center" vertical="center"/>
      <protection locked="0"/>
    </xf>
    <xf numFmtId="0" fontId="105" fillId="56" borderId="18" xfId="0" applyFont="1" applyFill="1" applyBorder="1" applyAlignment="1" applyProtection="1">
      <alignment horizontal="center" vertical="center"/>
      <protection locked="0"/>
    </xf>
    <xf numFmtId="0" fontId="105" fillId="56" borderId="19" xfId="0" applyFont="1" applyFill="1" applyBorder="1" applyAlignment="1" applyProtection="1">
      <alignment horizontal="center" vertical="center"/>
      <protection locked="0"/>
    </xf>
    <xf numFmtId="0" fontId="107" fillId="0" borderId="17" xfId="0" applyFont="1" applyBorder="1" applyAlignment="1">
      <alignment horizontal="left" vertical="center" wrapText="1" indent="1"/>
    </xf>
    <xf numFmtId="0" fontId="107" fillId="0" borderId="18" xfId="0" applyFont="1" applyBorder="1" applyAlignment="1">
      <alignment horizontal="left" vertical="center" wrapText="1" indent="1"/>
    </xf>
    <xf numFmtId="0" fontId="107" fillId="0" borderId="19" xfId="0" applyFont="1" applyBorder="1" applyAlignment="1">
      <alignment horizontal="left" vertical="center" wrapText="1" indent="1"/>
    </xf>
    <xf numFmtId="0" fontId="153" fillId="0" borderId="40" xfId="0" applyFont="1" applyBorder="1" applyAlignment="1">
      <alignment horizontal="left" vertical="top" wrapText="1" indent="1"/>
    </xf>
    <xf numFmtId="0" fontId="153" fillId="0" borderId="11" xfId="0" applyFont="1" applyBorder="1" applyAlignment="1">
      <alignment horizontal="left" vertical="top" wrapText="1" indent="1"/>
    </xf>
    <xf numFmtId="0" fontId="72" fillId="0" borderId="255" xfId="0" quotePrefix="1" applyFont="1" applyBorder="1" applyAlignment="1">
      <alignment horizontal="left" vertical="top" wrapText="1" indent="1"/>
    </xf>
    <xf numFmtId="0" fontId="72" fillId="0" borderId="14" xfId="0" quotePrefix="1" applyFont="1" applyBorder="1" applyAlignment="1">
      <alignment horizontal="left" vertical="top" wrapText="1" indent="1"/>
    </xf>
    <xf numFmtId="0" fontId="72" fillId="0" borderId="15" xfId="0" quotePrefix="1" applyFont="1" applyBorder="1" applyAlignment="1">
      <alignment horizontal="left" vertical="top" wrapText="1" indent="1"/>
    </xf>
    <xf numFmtId="0" fontId="106" fillId="56" borderId="253" xfId="0" applyFont="1" applyFill="1" applyBorder="1" applyAlignment="1">
      <alignment horizontal="right" vertical="center" wrapText="1" indent="2"/>
    </xf>
    <xf numFmtId="0" fontId="106" fillId="56" borderId="254" xfId="0" applyFont="1" applyFill="1" applyBorder="1" applyAlignment="1">
      <alignment horizontal="right" vertical="center" wrapText="1" indent="2"/>
    </xf>
    <xf numFmtId="0" fontId="36" fillId="49" borderId="17" xfId="0" quotePrefix="1" applyFont="1" applyFill="1" applyBorder="1" applyAlignment="1">
      <alignment horizontal="left" vertical="top" wrapText="1" indent="1"/>
    </xf>
    <xf numFmtId="0" fontId="72" fillId="49" borderId="18" xfId="0" quotePrefix="1" applyFont="1" applyFill="1" applyBorder="1" applyAlignment="1">
      <alignment horizontal="left" vertical="top" wrapText="1" indent="1"/>
    </xf>
    <xf numFmtId="0" fontId="72" fillId="49" borderId="19" xfId="0" quotePrefix="1" applyFont="1" applyFill="1" applyBorder="1" applyAlignment="1">
      <alignment horizontal="left" vertical="top" wrapText="1" indent="1"/>
    </xf>
    <xf numFmtId="0" fontId="77" fillId="0" borderId="17" xfId="0" quotePrefix="1" applyFont="1" applyBorder="1" applyAlignment="1">
      <alignment horizontal="left" vertical="top" wrapText="1" indent="1"/>
    </xf>
    <xf numFmtId="0" fontId="77" fillId="0" borderId="18" xfId="0" quotePrefix="1" applyFont="1" applyBorder="1" applyAlignment="1">
      <alignment horizontal="left" vertical="top" wrapText="1" indent="1"/>
    </xf>
    <xf numFmtId="0" fontId="77" fillId="0" borderId="19" xfId="0" quotePrefix="1" applyFont="1" applyBorder="1" applyAlignment="1">
      <alignment horizontal="left" vertical="top" wrapText="1" indent="1"/>
    </xf>
    <xf numFmtId="49" fontId="34" fillId="56" borderId="0" xfId="50" applyAlignment="1">
      <alignment horizontal="center" vertical="center"/>
    </xf>
    <xf numFmtId="0" fontId="34" fillId="55" borderId="0" xfId="65">
      <alignment vertical="center"/>
    </xf>
    <xf numFmtId="0" fontId="72" fillId="60" borderId="0" xfId="65" applyFont="1" applyFill="1" applyAlignment="1">
      <alignment horizontal="justify" vertical="center" wrapText="1"/>
    </xf>
    <xf numFmtId="49" fontId="134" fillId="56" borderId="0" xfId="50" applyFont="1" applyAlignment="1">
      <alignment horizontal="center" vertical="center"/>
    </xf>
    <xf numFmtId="0" fontId="94" fillId="68" borderId="0" xfId="0" applyFont="1" applyFill="1" applyAlignment="1">
      <alignment horizontal="right" vertical="center"/>
    </xf>
    <xf numFmtId="0" fontId="60" fillId="69" borderId="0" xfId="0" applyFont="1" applyFill="1" applyAlignment="1" applyProtection="1">
      <alignment vertical="center"/>
      <protection locked="0"/>
    </xf>
    <xf numFmtId="0" fontId="136" fillId="68" borderId="0" xfId="0" quotePrefix="1" applyFont="1" applyFill="1" applyAlignment="1">
      <alignment horizontal="right" vertical="center"/>
    </xf>
    <xf numFmtId="0" fontId="136" fillId="68" borderId="0" xfId="0" applyFont="1" applyFill="1" applyAlignment="1">
      <alignment horizontal="right" vertical="center"/>
    </xf>
    <xf numFmtId="166" fontId="60" fillId="44" borderId="0" xfId="0" applyNumberFormat="1" applyFont="1" applyFill="1" applyAlignment="1">
      <alignment horizontal="left" vertical="center" wrapText="1"/>
    </xf>
    <xf numFmtId="0" fontId="94" fillId="68" borderId="0" xfId="0" applyFont="1" applyFill="1" applyAlignment="1">
      <alignment horizontal="right"/>
    </xf>
    <xf numFmtId="0" fontId="20" fillId="69" borderId="232" xfId="0" applyFont="1" applyFill="1" applyBorder="1" applyAlignment="1" applyProtection="1">
      <alignment horizontal="left"/>
      <protection locked="0"/>
    </xf>
    <xf numFmtId="0" fontId="20" fillId="69" borderId="52" xfId="0" applyFont="1" applyFill="1" applyBorder="1" applyAlignment="1" applyProtection="1">
      <alignment horizontal="left"/>
      <protection locked="0"/>
    </xf>
    <xf numFmtId="0" fontId="20" fillId="69" borderId="114" xfId="0" applyFont="1" applyFill="1" applyBorder="1" applyAlignment="1" applyProtection="1">
      <alignment horizontal="left"/>
      <protection locked="0"/>
    </xf>
    <xf numFmtId="0" fontId="20" fillId="69" borderId="0" xfId="0" applyFont="1" applyFill="1" applyProtection="1">
      <protection locked="0"/>
    </xf>
    <xf numFmtId="0" fontId="20" fillId="69" borderId="0" xfId="0" applyFont="1" applyFill="1" applyAlignment="1" applyProtection="1">
      <alignment horizontal="left"/>
      <protection locked="0"/>
    </xf>
    <xf numFmtId="0" fontId="20" fillId="69" borderId="0" xfId="0" quotePrefix="1" applyFont="1" applyFill="1" applyProtection="1">
      <protection locked="0"/>
    </xf>
    <xf numFmtId="172" fontId="20" fillId="69" borderId="0" xfId="0" quotePrefix="1" applyNumberFormat="1" applyFont="1" applyFill="1" applyAlignment="1" applyProtection="1">
      <alignment horizontal="left"/>
      <protection locked="0"/>
    </xf>
    <xf numFmtId="0" fontId="35" fillId="68" borderId="0" xfId="0" applyFont="1" applyFill="1" applyAlignment="1">
      <alignment horizontal="right" vertical="top"/>
    </xf>
    <xf numFmtId="0" fontId="36" fillId="69" borderId="0" xfId="0" applyFont="1" applyFill="1" applyAlignment="1" applyProtection="1">
      <alignment horizontal="center" vertical="top"/>
      <protection locked="0"/>
    </xf>
    <xf numFmtId="0" fontId="36" fillId="44" borderId="0" xfId="0" applyFont="1" applyFill="1" applyAlignment="1">
      <alignment horizontal="center" vertical="top"/>
    </xf>
    <xf numFmtId="0" fontId="36" fillId="94" borderId="0" xfId="0" quotePrefix="1" applyFont="1" applyFill="1" applyAlignment="1">
      <alignment horizontal="center" vertical="center"/>
    </xf>
    <xf numFmtId="0" fontId="24" fillId="44" borderId="0" xfId="0" applyFont="1" applyFill="1" applyAlignment="1">
      <alignment horizontal="left" vertical="top" indent="1"/>
    </xf>
    <xf numFmtId="0" fontId="35" fillId="68" borderId="0" xfId="0" applyFont="1" applyFill="1" applyAlignment="1">
      <alignment horizontal="right" vertical="top" wrapText="1"/>
    </xf>
    <xf numFmtId="0" fontId="20" fillId="69" borderId="0" xfId="0" applyFont="1" applyFill="1" applyAlignment="1" applyProtection="1">
      <alignment horizontal="left" vertical="top" indent="1"/>
      <protection locked="0"/>
    </xf>
    <xf numFmtId="14" fontId="24" fillId="69" borderId="0" xfId="0" quotePrefix="1" applyNumberFormat="1" applyFont="1" applyFill="1" applyAlignment="1" applyProtection="1">
      <alignment horizontal="left" vertical="top" indent="1"/>
      <protection locked="0"/>
    </xf>
    <xf numFmtId="14" fontId="24" fillId="69" borderId="0" xfId="0" applyNumberFormat="1" applyFont="1" applyFill="1" applyAlignment="1" applyProtection="1">
      <alignment horizontal="left" vertical="top" indent="1"/>
      <protection locked="0"/>
    </xf>
    <xf numFmtId="0" fontId="24" fillId="69" borderId="0" xfId="0" applyFont="1" applyFill="1" applyAlignment="1" applyProtection="1">
      <alignment horizontal="left" vertical="top" indent="1"/>
      <protection locked="0"/>
    </xf>
    <xf numFmtId="0" fontId="21" fillId="45" borderId="21" xfId="0" applyFont="1" applyFill="1" applyBorder="1" applyAlignment="1">
      <alignment horizontal="center" vertical="center" wrapText="1"/>
    </xf>
    <xf numFmtId="0" fontId="21" fillId="45" borderId="22" xfId="0" applyFont="1" applyFill="1" applyBorder="1" applyAlignment="1">
      <alignment horizontal="center" vertical="center" wrapText="1"/>
    </xf>
    <xf numFmtId="0" fontId="21" fillId="45" borderId="32" xfId="0" applyFont="1" applyFill="1" applyBorder="1" applyAlignment="1">
      <alignment horizontal="center" vertical="center" wrapText="1"/>
    </xf>
    <xf numFmtId="0" fontId="21" fillId="45" borderId="33" xfId="0" applyFont="1" applyFill="1" applyBorder="1" applyAlignment="1">
      <alignment horizontal="center" vertical="center" wrapText="1"/>
    </xf>
    <xf numFmtId="170" fontId="74" fillId="70" borderId="16" xfId="51" applyBorder="1">
      <alignment horizontal="right" vertical="center"/>
      <protection locked="0"/>
    </xf>
    <xf numFmtId="170" fontId="74" fillId="70" borderId="18" xfId="51" applyBorder="1">
      <alignment horizontal="right" vertical="center"/>
      <protection locked="0"/>
    </xf>
    <xf numFmtId="0" fontId="89" fillId="65" borderId="16" xfId="0" applyFont="1" applyFill="1" applyBorder="1" applyAlignment="1">
      <alignment horizontal="center" vertical="center" wrapText="1"/>
    </xf>
    <xf numFmtId="0" fontId="89" fillId="65" borderId="18" xfId="0" applyFont="1" applyFill="1" applyBorder="1" applyAlignment="1">
      <alignment horizontal="center" vertical="center"/>
    </xf>
    <xf numFmtId="0" fontId="89" fillId="65" borderId="19" xfId="0" applyFont="1" applyFill="1" applyBorder="1" applyAlignment="1">
      <alignment horizontal="center" vertical="center"/>
    </xf>
    <xf numFmtId="0" fontId="90" fillId="65" borderId="10" xfId="0" applyFont="1" applyFill="1" applyBorder="1" applyAlignment="1">
      <alignment horizontal="center" vertical="center" wrapText="1"/>
    </xf>
    <xf numFmtId="0" fontId="90" fillId="65" borderId="11" xfId="0" applyFont="1" applyFill="1" applyBorder="1" applyAlignment="1">
      <alignment horizontal="center" vertical="center" wrapText="1"/>
    </xf>
    <xf numFmtId="0" fontId="91" fillId="73" borderId="12" xfId="0" applyFont="1" applyFill="1" applyBorder="1" applyAlignment="1" applyProtection="1">
      <alignment horizontal="center" vertical="center"/>
      <protection locked="0"/>
    </xf>
    <xf numFmtId="0" fontId="91" fillId="73" borderId="15" xfId="0" applyFont="1" applyFill="1" applyBorder="1" applyAlignment="1" applyProtection="1">
      <alignment horizontal="center" vertical="center"/>
      <protection locked="0"/>
    </xf>
    <xf numFmtId="0" fontId="92" fillId="65" borderId="13" xfId="0" applyFont="1" applyFill="1" applyBorder="1" applyAlignment="1">
      <alignment horizontal="center" vertical="center" wrapText="1"/>
    </xf>
    <xf numFmtId="0" fontId="92" fillId="65" borderId="14" xfId="0" applyFont="1" applyFill="1" applyBorder="1" applyAlignment="1">
      <alignment horizontal="center" vertical="center" wrapText="1"/>
    </xf>
    <xf numFmtId="0" fontId="90" fillId="65" borderId="16" xfId="0" applyFont="1" applyFill="1" applyBorder="1" applyAlignment="1">
      <alignment horizontal="center" vertical="center" wrapText="1"/>
    </xf>
    <xf numFmtId="0" fontId="90" fillId="65" borderId="18" xfId="0" applyFont="1" applyFill="1" applyBorder="1" applyAlignment="1">
      <alignment horizontal="center" vertical="center" wrapText="1"/>
    </xf>
    <xf numFmtId="0" fontId="84" fillId="0" borderId="38" xfId="0" applyFont="1" applyBorder="1" applyAlignment="1">
      <alignment horizontal="right" vertical="center" wrapText="1" indent="1"/>
    </xf>
    <xf numFmtId="0" fontId="0" fillId="0" borderId="0" xfId="0"/>
    <xf numFmtId="0" fontId="16" fillId="34" borderId="37" xfId="0" applyFont="1" applyFill="1" applyBorder="1" applyAlignment="1">
      <alignment horizontal="center" vertical="top"/>
    </xf>
    <xf numFmtId="0" fontId="16" fillId="34" borderId="0" xfId="0" applyFont="1" applyFill="1" applyAlignment="1">
      <alignment horizontal="center" vertical="top"/>
    </xf>
    <xf numFmtId="0" fontId="124" fillId="84" borderId="0" xfId="0" applyFont="1" applyFill="1" applyAlignment="1">
      <alignment horizontal="right" vertical="center" wrapText="1"/>
    </xf>
    <xf numFmtId="0" fontId="126" fillId="87" borderId="0" xfId="0" applyFont="1" applyFill="1" applyAlignment="1">
      <alignment horizontal="right" vertical="center" wrapText="1"/>
    </xf>
    <xf numFmtId="0" fontId="0" fillId="49" borderId="36" xfId="0" applyFill="1" applyBorder="1" applyAlignment="1">
      <alignment vertical="center"/>
    </xf>
    <xf numFmtId="0" fontId="0" fillId="49" borderId="39" xfId="0" applyFill="1" applyBorder="1" applyAlignment="1">
      <alignment vertical="center"/>
    </xf>
    <xf numFmtId="0" fontId="0" fillId="49" borderId="86" xfId="0" applyFill="1" applyBorder="1" applyAlignment="1">
      <alignment vertical="center"/>
    </xf>
    <xf numFmtId="0" fontId="0" fillId="49" borderId="88" xfId="0" applyFill="1" applyBorder="1" applyAlignment="1">
      <alignment vertical="center"/>
    </xf>
    <xf numFmtId="0" fontId="126" fillId="87" borderId="38" xfId="0" applyFont="1" applyFill="1" applyBorder="1" applyAlignment="1">
      <alignment horizontal="right" vertical="center" wrapText="1"/>
    </xf>
    <xf numFmtId="0" fontId="124" fillId="88" borderId="308" xfId="0" applyFont="1" applyFill="1" applyBorder="1" applyAlignment="1">
      <alignment horizontal="right" vertical="center" wrapText="1"/>
    </xf>
    <xf numFmtId="0" fontId="124" fillId="88" borderId="312" xfId="0" applyFont="1" applyFill="1" applyBorder="1" applyAlignment="1">
      <alignment horizontal="right" vertical="center" wrapText="1"/>
    </xf>
    <xf numFmtId="0" fontId="19" fillId="87" borderId="0" xfId="0" applyFont="1" applyFill="1" applyAlignment="1">
      <alignment horizontal="right" vertical="center" wrapText="1"/>
    </xf>
    <xf numFmtId="0" fontId="124" fillId="88" borderId="316" xfId="0" applyFont="1" applyFill="1" applyBorder="1" applyAlignment="1">
      <alignment horizontal="right" vertical="center" wrapText="1"/>
    </xf>
    <xf numFmtId="0" fontId="124" fillId="88" borderId="321" xfId="0" applyFont="1" applyFill="1" applyBorder="1" applyAlignment="1">
      <alignment horizontal="right" vertical="center" wrapText="1"/>
    </xf>
    <xf numFmtId="0" fontId="124" fillId="88" borderId="322" xfId="0" applyFont="1" applyFill="1" applyBorder="1" applyAlignment="1">
      <alignment horizontal="right" vertical="center" wrapText="1"/>
    </xf>
    <xf numFmtId="0" fontId="124" fillId="88" borderId="38" xfId="0" applyFont="1" applyFill="1" applyBorder="1" applyAlignment="1">
      <alignment horizontal="right" vertical="center" wrapText="1"/>
    </xf>
    <xf numFmtId="0" fontId="124" fillId="90" borderId="38" xfId="0" applyFont="1" applyFill="1" applyBorder="1" applyAlignment="1">
      <alignment horizontal="right" vertical="center" wrapText="1"/>
    </xf>
    <xf numFmtId="0" fontId="124" fillId="90" borderId="0" xfId="0" applyFont="1" applyFill="1" applyAlignment="1">
      <alignment horizontal="right" vertical="center" wrapText="1"/>
    </xf>
    <xf numFmtId="0" fontId="124" fillId="92" borderId="0" xfId="0" applyFont="1" applyFill="1" applyAlignment="1">
      <alignment horizontal="right" vertical="center"/>
    </xf>
    <xf numFmtId="0" fontId="124" fillId="92" borderId="38" xfId="0" applyFont="1" applyFill="1" applyBorder="1" applyAlignment="1">
      <alignment horizontal="right" vertical="center"/>
    </xf>
    <xf numFmtId="0" fontId="20" fillId="54" borderId="16" xfId="0" applyFont="1" applyFill="1" applyBorder="1" applyAlignment="1">
      <alignment horizontal="left" vertical="top" wrapText="1"/>
    </xf>
    <xf numFmtId="0" fontId="20" fillId="54" borderId="18" xfId="0" applyFont="1" applyFill="1" applyBorder="1" applyAlignment="1">
      <alignment horizontal="left" vertical="top" wrapText="1"/>
    </xf>
    <xf numFmtId="0" fontId="148" fillId="44" borderId="11" xfId="0" applyFont="1" applyFill="1" applyBorder="1" applyAlignment="1">
      <alignment horizontal="center"/>
    </xf>
    <xf numFmtId="0" fontId="19" fillId="47" borderId="10" xfId="0" applyFont="1" applyFill="1" applyBorder="1" applyAlignment="1">
      <alignment horizontal="center"/>
    </xf>
    <xf numFmtId="0" fontId="19" fillId="47" borderId="11" xfId="0" applyFont="1" applyFill="1" applyBorder="1" applyAlignment="1">
      <alignment horizontal="center"/>
    </xf>
    <xf numFmtId="0" fontId="16" fillId="34" borderId="10" xfId="0" applyFont="1" applyFill="1" applyBorder="1" applyAlignment="1">
      <alignment horizontal="center"/>
    </xf>
    <xf numFmtId="0" fontId="16" fillId="34" borderId="11" xfId="0" applyFont="1" applyFill="1" applyBorder="1" applyAlignment="1">
      <alignment horizontal="center"/>
    </xf>
    <xf numFmtId="0" fontId="16" fillId="34" borderId="12" xfId="0" applyFont="1" applyFill="1" applyBorder="1" applyAlignment="1">
      <alignment horizontal="center"/>
    </xf>
    <xf numFmtId="0" fontId="19" fillId="48" borderId="36" xfId="0" applyFont="1" applyFill="1" applyBorder="1" applyAlignment="1">
      <alignment horizontal="center"/>
    </xf>
    <xf numFmtId="0" fontId="19" fillId="48" borderId="39" xfId="0" applyFont="1" applyFill="1" applyBorder="1" applyAlignment="1">
      <alignment horizontal="center"/>
    </xf>
    <xf numFmtId="0" fontId="19" fillId="48" borderId="366" xfId="0" applyFont="1" applyFill="1" applyBorder="1" applyAlignment="1">
      <alignment horizontal="center"/>
    </xf>
    <xf numFmtId="0" fontId="0" fillId="0" borderId="338" xfId="0" applyBorder="1" applyAlignment="1">
      <alignment horizontal="right" vertical="center"/>
    </xf>
    <xf numFmtId="0" fontId="0" fillId="0" borderId="189" xfId="0" applyBorder="1" applyAlignment="1">
      <alignment horizontal="right" vertical="center"/>
    </xf>
    <xf numFmtId="0" fontId="0" fillId="0" borderId="339" xfId="0" applyBorder="1" applyAlignment="1">
      <alignment horizontal="right" vertical="center"/>
    </xf>
    <xf numFmtId="0" fontId="24" fillId="47" borderId="0" xfId="0" applyFont="1" applyFill="1" applyAlignment="1" applyProtection="1">
      <alignment horizontal="left" wrapText="1"/>
      <protection locked="0"/>
    </xf>
    <xf numFmtId="0" fontId="24" fillId="47" borderId="38" xfId="0" applyFont="1" applyFill="1" applyBorder="1" applyAlignment="1" applyProtection="1">
      <alignment horizontal="left" wrapText="1"/>
      <protection locked="0"/>
    </xf>
    <xf numFmtId="0" fontId="18" fillId="69" borderId="0" xfId="0" applyFont="1" applyFill="1" applyAlignment="1" applyProtection="1">
      <alignment horizontal="left" vertical="top" wrapText="1"/>
      <protection locked="0"/>
    </xf>
    <xf numFmtId="0" fontId="0" fillId="0" borderId="340" xfId="0" applyBorder="1" applyAlignment="1">
      <alignment horizontal="right" vertical="center"/>
    </xf>
    <xf numFmtId="0" fontId="0" fillId="0" borderId="341" xfId="0" applyBorder="1" applyAlignment="1">
      <alignment horizontal="right" vertical="center"/>
    </xf>
    <xf numFmtId="0" fontId="0" fillId="0" borderId="99" xfId="0" applyBorder="1" applyAlignment="1">
      <alignment horizontal="right" vertical="center"/>
    </xf>
    <xf numFmtId="0" fontId="0" fillId="0" borderId="340" xfId="0" applyBorder="1" applyAlignment="1">
      <alignment horizontal="right" vertical="center" wrapText="1"/>
    </xf>
    <xf numFmtId="0" fontId="0" fillId="0" borderId="189" xfId="0" applyBorder="1" applyAlignment="1">
      <alignment horizontal="right" vertical="center" wrapText="1"/>
    </xf>
    <xf numFmtId="0" fontId="0" fillId="0" borderId="339" xfId="0" applyBorder="1" applyAlignment="1">
      <alignment horizontal="right" vertical="center" wrapText="1"/>
    </xf>
    <xf numFmtId="0" fontId="0" fillId="0" borderId="346" xfId="0" applyBorder="1" applyAlignment="1">
      <alignment horizontal="right" vertical="center" wrapText="1"/>
    </xf>
    <xf numFmtId="0" fontId="0" fillId="0" borderId="38" xfId="0" applyBorder="1" applyAlignment="1">
      <alignment horizontal="right" vertical="center" wrapText="1"/>
    </xf>
    <xf numFmtId="0" fontId="18" fillId="37" borderId="113" xfId="0" applyFont="1" applyFill="1" applyBorder="1" applyAlignment="1">
      <alignment horizontal="left" vertical="center" indent="4"/>
    </xf>
    <xf numFmtId="0" fontId="18" fillId="37" borderId="90" xfId="0" applyFont="1" applyFill="1" applyBorder="1" applyAlignment="1">
      <alignment horizontal="left" vertical="center" indent="4"/>
    </xf>
  </cellXfs>
  <cellStyles count="76">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4" xr:uid="{00000000-0005-0000-0000-00001C000000}"/>
    <cellStyle name="dms_2" xfId="45" xr:uid="{00000000-0005-0000-0000-00001D000000}"/>
    <cellStyle name="dms_2 2" xfId="74" xr:uid="{00000000-0005-0000-0000-00001E000000}"/>
    <cellStyle name="dms_3" xfId="46" xr:uid="{00000000-0005-0000-0000-00001F000000}"/>
    <cellStyle name="dms_4 2" xfId="73" xr:uid="{00000000-0005-0000-0000-000021000000}"/>
    <cellStyle name="dms_5" xfId="47" xr:uid="{00000000-0005-0000-0000-000022000000}"/>
    <cellStyle name="dms_5 2" xfId="72" xr:uid="{00000000-0005-0000-0000-000023000000}"/>
    <cellStyle name="dms_BFill" xfId="43" xr:uid="{00000000-0005-0000-0000-000024000000}"/>
    <cellStyle name="dms_BH" xfId="52" xr:uid="{00000000-0005-0000-0000-000025000000}"/>
    <cellStyle name="dms_BY1" xfId="53" xr:uid="{00000000-0005-0000-0000-000026000000}"/>
    <cellStyle name="dms_BY2" xfId="54" xr:uid="{00000000-0005-0000-0000-000027000000}"/>
    <cellStyle name="dms_GH" xfId="57" xr:uid="{00000000-0005-0000-0000-000028000000}"/>
    <cellStyle name="dms_GY1" xfId="58" xr:uid="{00000000-0005-0000-0000-000029000000}"/>
    <cellStyle name="dms_GY2" xfId="59" xr:uid="{00000000-0005-0000-0000-00002A000000}"/>
    <cellStyle name="dms_H" xfId="65" xr:uid="{00000000-0005-0000-0000-00002B000000}"/>
    <cellStyle name="dms_NUM" xfId="48" xr:uid="{00000000-0005-0000-0000-00002C000000}"/>
    <cellStyle name="dms_Num%" xfId="66" xr:uid="{00000000-0005-0000-0000-00002D000000}"/>
    <cellStyle name="dms_NUM3d" xfId="71" xr:uid="{00000000-0005-0000-0000-00002E000000}"/>
    <cellStyle name="dms_Row_Locked" xfId="49" xr:uid="{00000000-0005-0000-0000-00002F000000}"/>
    <cellStyle name="dms_Row_Locked 2" xfId="70" xr:uid="{00000000-0005-0000-0000-000030000000}"/>
    <cellStyle name="dms_Row1" xfId="55" xr:uid="{00000000-0005-0000-0000-000031000000}"/>
    <cellStyle name="dms_Row1 2" xfId="69" xr:uid="{00000000-0005-0000-0000-000032000000}"/>
    <cellStyle name="dms_Row2" xfId="67" xr:uid="{00000000-0005-0000-0000-000033000000}"/>
    <cellStyle name="dms_T1" xfId="51" xr:uid="{00000000-0005-0000-0000-000034000000}"/>
    <cellStyle name="dms_T1 2" xfId="68" xr:uid="{00000000-0005-0000-0000-000035000000}"/>
    <cellStyle name="dms_T2" xfId="60" xr:uid="{00000000-0005-0000-0000-000036000000}"/>
    <cellStyle name="dms_THG" xfId="63" xr:uid="{00000000-0005-0000-0000-000038000000}"/>
    <cellStyle name="dms_TopHeader" xfId="50" xr:uid="{00000000-0005-0000-0000-000039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1" builtinId="8" hidden="1"/>
    <cellStyle name="Hyperlink" xfId="64" builtinId="8"/>
    <cellStyle name="Hyperlink 2" xfId="56" xr:uid="{00000000-0005-0000-0000-000043000000}"/>
    <cellStyle name="Input" xfId="10" builtinId="20" hidden="1"/>
    <cellStyle name="Linked Cell" xfId="13" builtinId="24" hidden="1"/>
    <cellStyle name="Neutral" xfId="9" builtinId="28" hidden="1"/>
    <cellStyle name="Normal" xfId="0" builtinId="0"/>
    <cellStyle name="Note" xfId="16" builtinId="10" hidden="1"/>
    <cellStyle name="Output" xfId="11" builtinId="21" hidden="1"/>
    <cellStyle name="Table Heading" xfId="75" xr:uid="{47951600-05BA-4DCA-A00A-47432B1FEE83}"/>
    <cellStyle name="Title" xfId="2" builtinId="15" hidden="1"/>
    <cellStyle name="Total" xfId="18" builtinId="25" hidden="1"/>
    <cellStyle name="Warning Text" xfId="15" builtinId="11" hidden="1"/>
  </cellStyles>
  <dxfs count="96">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theme="0" tint="-0.24994659260841701"/>
        </patternFill>
      </fill>
    </dxf>
    <dxf>
      <font>
        <b/>
        <i val="0"/>
        <color rgb="FFFF0000"/>
      </font>
      <border>
        <vertical/>
        <horizontal/>
      </border>
    </dxf>
    <dxf>
      <font>
        <b/>
        <i val="0"/>
        <color rgb="FFFF0000"/>
      </font>
    </dxf>
    <dxf>
      <fill>
        <patternFill>
          <bgColor theme="6" tint="0.59996337778862885"/>
        </patternFill>
      </fill>
    </dxf>
    <dxf>
      <fill>
        <patternFill>
          <bgColor rgb="FFFFFF99"/>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D9D9D9"/>
        </patternFill>
      </fill>
    </dxf>
    <dxf>
      <fill>
        <patternFill>
          <bgColor rgb="FFBFBFBF"/>
        </patternFill>
      </fill>
    </dxf>
    <dxf>
      <fill>
        <patternFill>
          <bgColor rgb="FFD9D9D9"/>
        </patternFill>
      </fill>
    </dxf>
    <dxf>
      <fill>
        <patternFill>
          <bgColor rgb="FFBFBFBF"/>
        </patternFill>
      </fill>
    </dxf>
    <dxf>
      <fill>
        <patternFill>
          <bgColor rgb="FFD9D9D9"/>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val="0"/>
        <i val="0"/>
        <strike val="0"/>
        <condense val="0"/>
        <extend val="0"/>
        <outline val="0"/>
        <shadow val="0"/>
        <u val="none"/>
        <vertAlign val="baseline"/>
        <sz val="11"/>
        <color theme="8" tint="-0.249977111117893"/>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4"/>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alignment horizontal="general" vertical="bottom" textRotation="0" wrapText="0" indent="0" justifyLastLine="0" shrinkToFit="0" readingOrder="0"/>
      <border diagonalUp="0" diagonalDown="0">
        <left style="thin">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1" formatCode="0000"/>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border outline="0">
        <left style="medium">
          <color indexed="64"/>
        </left>
        <right style="medium">
          <color indexed="64"/>
        </right>
        <top style="medium">
          <color indexed="64"/>
        </top>
        <bottom style="medium">
          <color indexed="64"/>
        </bottom>
      </border>
    </dxf>
  </dxfs>
  <tableStyles count="1" defaultTableStyle="TableStyleMedium2" defaultPivotStyle="PivotStyleLight16">
    <tableStyle name="Invisible" pivot="0" table="0" count="0" xr9:uid="{39745127-5B77-4AAF-8024-2AB5203E81FC}"/>
  </tableStyles>
  <colors>
    <mruColors>
      <color rgb="FF25C6FF"/>
      <color rgb="FFFFCCCC"/>
      <color rgb="FFFFFFCC"/>
      <color rgb="FFE3E3E1"/>
      <color rgb="FFDDDDDD"/>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customXml" Target="../customXml/item2.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customXml" Target="../customXml/item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theme" Target="theme/theme1.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calcChain" Target="calcChain.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ustomXml" Target="../customXml/item4.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sharedStrings" Target="sharedStrings.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styles" Target="styles.xml" Id="rId30" /><Relationship Type="http://schemas.openxmlformats.org/officeDocument/2006/relationships/worksheet" Target="worksheets/sheet8.xml" Id="rId8"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9B70EB94-9F3A-4D53-B9E8-69F6D6E659D3}"/>
            </a:ext>
          </a:extLst>
        </xdr:cNvPr>
        <xdr:cNvPicPr>
          <a:picLocks noChangeAspect="1"/>
        </xdr:cNvPicPr>
      </xdr:nvPicPr>
      <xdr:blipFill>
        <a:blip xmlns:r="http://schemas.openxmlformats.org/officeDocument/2006/relationships" r:embed="rId1"/>
        <a:stretch>
          <a:fillRect/>
        </a:stretch>
      </xdr:blipFill>
      <xdr:spPr>
        <a:xfrm>
          <a:off x="4623706" y="40821"/>
          <a:ext cx="11293042" cy="2653393"/>
        </a:xfrm>
        <a:prstGeom prst="rect">
          <a:avLst/>
        </a:prstGeom>
      </xdr:spPr>
    </xdr:pic>
    <xdr:clientData/>
  </xdr:twoCellAnchor>
  <xdr:twoCellAnchor>
    <xdr:from>
      <xdr:col>3</xdr:col>
      <xdr:colOff>3258553</xdr:colOff>
      <xdr:row>7</xdr:row>
      <xdr:rowOff>100259</xdr:rowOff>
    </xdr:from>
    <xdr:to>
      <xdr:col>4</xdr:col>
      <xdr:colOff>1027698</xdr:colOff>
      <xdr:row>7</xdr:row>
      <xdr:rowOff>1516477</xdr:rowOff>
    </xdr:to>
    <xdr:grpSp>
      <xdr:nvGrpSpPr>
        <xdr:cNvPr id="3" name="Group 2">
          <a:extLst>
            <a:ext uri="{FF2B5EF4-FFF2-40B4-BE49-F238E27FC236}">
              <a16:creationId xmlns:a16="http://schemas.microsoft.com/office/drawing/2014/main" id="{2E4B5377-4C72-4321-A7E9-FC502F0F0DB6}"/>
            </a:ext>
          </a:extLst>
        </xdr:cNvPr>
        <xdr:cNvGrpSpPr/>
      </xdr:nvGrpSpPr>
      <xdr:grpSpPr>
        <a:xfrm>
          <a:off x="13246196" y="6754152"/>
          <a:ext cx="2327538" cy="1416218"/>
          <a:chOff x="8534400" y="5972174"/>
          <a:chExt cx="1767435" cy="962294"/>
        </a:xfrm>
      </xdr:grpSpPr>
      <xdr:sp macro="" textlink="">
        <xdr:nvSpPr>
          <xdr:cNvPr id="4" name="Rounded Rectangle 16">
            <a:extLst>
              <a:ext uri="{FF2B5EF4-FFF2-40B4-BE49-F238E27FC236}">
                <a16:creationId xmlns:a16="http://schemas.microsoft.com/office/drawing/2014/main" id="{D057B5D1-676A-170B-D935-9983193EE7DE}"/>
              </a:ext>
            </a:extLst>
          </xdr:cNvPr>
          <xdr:cNvSpPr/>
        </xdr:nvSpPr>
        <xdr:spPr>
          <a:xfrm>
            <a:off x="8534400" y="5972174"/>
            <a:ext cx="1758008" cy="45134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676608C3-8429-8231-3039-96BA4D0DDC20}"/>
              </a:ext>
            </a:extLst>
          </xdr:cNvPr>
          <xdr:cNvSpPr/>
        </xdr:nvSpPr>
        <xdr:spPr>
          <a:xfrm>
            <a:off x="8534403" y="6483127"/>
            <a:ext cx="1767432" cy="451341"/>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3258553</xdr:colOff>
      <xdr:row>10</xdr:row>
      <xdr:rowOff>175621</xdr:rowOff>
    </xdr:from>
    <xdr:to>
      <xdr:col>4</xdr:col>
      <xdr:colOff>877303</xdr:colOff>
      <xdr:row>10</xdr:row>
      <xdr:rowOff>1691116</xdr:rowOff>
    </xdr:to>
    <xdr:grpSp>
      <xdr:nvGrpSpPr>
        <xdr:cNvPr id="6" name="Group 5">
          <a:extLst>
            <a:ext uri="{FF2B5EF4-FFF2-40B4-BE49-F238E27FC236}">
              <a16:creationId xmlns:a16="http://schemas.microsoft.com/office/drawing/2014/main" id="{2EAC7518-A98C-4E10-B518-4DED69FCAEEA}"/>
            </a:ext>
          </a:extLst>
        </xdr:cNvPr>
        <xdr:cNvGrpSpPr/>
      </xdr:nvGrpSpPr>
      <xdr:grpSpPr>
        <a:xfrm>
          <a:off x="13246196" y="9904728"/>
          <a:ext cx="2177143" cy="1515495"/>
          <a:chOff x="4267200" y="1674156"/>
          <a:chExt cx="1931546" cy="978172"/>
        </a:xfrm>
      </xdr:grpSpPr>
      <xdr:sp macro="" textlink="">
        <xdr:nvSpPr>
          <xdr:cNvPr id="7" name="Rounded Rectangle 16">
            <a:extLst>
              <a:ext uri="{FF2B5EF4-FFF2-40B4-BE49-F238E27FC236}">
                <a16:creationId xmlns:a16="http://schemas.microsoft.com/office/drawing/2014/main" id="{71AE5448-27D9-73A2-E6ED-7285722542E5}"/>
              </a:ext>
            </a:extLst>
          </xdr:cNvPr>
          <xdr:cNvSpPr/>
        </xdr:nvSpPr>
        <xdr:spPr>
          <a:xfrm>
            <a:off x="4267201" y="1674156"/>
            <a:ext cx="1931545" cy="493346"/>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C0F799B8-B039-B71F-D8B3-3E5980FD193C}"/>
              </a:ext>
            </a:extLst>
          </xdr:cNvPr>
          <xdr:cNvSpPr/>
        </xdr:nvSpPr>
        <xdr:spPr>
          <a:xfrm>
            <a:off x="4267200" y="2216039"/>
            <a:ext cx="1931544" cy="43628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95251</xdr:rowOff>
    </xdr:from>
    <xdr:to>
      <xdr:col>0</xdr:col>
      <xdr:colOff>1476375</xdr:colOff>
      <xdr:row>3</xdr:row>
      <xdr:rowOff>304801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95251"/>
          <a:ext cx="1419225" cy="13525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2400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1362075</xdr:colOff>
      <xdr:row>3</xdr:row>
      <xdr:rowOff>342900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76200" y="28575"/>
          <a:ext cx="1285875" cy="1457325"/>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371475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14475"/>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4112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24000"/>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371475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14475"/>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371475</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14475"/>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352425</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495425"/>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371475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14475"/>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24000"/>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1457325</xdr:colOff>
      <xdr:row>3</xdr:row>
      <xdr:rowOff>342901</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1"/>
          <a:ext cx="1457325" cy="1485900"/>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1457325</xdr:colOff>
      <xdr:row>3</xdr:row>
      <xdr:rowOff>342901</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0" y="1"/>
          <a:ext cx="1457325" cy="1485900"/>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352425</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495425"/>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1457325</xdr:colOff>
      <xdr:row>3</xdr:row>
      <xdr:rowOff>342901</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1"/>
          <a:ext cx="1457325" cy="1485900"/>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85726</xdr:colOff>
      <xdr:row>0</xdr:row>
      <xdr:rowOff>0</xdr:rowOff>
    </xdr:from>
    <xdr:to>
      <xdr:col>0</xdr:col>
      <xdr:colOff>1466849</xdr:colOff>
      <xdr:row>3</xdr:row>
      <xdr:rowOff>352425</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85726" y="0"/>
          <a:ext cx="1381123" cy="1484642"/>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314325</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457325" cy="1457325"/>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1485901</xdr:colOff>
      <xdr:row>4</xdr:row>
      <xdr:rowOff>0</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1" y="0"/>
          <a:ext cx="1485900" cy="1524000"/>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1485900</xdr:colOff>
      <xdr:row>3</xdr:row>
      <xdr:rowOff>352425</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28575" y="0"/>
          <a:ext cx="1457325" cy="1495425"/>
          <a:chOff x="22413" y="11206"/>
          <a:chExt cx="1546410" cy="1423147"/>
        </a:xfrm>
      </xdr:grpSpPr>
      <xdr:sp macro="" textlink="">
        <xdr:nvSpPr>
          <xdr:cNvPr id="3" name="Rectangle 3">
            <a:extLst>
              <a:ext uri="{FF2B5EF4-FFF2-40B4-BE49-F238E27FC236}">
                <a16:creationId xmlns:a16="http://schemas.microsoft.com/office/drawing/2014/main" id="{00000000-0008-0000-1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17319</xdr:colOff>
      <xdr:row>0</xdr:row>
      <xdr:rowOff>17319</xdr:rowOff>
    </xdr:from>
    <xdr:to>
      <xdr:col>0</xdr:col>
      <xdr:colOff>1419225</xdr:colOff>
      <xdr:row>3</xdr:row>
      <xdr:rowOff>342901</xdr:rowOff>
    </xdr:to>
    <xdr:grpSp>
      <xdr:nvGrpSpPr>
        <xdr:cNvPr id="2" name="Group 1">
          <a:extLst>
            <a:ext uri="{FF2B5EF4-FFF2-40B4-BE49-F238E27FC236}">
              <a16:creationId xmlns:a16="http://schemas.microsoft.com/office/drawing/2014/main" id="{00000000-0008-0000-1B00-000002000000}"/>
            </a:ext>
          </a:extLst>
        </xdr:cNvPr>
        <xdr:cNvGrpSpPr/>
      </xdr:nvGrpSpPr>
      <xdr:grpSpPr>
        <a:xfrm>
          <a:off x="17319" y="17319"/>
          <a:ext cx="1401906" cy="1468582"/>
          <a:chOff x="22413" y="11206"/>
          <a:chExt cx="1546410" cy="1423147"/>
        </a:xfrm>
      </xdr:grpSpPr>
      <xdr:sp macro="" textlink="">
        <xdr:nvSpPr>
          <xdr:cNvPr id="3" name="Rectangle 3">
            <a:extLst>
              <a:ext uri="{FF2B5EF4-FFF2-40B4-BE49-F238E27FC236}">
                <a16:creationId xmlns:a16="http://schemas.microsoft.com/office/drawing/2014/main" id="{00000000-0008-0000-1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73535C-A2B8-45D7-B7E0-727DE243D7E9}" name="Table2" displayName="Table2" ref="B15:AL29" totalsRowShown="0" tableBorderDxfId="95">
  <autoFilter ref="B15:AL29" xr:uid="{6973535C-A2B8-45D7-B7E0-727DE243D7E9}"/>
  <sortState xmlns:xlrd2="http://schemas.microsoft.com/office/spreadsheetml/2017/richdata2" ref="B16:AL29">
    <sortCondition ref="B15:B29"/>
  </sortState>
  <tableColumns count="37">
    <tableColumn id="1" xr3:uid="{44E25317-5310-4AAA-9026-C73FBA2BD255}" name="dms_TradingName_List"/>
    <tableColumn id="2" xr3:uid="{CD6CF286-76D6-4E22-BC79-ACD8233858B3}" name="dms_TradingNameFull_List"/>
    <tableColumn id="3" xr3:uid="{128B1773-B74C-405A-A050-48BBA7F8F35E}" name="dms_ABN_List"/>
    <tableColumn id="4" xr3:uid="{EC07EB04-B644-44FA-B437-5B927CCBB1BE}" name="dms_UniqueID_List"/>
    <tableColumn id="5" xr3:uid="{D966BB2E-D493-4CCA-9E8F-FCF35A64F0B7}" name="dms_JurisdictionList"/>
    <tableColumn id="6" xr3:uid="{39B25DBD-5170-4316-B8E5-C770DCF5CAED}" name="dms_Sector_List" dataDxfId="94"/>
    <tableColumn id="7" xr3:uid="{A695D866-7B67-4EA0-A9C5-FD7812DC9F3D}" name="dms_Segment_List" dataDxfId="93"/>
    <tableColumn id="8" xr3:uid="{D39441DE-08BC-473D-9CC1-2A546210AAD3}" name="dms_FormControl_List" dataDxfId="92"/>
    <tableColumn id="9" xr3:uid="{7D130CC4-5CE4-48DA-BD6D-5332EFB9B539}" name="dms_RPT_List"/>
    <tableColumn id="10" xr3:uid="{9DA1CB47-86B9-4503-AF48-595D9CC554B4}" name="dms_RPTMonth_List"/>
    <tableColumn id="11" xr3:uid="{D0B62D58-C597-4FC8-BCD4-0832D4C72B08}" name="dms_CRCPlength_List" dataDxfId="91"/>
    <tableColumn id="12" xr3:uid="{F1273C32-8F6F-4634-8FB2-36F3474316B9}" name="dms_FRCPlength_List"/>
    <tableColumn id="13" xr3:uid="{D06465D8-7F8E-43F9-B864-C7A2495775E6}" name="dms_PRCPlength_List"/>
    <tableColumn id="14" xr3:uid="{9ECF7A4C-331E-4AC2-A8DF-85513103551E}" name="dms_663_List" dataDxfId="90"/>
    <tableColumn id="15" xr3:uid="{CE76AD67-D541-4AD7-B5EB-B8C40E073A48}" name="dms_DeterminationRef_List"/>
    <tableColumn id="16" xr3:uid="{AF979801-5CAE-4428-874F-4B2409328C06}" name="dms_Addr1_List" dataDxfId="89"/>
    <tableColumn id="17" xr3:uid="{629FC5B1-6E88-4FD7-A5AB-6E3280F5D93A}" name="dms_Addr2_List" dataDxfId="88"/>
    <tableColumn id="18" xr3:uid="{B18BA7D6-3AF7-4E89-A49A-D0E411D286C5}" name="dms_Suburb_List" dataDxfId="87"/>
    <tableColumn id="19" xr3:uid="{2C3129B2-55C8-4A8F-895E-1D6B5677D19A}" name="dms_State_List" dataDxfId="86"/>
    <tableColumn id="20" xr3:uid="{E7A5927B-A491-4A40-9C8F-75522A2331E6}" name="dms_PostCode_List" dataDxfId="85"/>
    <tableColumn id="21" xr3:uid="{EB4A42EF-99EE-4633-93BB-3228FE99C18A}" name="dms_PAddr1_List" dataDxfId="84"/>
    <tableColumn id="22" xr3:uid="{529ED768-D407-4DEF-BCD7-ADD878331AC9}" name="dms_PAddr2_List" dataDxfId="83"/>
    <tableColumn id="23" xr3:uid="{DEAB89B9-B519-46AA-8C9A-517E5DD7D80F}" name="dms_PSuburb_List" dataDxfId="82"/>
    <tableColumn id="24" xr3:uid="{B8AE3D98-36B2-45F4-8133-FE8384BBAD3D}" name="dms_PState_List" dataDxfId="81"/>
    <tableColumn id="25" xr3:uid="{2CDE7B1E-C270-47E5-9FE2-272B43198CED}" name="dms_PPostCode_List"/>
    <tableColumn id="26" xr3:uid="{BDAC6498-4900-4F30-985F-180DCAE95FB9}" name="dms_CBD_flag" dataDxfId="80"/>
    <tableColumn id="27" xr3:uid="{9588FDC8-A83C-4606-99BB-38DADDDE5019}" name="dms_Urban_flag" dataDxfId="79"/>
    <tableColumn id="28" xr3:uid="{BE2D5733-EE9E-48C0-A8DD-E44D713BB469}" name="dms_ShortRural_flag" dataDxfId="78"/>
    <tableColumn id="29" xr3:uid="{8C2DF17E-8BB4-4508-B3D0-757A2900640F}" name="dms_LongRural_flag" dataDxfId="77"/>
    <tableColumn id="30" xr3:uid="{1FDE6D94-2D2C-492E-93CE-1ED5D03C3DDD}" name="dms_FeederType_5_flag" dataDxfId="76"/>
    <tableColumn id="31" xr3:uid="{5CFA3405-8B11-4081-A745-51DF30BC94D4}" name="dms_FeederName_1"/>
    <tableColumn id="32" xr3:uid="{05FECD5B-89FE-401E-8518-D1F7B51FE779}" name="dms_FeederName_2" dataDxfId="75"/>
    <tableColumn id="33" xr3:uid="{ABA01CA1-F7D4-4912-A4F4-3DF6221D4C4E}" name="dms_FeederName_3" dataDxfId="74"/>
    <tableColumn id="34" xr3:uid="{5954F6E2-C53B-4446-8AF4-9B8952829972}" name="dms_FeederName_4" dataDxfId="73"/>
    <tableColumn id="35" xr3:uid="{9D76067A-4577-43B7-B69F-EA97F65D42EA}" name="dms_FeederName_5" dataDxfId="72"/>
    <tableColumn id="36" xr3:uid="{7150173F-09E0-40FA-AE8F-2A6287CFE7BD}" name="dms_Public_Lighting_List" dataDxfId="71"/>
    <tableColumn id="37" xr3:uid="{1F491678-A512-4079-BF31-B366F4242DF0}" name="Name" dataDxfId="70">
      <calculatedColumnFormula>B16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5.bin"/><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FC5B-12F0-4889-8948-EBE551C2E472}">
  <sheetPr codeName="Sheet31">
    <tabColor theme="9" tint="-0.249977111117893"/>
  </sheetPr>
  <dimension ref="A1:O34"/>
  <sheetViews>
    <sheetView showGridLines="0" zoomScale="70" zoomScaleNormal="70" workbookViewId="0">
      <selection activeCell="B3" sqref="B3:E3"/>
    </sheetView>
  </sheetViews>
  <sheetFormatPr defaultColWidth="0" defaultRowHeight="28.5" customHeight="1" zeroHeight="1" x14ac:dyDescent="0.25"/>
  <cols>
    <col min="1" max="1" width="69.140625" customWidth="1"/>
    <col min="2" max="2" width="59.7109375" style="479" customWidth="1"/>
    <col min="3" max="3" width="20.7109375" customWidth="1"/>
    <col min="4" max="4" width="68.28515625" customWidth="1"/>
    <col min="5" max="5" width="20.7109375" customWidth="1"/>
    <col min="6" max="6" width="71.42578125" customWidth="1"/>
    <col min="7" max="7" width="9.140625" customWidth="1"/>
    <col min="8" max="15" width="0" hidden="1" customWidth="1"/>
    <col min="16" max="16384" width="9.140625" hidden="1"/>
  </cols>
  <sheetData>
    <row r="1" spans="2:15" s="1454" customFormat="1" ht="214.5" customHeight="1" thickBot="1" x14ac:dyDescent="0.3">
      <c r="B1" s="479"/>
    </row>
    <row r="2" spans="2:15" s="1454" customFormat="1" ht="39.75" customHeight="1" x14ac:dyDescent="0.25">
      <c r="B2" s="1600" t="str">
        <f>CONCATENATE(dms_Sector," ",dms_Segment," ", "Network Service Provider")</f>
        <v>Gas Distribution Network Service Provider</v>
      </c>
      <c r="C2" s="1601"/>
      <c r="D2" s="1601"/>
      <c r="E2" s="1602"/>
      <c r="F2" s="1455"/>
    </row>
    <row r="3" spans="2:15" s="1454" customFormat="1" ht="51.75" customHeight="1" x14ac:dyDescent="0.25">
      <c r="B3" s="1603" t="str">
        <f>IF(dms_Model="Reset","Regulatory Proposal RIN Template","Annual Reporting RIN")</f>
        <v>Regulatory Proposal RIN Template</v>
      </c>
      <c r="C3" s="1604"/>
      <c r="D3" s="1604"/>
      <c r="E3" s="1605"/>
      <c r="F3" s="1455"/>
      <c r="L3"/>
      <c r="O3"/>
    </row>
    <row r="4" spans="2:15" s="1454" customFormat="1" ht="49.5" customHeight="1" thickBot="1" x14ac:dyDescent="0.3">
      <c r="B4" s="1606" t="str">
        <f>CONCATENATE("This template is to be used by ",INDEX(dms_TradingNameFull_List,MATCH(dms_TradingName,dms_TradingName_List))," to fulfil its reporting obligations to the AER.")</f>
        <v>This template is to be used by Australian Gas Networks Limited (reporting data for SA) to fulfil its reporting obligations to the AER.</v>
      </c>
      <c r="C4" s="1607"/>
      <c r="D4" s="1607"/>
      <c r="E4" s="1608"/>
      <c r="F4" s="1456"/>
    </row>
    <row r="5" spans="2:15" s="1454" customFormat="1" ht="39.75" customHeight="1" thickBot="1" x14ac:dyDescent="0.3">
      <c r="B5" s="1609" t="s">
        <v>0</v>
      </c>
      <c r="C5" s="1610"/>
      <c r="D5" s="1610"/>
      <c r="E5" s="1611"/>
      <c r="F5" s="1457"/>
    </row>
    <row r="6" spans="2:15" s="1454" customFormat="1" ht="114.75" customHeight="1" thickBot="1" x14ac:dyDescent="0.3">
      <c r="B6" s="480" t="s">
        <v>1</v>
      </c>
      <c r="C6" s="1612" t="s">
        <v>2</v>
      </c>
      <c r="D6" s="1613"/>
      <c r="E6" s="1614"/>
      <c r="F6"/>
    </row>
    <row r="7" spans="2:15" s="1454" customFormat="1" ht="15" customHeight="1" thickBot="1" x14ac:dyDescent="0.3">
      <c r="B7" s="479"/>
      <c r="D7"/>
      <c r="E7"/>
      <c r="F7"/>
      <c r="G7"/>
    </row>
    <row r="8" spans="2:15" s="1454" customFormat="1" ht="126.75" customHeight="1" x14ac:dyDescent="0.3">
      <c r="B8" s="1594" t="s">
        <v>3</v>
      </c>
      <c r="C8" s="1615" t="s">
        <v>4</v>
      </c>
      <c r="D8" s="1616"/>
      <c r="E8" s="1458"/>
      <c r="F8" s="416"/>
      <c r="J8" s="1459"/>
    </row>
    <row r="9" spans="2:15" s="1454" customFormat="1" ht="100.5" customHeight="1" thickBot="1" x14ac:dyDescent="0.3">
      <c r="B9" s="1596"/>
      <c r="C9" s="1617" t="s">
        <v>5</v>
      </c>
      <c r="D9" s="1618"/>
      <c r="E9" s="1619"/>
      <c r="F9"/>
    </row>
    <row r="10" spans="2:15" s="1454" customFormat="1" ht="15" customHeight="1" thickBot="1" x14ac:dyDescent="0.3">
      <c r="B10" s="479"/>
      <c r="D10"/>
      <c r="E10"/>
      <c r="F10"/>
      <c r="G10"/>
    </row>
    <row r="11" spans="2:15" s="1454" customFormat="1" ht="159" customHeight="1" x14ac:dyDescent="0.25">
      <c r="B11" s="1620" t="s">
        <v>6</v>
      </c>
      <c r="C11" s="1615" t="s">
        <v>7</v>
      </c>
      <c r="D11" s="1616"/>
      <c r="E11" s="1458"/>
      <c r="F11"/>
      <c r="J11" s="1459"/>
    </row>
    <row r="12" spans="2:15" s="1454" customFormat="1" ht="100.5" customHeight="1" thickBot="1" x14ac:dyDescent="0.3">
      <c r="B12" s="1621"/>
      <c r="C12" s="1617" t="s">
        <v>8</v>
      </c>
      <c r="D12" s="1618"/>
      <c r="E12" s="1619"/>
      <c r="F12"/>
    </row>
    <row r="13" spans="2:15" s="1454" customFormat="1" ht="15" customHeight="1" thickBot="1" x14ac:dyDescent="0.3">
      <c r="B13" s="479"/>
      <c r="D13"/>
      <c r="E13"/>
      <c r="F13"/>
      <c r="G13"/>
    </row>
    <row r="14" spans="2:15" s="1454" customFormat="1" ht="200.25" customHeight="1" thickBot="1" x14ac:dyDescent="0.3">
      <c r="B14" s="480" t="s">
        <v>9</v>
      </c>
      <c r="C14" s="1622" t="s">
        <v>10</v>
      </c>
      <c r="D14" s="1623"/>
      <c r="E14" s="1624"/>
      <c r="F14"/>
      <c r="G14"/>
    </row>
    <row r="15" spans="2:15" s="1454" customFormat="1" ht="15" customHeight="1" x14ac:dyDescent="0.25">
      <c r="B15" s="479"/>
      <c r="D15"/>
      <c r="E15"/>
      <c r="F15"/>
      <c r="G15"/>
    </row>
    <row r="16" spans="2:15" s="1454" customFormat="1" ht="15" customHeight="1" thickBot="1" x14ac:dyDescent="0.3">
      <c r="B16" s="479"/>
      <c r="D16"/>
      <c r="E16"/>
      <c r="F16"/>
      <c r="G16"/>
    </row>
    <row r="17" spans="2:7" s="1454" customFormat="1" ht="74.25" customHeight="1" thickBot="1" x14ac:dyDescent="0.3">
      <c r="B17" s="480" t="s">
        <v>11</v>
      </c>
      <c r="C17" s="1625" t="s">
        <v>12</v>
      </c>
      <c r="D17" s="1626"/>
      <c r="E17" s="1627"/>
      <c r="F17"/>
    </row>
    <row r="18" spans="2:7" s="1454" customFormat="1" ht="15" customHeight="1" thickBot="1" x14ac:dyDescent="0.3">
      <c r="B18" s="479"/>
      <c r="D18"/>
      <c r="E18"/>
      <c r="F18"/>
      <c r="G18"/>
    </row>
    <row r="19" spans="2:7" s="1454" customFormat="1" ht="27.75" customHeight="1" thickBot="1" x14ac:dyDescent="0.3">
      <c r="B19" s="1594" t="s">
        <v>13</v>
      </c>
      <c r="C19" s="1597"/>
      <c r="D19" s="1598"/>
      <c r="E19" s="1599"/>
      <c r="F19"/>
    </row>
    <row r="20" spans="2:7" s="1454" customFormat="1" ht="24" customHeight="1" x14ac:dyDescent="0.25">
      <c r="B20" s="1595"/>
      <c r="C20" s="481"/>
      <c r="D20" s="482" t="s">
        <v>14</v>
      </c>
      <c r="E20" s="483"/>
      <c r="F20"/>
      <c r="G20"/>
    </row>
    <row r="21" spans="2:7" s="1454" customFormat="1" ht="24" customHeight="1" x14ac:dyDescent="0.25">
      <c r="B21" s="1595"/>
      <c r="C21" s="481"/>
      <c r="D21" s="484" t="s">
        <v>15</v>
      </c>
      <c r="E21" s="483"/>
      <c r="F21"/>
      <c r="G21"/>
    </row>
    <row r="22" spans="2:7" s="1454" customFormat="1" ht="24" customHeight="1" x14ac:dyDescent="0.25">
      <c r="B22" s="1595"/>
      <c r="C22" s="481"/>
      <c r="D22" s="485" t="s">
        <v>16</v>
      </c>
      <c r="E22" s="483"/>
      <c r="F22"/>
      <c r="G22"/>
    </row>
    <row r="23" spans="2:7" s="1454" customFormat="1" ht="24" customHeight="1" thickBot="1" x14ac:dyDescent="0.3">
      <c r="B23" s="1595"/>
      <c r="C23" s="481"/>
      <c r="D23" s="486" t="s">
        <v>17</v>
      </c>
      <c r="E23" s="483"/>
      <c r="F23"/>
      <c r="G23"/>
    </row>
    <row r="24" spans="2:7" s="1454" customFormat="1" ht="85.5" customHeight="1" x14ac:dyDescent="0.25">
      <c r="B24" s="1595"/>
      <c r="C24" s="481"/>
      <c r="D24" s="1460" t="s">
        <v>18</v>
      </c>
      <c r="E24" s="483"/>
      <c r="F24"/>
      <c r="G24"/>
    </row>
    <row r="25" spans="2:7" s="1454" customFormat="1" ht="21.75" customHeight="1" thickBot="1" x14ac:dyDescent="0.3">
      <c r="B25" s="1596"/>
      <c r="C25" s="487"/>
      <c r="D25" s="488"/>
      <c r="E25" s="489"/>
      <c r="F25"/>
      <c r="G25"/>
    </row>
    <row r="26" spans="2:7" s="1454" customFormat="1" ht="15" customHeight="1" x14ac:dyDescent="0.25">
      <c r="B26" s="479"/>
      <c r="D26"/>
      <c r="E26"/>
      <c r="F26"/>
      <c r="G26"/>
    </row>
    <row r="27" spans="2:7" x14ac:dyDescent="0.25">
      <c r="C27" s="253"/>
      <c r="D27" s="253"/>
      <c r="E27" s="253"/>
    </row>
    <row r="28" spans="2:7" hidden="1" x14ac:dyDescent="0.25">
      <c r="C28" s="253"/>
      <c r="D28" s="253"/>
      <c r="E28" s="253"/>
    </row>
    <row r="29" spans="2:7" hidden="1" x14ac:dyDescent="0.25">
      <c r="C29" s="253"/>
      <c r="D29" s="253"/>
      <c r="E29" s="253"/>
    </row>
    <row r="30" spans="2:7" x14ac:dyDescent="0.25"/>
    <row r="31" spans="2:7" x14ac:dyDescent="0.25"/>
    <row r="32" spans="2:7" x14ac:dyDescent="0.25"/>
    <row r="33" x14ac:dyDescent="0.25"/>
    <row r="34" x14ac:dyDescent="0.25"/>
  </sheetData>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B1:I41"/>
  <sheetViews>
    <sheetView showGridLines="0" zoomScaleNormal="100" workbookViewId="0">
      <selection activeCell="D35" sqref="D35"/>
    </sheetView>
  </sheetViews>
  <sheetFormatPr defaultColWidth="9.140625" defaultRowHeight="15.75" x14ac:dyDescent="0.25"/>
  <cols>
    <col min="1" max="1" width="41.28515625" style="455" customWidth="1"/>
    <col min="2" max="2" width="8.7109375" style="456" customWidth="1"/>
    <col min="3" max="3" width="42.42578125" style="456" customWidth="1"/>
    <col min="4" max="4" width="54.140625" style="456" customWidth="1"/>
    <col min="5" max="5" width="8.7109375" style="456" customWidth="1"/>
    <col min="6" max="8" width="9.140625" style="455"/>
    <col min="9" max="9" width="10.140625" style="455" customWidth="1"/>
    <col min="10" max="16384" width="9.140625" style="455"/>
  </cols>
  <sheetData>
    <row r="1" spans="2:9" ht="26.25" x14ac:dyDescent="0.25">
      <c r="B1" s="1385" t="str">
        <f>INDEX(dms_Worksheet_List,MATCH(dms_Model,dms_Model_List))</f>
        <v>REGULATORY REPORTING STATEMENT</v>
      </c>
      <c r="C1" s="1387"/>
      <c r="D1" s="1387"/>
      <c r="E1" s="1387"/>
      <c r="H1"/>
      <c r="I1"/>
    </row>
    <row r="2" spans="2:9" ht="26.25" x14ac:dyDescent="0.25">
      <c r="B2" s="1386" t="str">
        <f>dms_TradingNameFull</f>
        <v>Australian Gas Networks Limited (reporting data for SA)</v>
      </c>
      <c r="C2" s="1388"/>
      <c r="D2" s="1388"/>
      <c r="E2" s="1388"/>
      <c r="H2"/>
      <c r="I2"/>
    </row>
    <row r="3" spans="2:9" ht="26.25" x14ac:dyDescent="0.25">
      <c r="B3" s="1386" t="str">
        <f ca="1">dms_Header_Span</f>
        <v>2024-25 to 2030-31</v>
      </c>
      <c r="C3" s="1387"/>
      <c r="D3" s="1387"/>
      <c r="E3" s="1387"/>
    </row>
    <row r="5" spans="2:9" ht="16.5" thickBot="1" x14ac:dyDescent="0.3"/>
    <row r="6" spans="2:9" x14ac:dyDescent="0.25">
      <c r="B6" s="457"/>
      <c r="C6" s="458"/>
      <c r="D6" s="458"/>
      <c r="E6" s="459"/>
    </row>
    <row r="7" spans="2:9" ht="23.25" x14ac:dyDescent="0.35">
      <c r="B7" s="460"/>
      <c r="C7" s="1390" t="s">
        <v>19</v>
      </c>
      <c r="D7" s="1389"/>
      <c r="E7" s="461"/>
    </row>
    <row r="8" spans="2:9" x14ac:dyDescent="0.25">
      <c r="B8" s="462"/>
      <c r="E8" s="461"/>
    </row>
    <row r="9" spans="2:9" x14ac:dyDescent="0.25">
      <c r="B9" s="460"/>
      <c r="C9" s="1391" t="s">
        <v>20</v>
      </c>
      <c r="D9" s="1392" t="s">
        <v>21</v>
      </c>
      <c r="E9" s="461"/>
    </row>
    <row r="10" spans="2:9" x14ac:dyDescent="0.25">
      <c r="B10" s="462"/>
      <c r="E10" s="461"/>
    </row>
    <row r="11" spans="2:9" x14ac:dyDescent="0.25">
      <c r="B11" s="463"/>
      <c r="C11" s="472" t="s">
        <v>22</v>
      </c>
      <c r="D11" s="464" t="s">
        <v>23</v>
      </c>
      <c r="E11" s="461"/>
    </row>
    <row r="12" spans="2:9" x14ac:dyDescent="0.25">
      <c r="B12" s="463"/>
      <c r="C12" s="473"/>
      <c r="E12" s="461"/>
      <c r="H12"/>
      <c r="I12"/>
    </row>
    <row r="13" spans="2:9" x14ac:dyDescent="0.25">
      <c r="B13" s="463"/>
      <c r="C13" s="474" t="s">
        <v>24</v>
      </c>
      <c r="D13" s="465" t="s">
        <v>25</v>
      </c>
      <c r="E13" s="461"/>
      <c r="H13"/>
      <c r="I13"/>
    </row>
    <row r="14" spans="2:9" x14ac:dyDescent="0.25">
      <c r="B14" s="463"/>
      <c r="C14" s="474"/>
      <c r="D14" s="465" t="s">
        <v>26</v>
      </c>
      <c r="E14" s="461"/>
      <c r="H14"/>
      <c r="I14"/>
    </row>
    <row r="15" spans="2:9" x14ac:dyDescent="0.25">
      <c r="B15" s="463"/>
      <c r="C15" s="474"/>
      <c r="D15" s="465" t="s">
        <v>27</v>
      </c>
      <c r="E15" s="461"/>
      <c r="H15"/>
      <c r="I15"/>
    </row>
    <row r="16" spans="2:9" x14ac:dyDescent="0.25">
      <c r="B16" s="463"/>
      <c r="C16" s="474"/>
      <c r="D16" s="465" t="s">
        <v>28</v>
      </c>
      <c r="E16" s="461"/>
      <c r="H16"/>
      <c r="I16"/>
    </row>
    <row r="17" spans="2:9" x14ac:dyDescent="0.25">
      <c r="B17" s="463"/>
      <c r="C17" s="474"/>
      <c r="D17" s="465" t="s">
        <v>29</v>
      </c>
      <c r="E17" s="461"/>
      <c r="H17"/>
      <c r="I17"/>
    </row>
    <row r="18" spans="2:9" x14ac:dyDescent="0.25">
      <c r="B18" s="463"/>
      <c r="C18" s="474"/>
      <c r="D18" s="465" t="s">
        <v>30</v>
      </c>
      <c r="E18" s="461"/>
      <c r="H18"/>
      <c r="I18"/>
    </row>
    <row r="19" spans="2:9" x14ac:dyDescent="0.25">
      <c r="B19" s="463"/>
      <c r="C19" s="474"/>
      <c r="D19" s="465" t="s">
        <v>31</v>
      </c>
      <c r="E19" s="461"/>
      <c r="H19"/>
      <c r="I19"/>
    </row>
    <row r="20" spans="2:9" x14ac:dyDescent="0.25">
      <c r="B20" s="463"/>
      <c r="C20" s="474"/>
      <c r="D20" s="465" t="s">
        <v>32</v>
      </c>
      <c r="E20" s="461"/>
      <c r="H20"/>
      <c r="I20"/>
    </row>
    <row r="21" spans="2:9" x14ac:dyDescent="0.25">
      <c r="B21" s="463"/>
      <c r="C21" s="474"/>
      <c r="D21" s="465" t="s">
        <v>33</v>
      </c>
      <c r="E21" s="461"/>
      <c r="H21"/>
      <c r="I21"/>
    </row>
    <row r="22" spans="2:9" x14ac:dyDescent="0.25">
      <c r="B22" s="463"/>
      <c r="C22" s="474"/>
      <c r="D22" s="465" t="s">
        <v>34</v>
      </c>
      <c r="E22" s="461"/>
      <c r="H22"/>
      <c r="I22"/>
    </row>
    <row r="23" spans="2:9" x14ac:dyDescent="0.25">
      <c r="B23" s="463"/>
      <c r="C23" s="474"/>
      <c r="D23" s="465" t="s">
        <v>35</v>
      </c>
      <c r="E23" s="461"/>
      <c r="H23"/>
      <c r="I23"/>
    </row>
    <row r="24" spans="2:9" x14ac:dyDescent="0.25">
      <c r="B24" s="463"/>
      <c r="C24" s="474"/>
      <c r="D24" s="465" t="s">
        <v>36</v>
      </c>
      <c r="E24" s="461"/>
      <c r="H24"/>
      <c r="I24"/>
    </row>
    <row r="25" spans="2:9" x14ac:dyDescent="0.25">
      <c r="B25" s="463"/>
      <c r="C25" s="474"/>
      <c r="D25" s="465" t="s">
        <v>37</v>
      </c>
      <c r="E25" s="461"/>
      <c r="H25"/>
      <c r="I25"/>
    </row>
    <row r="26" spans="2:9" x14ac:dyDescent="0.25">
      <c r="B26" s="463"/>
      <c r="C26" s="473"/>
      <c r="D26" s="466"/>
      <c r="E26" s="461"/>
      <c r="H26"/>
      <c r="I26"/>
    </row>
    <row r="27" spans="2:9" x14ac:dyDescent="0.25">
      <c r="B27" s="463"/>
      <c r="C27" s="475" t="s">
        <v>38</v>
      </c>
      <c r="D27" s="467" t="s">
        <v>39</v>
      </c>
      <c r="E27" s="461"/>
      <c r="H27"/>
      <c r="I27"/>
    </row>
    <row r="28" spans="2:9" x14ac:dyDescent="0.25">
      <c r="B28" s="463"/>
      <c r="C28" s="475"/>
      <c r="D28" s="467" t="s">
        <v>40</v>
      </c>
      <c r="E28" s="461"/>
      <c r="H28"/>
      <c r="I28"/>
    </row>
    <row r="29" spans="2:9" x14ac:dyDescent="0.25">
      <c r="B29" s="463"/>
      <c r="C29" s="473"/>
      <c r="D29" s="466"/>
      <c r="E29" s="461"/>
      <c r="H29"/>
      <c r="I29"/>
    </row>
    <row r="30" spans="2:9" x14ac:dyDescent="0.25">
      <c r="B30" s="463"/>
      <c r="C30" s="476" t="s">
        <v>41</v>
      </c>
      <c r="D30" s="468" t="s">
        <v>42</v>
      </c>
      <c r="E30" s="461"/>
      <c r="H30"/>
      <c r="I30"/>
    </row>
    <row r="31" spans="2:9" x14ac:dyDescent="0.25">
      <c r="B31" s="463"/>
      <c r="C31" s="476"/>
      <c r="D31" s="468" t="s">
        <v>43</v>
      </c>
      <c r="E31" s="461"/>
      <c r="H31"/>
      <c r="I31"/>
    </row>
    <row r="32" spans="2:9" x14ac:dyDescent="0.25">
      <c r="B32" s="463"/>
      <c r="C32" s="476"/>
      <c r="D32" s="468" t="s">
        <v>44</v>
      </c>
      <c r="E32" s="461"/>
      <c r="H32"/>
      <c r="I32"/>
    </row>
    <row r="33" spans="2:9" x14ac:dyDescent="0.25">
      <c r="B33" s="463"/>
      <c r="C33" s="477"/>
      <c r="D33" s="468" t="s">
        <v>45</v>
      </c>
      <c r="E33" s="461"/>
      <c r="H33"/>
      <c r="I33"/>
    </row>
    <row r="34" spans="2:9" x14ac:dyDescent="0.25">
      <c r="B34" s="463"/>
      <c r="C34" s="473"/>
      <c r="D34" s="466"/>
      <c r="E34" s="461"/>
      <c r="H34"/>
      <c r="I34"/>
    </row>
    <row r="35" spans="2:9" x14ac:dyDescent="0.25">
      <c r="B35" s="463"/>
      <c r="C35" s="478" t="s">
        <v>46</v>
      </c>
      <c r="D35" s="464" t="s">
        <v>47</v>
      </c>
      <c r="E35" s="461"/>
      <c r="H35"/>
      <c r="I35"/>
    </row>
    <row r="36" spans="2:9" x14ac:dyDescent="0.25">
      <c r="B36" s="463"/>
      <c r="C36"/>
      <c r="D36"/>
      <c r="E36" s="461"/>
      <c r="H36"/>
      <c r="I36"/>
    </row>
    <row r="37" spans="2:9" x14ac:dyDescent="0.25">
      <c r="B37" s="463"/>
      <c r="C37" s="1202" t="s">
        <v>48</v>
      </c>
      <c r="D37" s="1203" t="s">
        <v>49</v>
      </c>
      <c r="E37" s="461"/>
      <c r="H37"/>
      <c r="I37"/>
    </row>
    <row r="38" spans="2:9" ht="16.5" thickBot="1" x14ac:dyDescent="0.3">
      <c r="B38" s="469"/>
      <c r="C38" s="470"/>
      <c r="D38" s="470"/>
      <c r="E38" s="471"/>
      <c r="H38"/>
      <c r="I38"/>
    </row>
    <row r="39" spans="2:9" x14ac:dyDescent="0.25">
      <c r="H39"/>
      <c r="I39"/>
    </row>
    <row r="40" spans="2:9" x14ac:dyDescent="0.25">
      <c r="H40"/>
      <c r="I40"/>
    </row>
    <row r="41" spans="2:9" x14ac:dyDescent="0.25">
      <c r="H41"/>
      <c r="I41"/>
    </row>
  </sheetData>
  <hyperlinks>
    <hyperlink ref="D11" location="'Business &amp; other details'!A1" display="'Business &amp; other details'!A1" xr:uid="{00000000-0004-0000-0500-000000000000}"/>
    <hyperlink ref="D13" location="'E1. Expenditure Summary'!A1" display="'E1. Expenditure Summary'!A1" xr:uid="{00000000-0004-0000-0500-000001000000}"/>
    <hyperlink ref="D14" location="'E2. Mains Repex'!A1" display="'E2. Mains Repex'!A1" xr:uid="{00000000-0004-0000-0500-000002000000}"/>
    <hyperlink ref="D15" location="'E3. Mains Augex'!A1" display="'E3. Mains Augex'!A1" xr:uid="{00000000-0004-0000-0500-000003000000}"/>
    <hyperlink ref="D16" location="'E4. Meter replacement'!A1" display="'E4. Meter replacement'!A1" xr:uid="{00000000-0004-0000-0500-000004000000}"/>
    <hyperlink ref="D17" location="'E5. New Connections'!A1" display="E5. New Connections" xr:uid="{00000000-0004-0000-0500-000005000000}"/>
    <hyperlink ref="D18" location="'E6. Non-network'!A1" display="'E6. Non-network'!A1" xr:uid="{00000000-0004-0000-0500-000006000000}"/>
    <hyperlink ref="D19" location="'E10. Overheads'!A1" display="'E10. Overheads'!A1" xr:uid="{00000000-0004-0000-0500-000007000000}"/>
    <hyperlink ref="D20" location="'E12. ICT'!A1" display="'E12. ICT'!A1" xr:uid="{00000000-0004-0000-0500-000008000000}"/>
    <hyperlink ref="D21" location="'E13. Other capex'!A1" display="'E13. Other capex'!A1" xr:uid="{00000000-0004-0000-0500-000009000000}"/>
    <hyperlink ref="D22" location="'E17. Step changes'!A1" display="'E17. Step changes'!A1" xr:uid="{00000000-0004-0000-0500-00000A000000}"/>
    <hyperlink ref="D23" location="'E20. Opex'!A1" display="'E20. Opex'!A1" xr:uid="{00000000-0004-0000-0500-00000B000000}"/>
    <hyperlink ref="D24" location="'E21. ARS'!A1" display="'E21. ARS'!A1" xr:uid="{00000000-0004-0000-0500-00000C000000}"/>
    <hyperlink ref="D25" location="'E25. Escalators'!A1" display="'E25. Escalators'!A1" xr:uid="{00000000-0004-0000-0500-00000D000000}"/>
    <hyperlink ref="D28" location="'N2. Network characteristics'!A1" display="N2. Network characteristcs" xr:uid="{00000000-0004-0000-0500-00000E000000}"/>
    <hyperlink ref="D33" location="'S11. Network reliability'!A1" display="'S11. Network reliability'!A1" xr:uid="{00000000-0004-0000-0500-00000F000000}"/>
    <hyperlink ref="D30" location="'S1. Cust. no.-by type'!A1" display="S1. Customer numbers - by customer type" xr:uid="{00000000-0004-0000-0500-000011000000}"/>
    <hyperlink ref="D31" location="'S1.2 Cust. no.-by tariff'!A1" display="S1.2. Customer numbers - by tariff" xr:uid="{00000000-0004-0000-0500-000012000000}"/>
    <hyperlink ref="D27" location="'N1. Demand'!A1" display="N1. Demand" xr:uid="{00000000-0004-0000-0500-000013000000}"/>
    <hyperlink ref="D32" location="'S10. Supply Quality'!A1" display="S10. Supply Quality" xr:uid="{00000000-0004-0000-0500-000014000000}"/>
    <hyperlink ref="D35" location="'F3. Revenue'!A1" display="F3. Revenue" xr:uid="{00000000-0004-0000-0500-000015000000}"/>
    <hyperlink ref="D37" location="'additional disclosures'!A1" display="Additional disclosures" xr:uid="{00000000-0004-0000-0500-000016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9">
    <tabColor theme="4" tint="-0.249977111117893"/>
  </sheetPr>
  <dimension ref="A1:CU76"/>
  <sheetViews>
    <sheetView showGridLines="0" topLeftCell="A25" zoomScaleNormal="100" workbookViewId="0"/>
  </sheetViews>
  <sheetFormatPr defaultColWidth="9.140625" defaultRowHeight="15" x14ac:dyDescent="0.25"/>
  <cols>
    <col min="1" max="96" width="2.7109375" customWidth="1"/>
  </cols>
  <sheetData>
    <row r="1" spans="1:96" ht="44.25" customHeight="1" x14ac:dyDescent="0.25">
      <c r="H1" s="1628"/>
      <c r="I1" s="1628"/>
      <c r="J1" s="1628"/>
      <c r="K1" s="1628"/>
      <c r="L1" s="1628"/>
      <c r="M1" s="1628"/>
      <c r="N1" s="1628"/>
      <c r="O1" s="1628"/>
      <c r="P1" s="1628"/>
      <c r="Q1" s="50"/>
      <c r="R1" s="50"/>
      <c r="S1" s="50"/>
      <c r="T1" s="50"/>
      <c r="U1" s="50"/>
      <c r="V1" s="1112" t="str">
        <f>INDEX(dms_Worksheet_List,MATCH(dms_Model,dms_Model_List))</f>
        <v>REGULATORY REPORTING STATEMENT</v>
      </c>
      <c r="W1" s="1113"/>
      <c r="X1" s="1113"/>
      <c r="Y1" s="1113"/>
      <c r="Z1" s="1113"/>
      <c r="AA1" s="1113"/>
      <c r="AB1" s="1113"/>
      <c r="AC1" s="1113"/>
      <c r="AD1" s="1113"/>
      <c r="AE1" s="1113"/>
      <c r="AF1" s="1113"/>
      <c r="AG1" s="1113"/>
      <c r="AH1" s="1113"/>
      <c r="AI1" s="1113"/>
      <c r="AJ1" s="1113"/>
      <c r="AK1" s="1113"/>
      <c r="AL1" s="1113"/>
      <c r="AM1" s="1113"/>
      <c r="AN1" s="1113"/>
      <c r="AO1" s="1113"/>
      <c r="AP1" s="1113"/>
      <c r="AQ1" s="1113"/>
      <c r="AR1" s="1113"/>
      <c r="AS1" s="1113"/>
      <c r="AT1" s="1113"/>
      <c r="AU1" s="1113"/>
      <c r="AV1" s="1113"/>
      <c r="AW1" s="1113"/>
      <c r="AX1" s="1113"/>
      <c r="AY1" s="1113"/>
      <c r="AZ1" s="1113"/>
      <c r="BA1" s="1113"/>
      <c r="BB1" s="1113"/>
      <c r="BC1" s="1113"/>
      <c r="BD1" s="1113"/>
      <c r="BE1" s="1113"/>
      <c r="BF1" s="1113"/>
      <c r="BG1" s="1113"/>
      <c r="BH1" s="1113"/>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row>
    <row r="2" spans="1:96" ht="44.25" customHeight="1" x14ac:dyDescent="0.25">
      <c r="H2" s="1628"/>
      <c r="I2" s="1628"/>
      <c r="J2" s="1628"/>
      <c r="K2" s="1628"/>
      <c r="L2" s="1628"/>
      <c r="M2" s="1628"/>
      <c r="N2" s="1628"/>
      <c r="O2" s="1628"/>
      <c r="P2" s="1628"/>
      <c r="Q2" s="50"/>
      <c r="R2" s="50"/>
      <c r="S2" s="50"/>
      <c r="T2" s="50"/>
      <c r="U2" s="50"/>
      <c r="V2" s="1113" t="str">
        <f>dms_TradingNameFull</f>
        <v>Australian Gas Networks Limited (reporting data for SA)</v>
      </c>
      <c r="W2" s="1114"/>
      <c r="X2" s="1114"/>
      <c r="Y2" s="1114"/>
      <c r="Z2" s="1114"/>
      <c r="AA2" s="1114"/>
      <c r="AB2" s="1114"/>
      <c r="AC2" s="1114"/>
      <c r="AD2" s="1114"/>
      <c r="AE2" s="1114"/>
      <c r="AF2" s="1114"/>
      <c r="AG2" s="1114"/>
      <c r="AH2" s="1114"/>
      <c r="AI2" s="1114"/>
      <c r="AJ2" s="1114"/>
      <c r="AK2" s="1114"/>
      <c r="AL2" s="1114"/>
      <c r="AM2" s="1114"/>
      <c r="AN2" s="1114"/>
      <c r="AO2" s="1114"/>
      <c r="AP2" s="1114"/>
      <c r="AQ2" s="1114"/>
      <c r="AR2" s="1114"/>
      <c r="AS2" s="1114"/>
      <c r="AT2" s="1114"/>
      <c r="AU2" s="1114"/>
      <c r="AV2" s="1114"/>
      <c r="AW2" s="1114"/>
      <c r="AX2" s="1114"/>
      <c r="AY2" s="1114"/>
      <c r="AZ2" s="1114"/>
      <c r="BA2" s="1114"/>
      <c r="BB2" s="1114"/>
      <c r="BC2" s="1114"/>
      <c r="BD2" s="1114"/>
      <c r="BE2" s="1114"/>
      <c r="BF2" s="1114"/>
      <c r="BG2" s="1114"/>
      <c r="BH2" s="1114"/>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row>
    <row r="3" spans="1:96" ht="44.25" customHeight="1" x14ac:dyDescent="0.25">
      <c r="H3" s="1628"/>
      <c r="I3" s="1628"/>
      <c r="J3" s="1628"/>
      <c r="K3" s="1628"/>
      <c r="L3" s="1628"/>
      <c r="M3" s="1628"/>
      <c r="N3" s="1628"/>
      <c r="O3" s="1628"/>
      <c r="P3" s="1628"/>
      <c r="Q3" s="50"/>
      <c r="R3" s="50"/>
      <c r="S3" s="50"/>
      <c r="T3" s="50"/>
      <c r="U3" s="50"/>
      <c r="V3" s="1115" t="str">
        <f ca="1">dms_Header_Span</f>
        <v>2024-25 to 2030-31</v>
      </c>
      <c r="W3" s="1115"/>
      <c r="X3" s="1115"/>
      <c r="Y3" s="1115"/>
      <c r="Z3" s="1115"/>
      <c r="AA3" s="1115"/>
      <c r="AB3" s="1115"/>
      <c r="AC3" s="1115"/>
      <c r="AD3" s="1115"/>
      <c r="AE3" s="1115"/>
      <c r="AF3" s="1115"/>
      <c r="AG3" s="1115"/>
      <c r="AH3" s="1115"/>
      <c r="AI3" s="1115"/>
      <c r="AJ3" s="1115"/>
      <c r="AK3" s="1115"/>
      <c r="AL3" s="1115"/>
      <c r="AM3" s="1115"/>
      <c r="AN3" s="1115"/>
      <c r="AO3" s="1115"/>
      <c r="AP3" s="1115"/>
      <c r="AQ3" s="1115"/>
      <c r="AR3" s="1115"/>
      <c r="AS3" s="1115"/>
      <c r="AT3" s="1115"/>
      <c r="AU3" s="1115"/>
      <c r="AV3" s="1115"/>
      <c r="AW3" s="1115"/>
      <c r="AX3" s="1115"/>
      <c r="AY3" s="1115"/>
      <c r="AZ3" s="1115"/>
      <c r="BA3" s="1115"/>
      <c r="BB3" s="1115"/>
      <c r="BC3" s="1115"/>
      <c r="BD3" s="1115"/>
      <c r="BE3" s="1115"/>
      <c r="BF3" s="1115"/>
      <c r="BG3" s="1115"/>
      <c r="BH3" s="1115"/>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row>
    <row r="4" spans="1:96" ht="31.5" customHeight="1" x14ac:dyDescent="0.25">
      <c r="H4" s="621"/>
      <c r="I4" s="621"/>
      <c r="J4" s="621"/>
      <c r="K4" s="621"/>
      <c r="L4" s="621"/>
      <c r="M4" s="621"/>
      <c r="N4" s="621"/>
      <c r="O4" s="621"/>
      <c r="P4" s="621"/>
      <c r="Q4" s="621"/>
      <c r="R4" s="621"/>
      <c r="S4" s="621"/>
      <c r="T4" s="621"/>
      <c r="U4" s="621"/>
      <c r="V4" s="1629" t="s">
        <v>50</v>
      </c>
      <c r="W4" s="1629"/>
      <c r="X4" s="1629"/>
      <c r="Y4" s="1629"/>
      <c r="Z4" s="1629"/>
      <c r="AA4" s="1629"/>
      <c r="AB4" s="1629"/>
      <c r="AC4" s="1629"/>
      <c r="AD4" s="1629"/>
      <c r="AE4" s="1629"/>
      <c r="AF4" s="1629"/>
      <c r="AG4" s="1629"/>
      <c r="AH4" s="1629"/>
      <c r="AI4" s="1629"/>
      <c r="AJ4" s="1629"/>
      <c r="AK4" s="1629"/>
      <c r="AL4" s="1629"/>
      <c r="AM4" s="1629"/>
      <c r="AN4" s="1629"/>
      <c r="AO4" s="1629"/>
      <c r="AP4" s="1629"/>
      <c r="AQ4" s="1629"/>
      <c r="AR4" s="1629"/>
      <c r="AS4" s="1629"/>
      <c r="AT4" s="1629"/>
      <c r="AU4" s="1629"/>
      <c r="AV4" s="1629"/>
      <c r="AW4" s="1629"/>
      <c r="AX4" s="1629"/>
      <c r="AY4" s="1629"/>
      <c r="AZ4" s="1629"/>
      <c r="BA4" s="1629"/>
      <c r="BB4" s="1629"/>
      <c r="BC4" s="1629"/>
      <c r="BD4" s="1629"/>
      <c r="BE4" s="1629"/>
      <c r="BF4" s="1629"/>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row>
    <row r="6" spans="1:96" ht="20.25" x14ac:dyDescent="0.25">
      <c r="H6" s="1116"/>
      <c r="I6" s="1116"/>
      <c r="J6" s="1116"/>
      <c r="K6" s="1116"/>
      <c r="L6" s="1116"/>
      <c r="M6" s="1116"/>
      <c r="N6" s="1116"/>
      <c r="O6" s="1116"/>
      <c r="P6" s="1116"/>
      <c r="Q6" s="1117"/>
      <c r="R6" s="1117"/>
      <c r="S6" s="1117"/>
      <c r="T6" s="1117"/>
      <c r="U6" s="1117"/>
      <c r="V6" s="1118" t="s">
        <v>0</v>
      </c>
      <c r="W6" s="1117"/>
      <c r="X6" s="1117"/>
      <c r="Y6" s="1117"/>
      <c r="Z6" s="1117"/>
      <c r="AA6" s="1117"/>
      <c r="AB6" s="1117"/>
      <c r="AC6" s="1117"/>
      <c r="AD6" s="1117"/>
      <c r="AE6" s="1117"/>
      <c r="AF6" s="1117"/>
      <c r="AG6" s="1117"/>
      <c r="AH6" s="1117"/>
      <c r="AI6" s="1117"/>
      <c r="AJ6" s="1117"/>
      <c r="AK6" s="1117"/>
      <c r="AL6" s="1117"/>
      <c r="AM6" s="1117"/>
      <c r="AN6" s="1117"/>
      <c r="AO6" s="1117"/>
      <c r="AP6" s="1117"/>
      <c r="AQ6" s="1117"/>
      <c r="AR6" s="1117"/>
      <c r="AS6" s="1117"/>
      <c r="AT6" s="1117"/>
      <c r="AU6" s="1117"/>
      <c r="AV6" s="1117"/>
      <c r="AW6" s="1117"/>
      <c r="AX6" s="1117"/>
      <c r="AY6" s="1117"/>
      <c r="AZ6" s="1117"/>
      <c r="BA6" s="1117"/>
      <c r="BB6" s="1117"/>
      <c r="BC6" s="1117"/>
      <c r="BD6" s="1117"/>
      <c r="BE6" s="1117"/>
      <c r="BF6" s="1117"/>
      <c r="BG6" s="1117"/>
      <c r="BH6" s="1117"/>
      <c r="BI6" s="1117"/>
      <c r="BJ6" s="1117"/>
      <c r="BK6" s="1117"/>
      <c r="BL6" s="1117"/>
      <c r="BM6" s="1117"/>
      <c r="BN6" s="1117"/>
      <c r="BO6" s="1117"/>
      <c r="BP6" s="1117"/>
      <c r="BQ6" s="1117"/>
      <c r="BR6" s="1117"/>
      <c r="BS6" s="1117"/>
      <c r="BT6" s="1117"/>
      <c r="BU6" s="1117"/>
      <c r="BV6" s="1117"/>
      <c r="BW6" s="1117"/>
      <c r="BX6" s="1117"/>
      <c r="BY6" s="1117"/>
      <c r="BZ6" s="1117"/>
      <c r="CA6" s="1117"/>
      <c r="CB6" s="1117"/>
      <c r="CC6" s="1117"/>
      <c r="CD6" s="1117"/>
      <c r="CE6" s="1117"/>
      <c r="CF6" s="1117"/>
      <c r="CG6" s="1117"/>
      <c r="CH6" s="1117"/>
      <c r="CI6" s="1117"/>
      <c r="CJ6" s="1117"/>
      <c r="CK6" s="1117"/>
      <c r="CL6" s="1117"/>
      <c r="CM6" s="1117"/>
      <c r="CN6" s="1117"/>
      <c r="CO6" s="1117"/>
      <c r="CP6" s="1117"/>
    </row>
    <row r="7" spans="1:96" ht="50.25" customHeight="1" x14ac:dyDescent="0.25">
      <c r="H7" s="1116"/>
      <c r="I7" s="1116"/>
      <c r="J7" s="1116"/>
      <c r="K7" s="1116"/>
      <c r="L7" s="1116"/>
      <c r="M7" s="1116"/>
      <c r="N7" s="1116"/>
      <c r="O7" s="1116"/>
      <c r="P7" s="1116"/>
      <c r="Q7" s="1117"/>
      <c r="R7" s="1117"/>
      <c r="S7" s="1117"/>
      <c r="T7" s="1117"/>
      <c r="U7" s="1117"/>
      <c r="V7" s="1630" t="s">
        <v>51</v>
      </c>
      <c r="W7" s="1630"/>
      <c r="X7" s="1630"/>
      <c r="Y7" s="1630"/>
      <c r="Z7" s="1630"/>
      <c r="AA7" s="1630"/>
      <c r="AB7" s="1630"/>
      <c r="AC7" s="1630"/>
      <c r="AD7" s="1630"/>
      <c r="AE7" s="1630"/>
      <c r="AF7" s="1630"/>
      <c r="AG7" s="1630"/>
      <c r="AH7" s="1630"/>
      <c r="AI7" s="1630"/>
      <c r="AJ7" s="1630"/>
      <c r="AK7" s="1630"/>
      <c r="AL7" s="1630"/>
      <c r="AM7" s="1630"/>
      <c r="AN7" s="1630"/>
      <c r="AO7" s="1630"/>
      <c r="AP7" s="1630"/>
      <c r="AQ7" s="1630"/>
      <c r="AR7" s="1630"/>
      <c r="AS7" s="1630"/>
      <c r="AT7" s="1630"/>
      <c r="AU7" s="1630"/>
      <c r="AV7" s="1630"/>
      <c r="AW7" s="1630"/>
      <c r="AX7" s="1630"/>
      <c r="AY7" s="1630"/>
      <c r="AZ7" s="1630"/>
      <c r="BA7" s="1630"/>
      <c r="BB7" s="1630"/>
      <c r="BC7" s="1630"/>
      <c r="BD7" s="1630"/>
      <c r="BE7" s="1630"/>
      <c r="BF7" s="1630"/>
      <c r="BG7" s="1630"/>
      <c r="BH7" s="1630"/>
      <c r="BI7" s="1630"/>
      <c r="BJ7" s="1630"/>
      <c r="BK7" s="1630"/>
      <c r="BL7" s="1630"/>
      <c r="BM7" s="1630"/>
      <c r="BN7" s="1630"/>
      <c r="BO7" s="1630"/>
      <c r="BP7" s="1630"/>
      <c r="BQ7" s="1630"/>
      <c r="BR7" s="1630"/>
      <c r="BS7" s="1630"/>
      <c r="BT7" s="1630"/>
      <c r="BU7" s="1630"/>
      <c r="BV7" s="1630"/>
      <c r="BW7" s="1630"/>
      <c r="BX7" s="1630"/>
      <c r="BY7" s="1117"/>
      <c r="BZ7" s="1117"/>
      <c r="CA7" s="1117"/>
      <c r="CB7" s="1117"/>
      <c r="CC7" s="1117"/>
      <c r="CD7" s="1117"/>
      <c r="CE7" s="1117"/>
      <c r="CF7" s="1117"/>
      <c r="CG7" s="1117"/>
      <c r="CH7" s="1117"/>
      <c r="CI7" s="1117"/>
      <c r="CJ7" s="1117"/>
      <c r="CK7" s="1117"/>
      <c r="CL7" s="1117"/>
      <c r="CM7" s="1117"/>
      <c r="CN7" s="1117"/>
      <c r="CO7" s="1117"/>
      <c r="CP7" s="1117"/>
    </row>
    <row r="8" spans="1:96" ht="20.25" x14ac:dyDescent="0.25">
      <c r="H8" s="1116"/>
      <c r="I8" s="1116"/>
      <c r="J8" s="1116"/>
      <c r="K8" s="1116"/>
      <c r="L8" s="1116"/>
      <c r="M8" s="1116"/>
      <c r="N8" s="1116"/>
      <c r="O8" s="1116"/>
      <c r="P8" s="1116"/>
      <c r="Q8" s="1116"/>
      <c r="R8" s="1116"/>
      <c r="S8" s="1116"/>
      <c r="T8" s="1116"/>
      <c r="U8" s="1116"/>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119"/>
      <c r="BJ8" s="1119"/>
      <c r="BK8" s="1119"/>
      <c r="BL8" s="1119"/>
      <c r="BM8" s="1119"/>
      <c r="BN8" s="1119"/>
      <c r="BO8" s="1119"/>
      <c r="BP8" s="1119"/>
      <c r="BQ8" s="1119"/>
      <c r="BR8" s="1119"/>
      <c r="BS8" s="1119"/>
      <c r="BT8" s="1119"/>
      <c r="BU8" s="1119"/>
      <c r="BV8" s="1119"/>
      <c r="BW8" s="1119"/>
      <c r="BX8" s="1119"/>
      <c r="BY8" s="1116"/>
      <c r="BZ8" s="1116"/>
      <c r="CA8" s="1116"/>
      <c r="CB8" s="1116"/>
      <c r="CC8" s="1116"/>
      <c r="CD8" s="1116"/>
      <c r="CE8" s="1116"/>
      <c r="CF8" s="1116"/>
      <c r="CG8" s="1116"/>
      <c r="CH8" s="1116"/>
      <c r="CI8" s="1116"/>
      <c r="CJ8" s="1116"/>
      <c r="CK8" s="1116"/>
      <c r="CL8" s="1116"/>
      <c r="CM8" s="1116"/>
      <c r="CN8" s="1116"/>
      <c r="CO8" s="1116"/>
      <c r="CP8" s="1116"/>
    </row>
    <row r="9" spans="1:96" s="29" customFormat="1" ht="45" customHeight="1" x14ac:dyDescent="0.25">
      <c r="H9" s="1120"/>
      <c r="I9" s="1120"/>
      <c r="J9" s="1120"/>
      <c r="K9" s="1120"/>
      <c r="L9" s="1120"/>
      <c r="M9" s="1120"/>
      <c r="N9" s="1120"/>
      <c r="O9" s="1120"/>
      <c r="P9" s="1120"/>
      <c r="Q9" s="1631" t="s">
        <v>52</v>
      </c>
      <c r="R9" s="1631"/>
      <c r="S9" s="1631"/>
      <c r="T9" s="1631"/>
      <c r="U9" s="1631"/>
      <c r="V9" s="1631"/>
      <c r="W9" s="1631"/>
      <c r="X9" s="1631"/>
      <c r="Y9" s="1631"/>
      <c r="Z9" s="1631"/>
      <c r="AA9" s="1631"/>
      <c r="AB9" s="1631"/>
      <c r="AC9" s="1631"/>
      <c r="AD9" s="1631"/>
      <c r="AE9" s="1631"/>
      <c r="AF9" s="1631"/>
      <c r="AG9" s="1631"/>
      <c r="AH9" s="1631"/>
      <c r="AI9" s="1631"/>
      <c r="AJ9" s="1631"/>
      <c r="AK9" s="1631"/>
      <c r="AL9" s="1631"/>
      <c r="AM9" s="1631"/>
      <c r="AN9" s="1631"/>
      <c r="AO9" s="1631"/>
      <c r="AP9" s="1631"/>
      <c r="AQ9" s="1631"/>
      <c r="AR9" s="1631"/>
      <c r="AS9" s="1631"/>
      <c r="AT9" s="1631"/>
      <c r="AU9" s="1631"/>
      <c r="AV9" s="1631"/>
      <c r="AW9" s="1631"/>
      <c r="AX9" s="1631"/>
      <c r="AY9" s="1631"/>
      <c r="AZ9" s="1631"/>
      <c r="BA9" s="1631"/>
      <c r="BB9" s="1631"/>
      <c r="BC9" s="1631"/>
      <c r="BD9" s="1631"/>
      <c r="BE9" s="1631"/>
      <c r="BF9" s="1631"/>
      <c r="BG9" s="1631"/>
      <c r="BH9" s="1631"/>
      <c r="BI9" s="1631"/>
      <c r="BJ9" s="1631"/>
      <c r="BK9" s="1631"/>
      <c r="BL9" s="1631"/>
      <c r="BM9" s="1631"/>
      <c r="BN9" s="1631"/>
      <c r="BO9" s="1631"/>
      <c r="BP9" s="1631"/>
      <c r="BQ9" s="1631"/>
      <c r="BR9" s="1631"/>
      <c r="BS9" s="1631"/>
      <c r="BT9" s="1631"/>
      <c r="BU9" s="1631"/>
      <c r="BV9" s="1631"/>
      <c r="BW9" s="1631"/>
      <c r="BX9" s="1631"/>
      <c r="BY9" s="1631"/>
      <c r="BZ9" s="1631"/>
      <c r="CA9" s="1631"/>
      <c r="CB9" s="1631"/>
      <c r="CC9" s="1631"/>
      <c r="CD9" s="1631"/>
      <c r="CE9" s="1631"/>
      <c r="CF9" s="1631"/>
      <c r="CG9" s="1631"/>
      <c r="CH9" s="1631"/>
      <c r="CI9" s="1631"/>
      <c r="CJ9" s="1631"/>
      <c r="CK9" s="1631"/>
      <c r="CL9" s="1631"/>
      <c r="CM9" s="1631"/>
      <c r="CN9" s="1631"/>
      <c r="CO9" s="1631"/>
      <c r="CP9" s="1631"/>
      <c r="CQ9"/>
      <c r="CR9"/>
    </row>
    <row r="10" spans="1:96" ht="12.75" customHeight="1" x14ac:dyDescent="0.25"/>
    <row r="11" spans="1:96" ht="17.25" customHeight="1" x14ac:dyDescent="0.4">
      <c r="H11" s="1121"/>
      <c r="I11" s="1121"/>
      <c r="J11" s="1121"/>
      <c r="K11" s="1121"/>
      <c r="L11" s="1121"/>
      <c r="M11" s="1121"/>
      <c r="N11" s="1121"/>
      <c r="O11" s="1121"/>
      <c r="P11" s="1121"/>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c r="BG11" s="1122"/>
      <c r="BH11" s="1122"/>
      <c r="BI11" s="1122"/>
      <c r="BJ11" s="1122"/>
      <c r="BK11" s="1122"/>
      <c r="BL11" s="1122"/>
      <c r="BM11" s="1122"/>
      <c r="BN11" s="1122"/>
      <c r="BO11" s="1122"/>
      <c r="BP11" s="1122"/>
      <c r="BQ11" s="1122"/>
      <c r="BR11" s="1122"/>
      <c r="BS11" s="1122"/>
      <c r="BT11" s="1122"/>
      <c r="BU11" s="1122"/>
      <c r="BV11" s="1122"/>
      <c r="BW11" s="1122"/>
      <c r="BX11" s="1122"/>
      <c r="BY11" s="1122"/>
      <c r="BZ11" s="1122"/>
      <c r="CA11" s="1122"/>
      <c r="CB11" s="1122"/>
      <c r="CC11" s="1122"/>
      <c r="CD11" s="1122"/>
      <c r="CE11" s="1122"/>
      <c r="CF11" s="1122"/>
      <c r="CG11" s="1122"/>
      <c r="CH11" s="1122"/>
      <c r="CI11" s="1122"/>
      <c r="CJ11" s="1122"/>
      <c r="CK11" s="1122"/>
      <c r="CL11" s="1122"/>
      <c r="CM11" s="1122"/>
      <c r="CN11" s="1122"/>
      <c r="CO11" s="1122"/>
      <c r="CP11" s="1122"/>
    </row>
    <row r="12" spans="1:96" ht="30" x14ac:dyDescent="0.4">
      <c r="H12" s="1121"/>
      <c r="I12" s="1121"/>
      <c r="J12" s="1121"/>
      <c r="K12" s="1121"/>
      <c r="L12" s="1121"/>
      <c r="M12" s="1121"/>
      <c r="N12" s="1121"/>
      <c r="O12" s="1121"/>
      <c r="P12" s="1121"/>
      <c r="Q12" s="1123"/>
      <c r="R12" s="1123"/>
      <c r="S12" s="1123"/>
      <c r="T12" s="1123"/>
      <c r="U12" s="1123"/>
      <c r="V12" s="1124" t="s">
        <v>53</v>
      </c>
      <c r="W12" s="1124"/>
      <c r="X12" s="1124"/>
      <c r="Y12" s="1124"/>
      <c r="Z12" s="1124"/>
      <c r="AA12" s="1124"/>
      <c r="AB12" s="1124"/>
      <c r="AC12" s="1124"/>
      <c r="AD12" s="1124"/>
      <c r="AE12" s="1124"/>
      <c r="AF12" s="1124"/>
      <c r="AG12" s="1124"/>
      <c r="AH12" s="1124"/>
      <c r="AI12" s="1124"/>
      <c r="AJ12" s="1124"/>
      <c r="AK12" s="1124"/>
      <c r="AL12" s="1124"/>
      <c r="AM12" s="1124"/>
      <c r="AN12" s="1124"/>
      <c r="AO12" s="1124"/>
      <c r="AP12" s="1124"/>
      <c r="AQ12" s="1124"/>
      <c r="AR12" s="1124"/>
      <c r="AS12" s="1124"/>
      <c r="AT12" s="1124"/>
      <c r="AU12" s="1124"/>
      <c r="AV12" s="1124"/>
      <c r="AW12" s="1124"/>
      <c r="AX12" s="1124"/>
      <c r="AY12" s="1124"/>
      <c r="AZ12" s="1124"/>
      <c r="BA12" s="1124"/>
      <c r="BB12" s="1124"/>
      <c r="BC12" s="1124"/>
      <c r="BD12" s="1124"/>
      <c r="BE12" s="1124"/>
      <c r="BF12" s="1124"/>
      <c r="BG12" s="1124"/>
      <c r="BH12" s="1124"/>
      <c r="BI12" s="1124"/>
      <c r="BJ12" s="1124"/>
      <c r="BK12" s="1124"/>
      <c r="BL12" s="1124"/>
      <c r="BM12" s="1124"/>
      <c r="BN12" s="1124"/>
      <c r="BO12" s="1124"/>
      <c r="BP12" s="1124"/>
      <c r="BQ12" s="1124"/>
      <c r="BR12" s="1124"/>
      <c r="BS12" s="1124"/>
      <c r="BT12" s="1124"/>
      <c r="BU12" s="1124"/>
      <c r="BV12" s="1124"/>
      <c r="BW12" s="1124"/>
      <c r="BX12" s="1124"/>
      <c r="BY12" s="1124"/>
      <c r="BZ12" s="1124"/>
      <c r="CA12" s="1124"/>
      <c r="CB12" s="1124"/>
      <c r="CC12" s="1124"/>
      <c r="CD12" s="1124"/>
      <c r="CE12" s="1124"/>
      <c r="CF12" s="1124"/>
      <c r="CG12" s="1124"/>
      <c r="CH12" s="1124"/>
      <c r="CI12" s="1124"/>
      <c r="CJ12" s="1125"/>
      <c r="CK12" s="1125"/>
      <c r="CL12" s="1125"/>
      <c r="CM12" s="1123"/>
      <c r="CN12" s="1123"/>
      <c r="CO12" s="1123"/>
      <c r="CP12" s="1123"/>
    </row>
    <row r="13" spans="1:96" x14ac:dyDescent="0.25">
      <c r="H13" s="253"/>
      <c r="I13" s="253"/>
      <c r="J13" s="253"/>
      <c r="K13" s="253"/>
      <c r="L13" s="253"/>
      <c r="M13" s="253"/>
      <c r="N13" s="253"/>
      <c r="O13" s="253"/>
      <c r="P13" s="253"/>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1126"/>
      <c r="AL13" s="1126"/>
      <c r="AM13" s="1126"/>
      <c r="AN13" s="1126"/>
      <c r="AO13" s="1126"/>
      <c r="AP13" s="1126"/>
      <c r="AQ13" s="1126"/>
      <c r="AR13" s="1126"/>
      <c r="AS13" s="1126"/>
      <c r="AT13" s="1126"/>
      <c r="AU13" s="1126"/>
      <c r="AV13" s="1126"/>
      <c r="AW13" s="1126"/>
      <c r="AX13" s="1126"/>
      <c r="AY13" s="1126"/>
      <c r="AZ13" s="1126"/>
      <c r="BA13" s="1126"/>
      <c r="BB13" s="1126"/>
      <c r="BC13" s="1126"/>
      <c r="BD13" s="1126"/>
      <c r="BE13" s="1126"/>
      <c r="BF13" s="1126"/>
      <c r="BG13" s="1126"/>
      <c r="BH13" s="1126"/>
      <c r="BI13" s="1126"/>
      <c r="BJ13" s="1126"/>
      <c r="BK13" s="1126"/>
      <c r="BL13" s="1126"/>
      <c r="BM13" s="1126"/>
      <c r="BN13" s="1126"/>
      <c r="BO13" s="1126"/>
      <c r="BP13" s="1126"/>
      <c r="BQ13" s="1126"/>
      <c r="BR13" s="1126"/>
      <c r="BS13" s="1126"/>
      <c r="BT13" s="1126"/>
      <c r="BU13" s="1126"/>
      <c r="BV13" s="1126"/>
      <c r="BW13" s="1126"/>
      <c r="BX13" s="1126"/>
      <c r="BY13" s="1126"/>
      <c r="BZ13" s="1126"/>
      <c r="CA13" s="1126"/>
      <c r="CB13" s="1126"/>
      <c r="CC13" s="1126"/>
      <c r="CD13" s="1126"/>
      <c r="CE13" s="1126"/>
      <c r="CF13" s="1126"/>
      <c r="CG13" s="1126"/>
      <c r="CH13" s="1126"/>
      <c r="CI13" s="1126"/>
      <c r="CJ13" s="1126"/>
      <c r="CK13" s="1126"/>
      <c r="CL13" s="1126"/>
      <c r="CM13" s="1126"/>
      <c r="CN13" s="1126"/>
      <c r="CO13" s="1126"/>
      <c r="CP13" s="1126"/>
    </row>
    <row r="14" spans="1:96" ht="18" x14ac:dyDescent="0.25">
      <c r="H14" s="77"/>
      <c r="I14" s="77"/>
      <c r="J14" s="77"/>
      <c r="K14" s="77"/>
      <c r="L14" s="77"/>
      <c r="M14" s="77"/>
      <c r="N14" s="77"/>
      <c r="O14" s="77"/>
      <c r="P14" s="77"/>
      <c r="Q14" s="1127"/>
      <c r="R14" s="1127"/>
      <c r="S14" s="1127"/>
      <c r="T14" s="1127"/>
      <c r="U14" s="1127"/>
      <c r="V14" s="1128" t="s">
        <v>54</v>
      </c>
      <c r="W14" s="1128"/>
      <c r="X14" s="1128"/>
      <c r="Y14" s="1128"/>
      <c r="Z14" s="1128"/>
      <c r="AA14" s="1128"/>
      <c r="AB14" s="1128"/>
      <c r="AC14" s="1128"/>
      <c r="AD14" s="1128"/>
      <c r="AE14" s="1128"/>
      <c r="AF14" s="1128"/>
      <c r="AG14" s="1128"/>
      <c r="AH14" s="1128"/>
      <c r="AI14" s="1128"/>
      <c r="AJ14" s="1128"/>
      <c r="AK14" s="1128"/>
      <c r="AL14" s="1128"/>
      <c r="AM14" s="1128"/>
      <c r="AN14" s="1128"/>
      <c r="AO14" s="1128"/>
      <c r="AP14" s="1128"/>
      <c r="AQ14" s="1128"/>
      <c r="AR14" s="1128"/>
      <c r="AS14" s="1128"/>
      <c r="AT14" s="1128"/>
      <c r="AU14" s="1128"/>
      <c r="AV14" s="1128"/>
      <c r="AW14" s="1128"/>
      <c r="AX14" s="1128"/>
      <c r="AY14" s="1128"/>
      <c r="AZ14" s="1128"/>
      <c r="BA14" s="1128"/>
      <c r="BB14" s="1128"/>
      <c r="BC14" s="1128"/>
      <c r="BD14" s="1128"/>
      <c r="BE14" s="1128"/>
      <c r="BF14" s="1128"/>
      <c r="BG14" s="1128"/>
      <c r="BH14" s="1127"/>
      <c r="BI14" s="1127"/>
      <c r="BJ14" s="1127"/>
      <c r="BK14" s="1127"/>
      <c r="BL14" s="1127"/>
      <c r="BM14" s="1127"/>
      <c r="BN14" s="1127"/>
      <c r="BO14" s="1127"/>
      <c r="BP14" s="1127"/>
      <c r="BQ14" s="1127"/>
      <c r="BR14" s="1127"/>
      <c r="BS14" s="1127"/>
      <c r="BT14" s="1127"/>
      <c r="BU14" s="1127"/>
      <c r="BV14" s="1127"/>
      <c r="BW14" s="1127"/>
      <c r="BX14" s="1127"/>
      <c r="BY14" s="1127"/>
      <c r="BZ14" s="1127"/>
      <c r="CA14" s="1127"/>
      <c r="CB14" s="1127"/>
      <c r="CC14" s="1127"/>
      <c r="CD14" s="1127"/>
      <c r="CE14" s="1127"/>
      <c r="CF14" s="1127"/>
      <c r="CG14" s="1127"/>
      <c r="CH14" s="1127"/>
      <c r="CI14" s="1127"/>
      <c r="CJ14" s="1127"/>
      <c r="CK14" s="1127"/>
      <c r="CL14" s="1127"/>
      <c r="CM14" s="1127"/>
      <c r="CN14" s="1127"/>
      <c r="CO14" s="1127"/>
      <c r="CP14" s="1127"/>
    </row>
    <row r="15" spans="1:96" x14ac:dyDescent="0.25">
      <c r="H15" s="77"/>
      <c r="I15" s="77"/>
      <c r="J15" s="77"/>
      <c r="K15" s="77"/>
      <c r="L15" s="77"/>
      <c r="M15" s="77"/>
      <c r="N15" s="77"/>
      <c r="O15" s="77"/>
      <c r="P15" s="7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c r="AT15" s="1127"/>
      <c r="AU15" s="1127"/>
      <c r="AV15" s="1127"/>
      <c r="AW15" s="1127"/>
      <c r="AX15" s="1127"/>
      <c r="AY15" s="1127"/>
      <c r="AZ15" s="1127"/>
      <c r="BA15" s="1127"/>
      <c r="BB15" s="1127"/>
      <c r="BC15" s="1127"/>
      <c r="BD15" s="1127"/>
      <c r="BE15" s="1127"/>
      <c r="BF15" s="1127"/>
      <c r="BG15" s="1127"/>
      <c r="BH15" s="1127"/>
      <c r="BI15" s="1127"/>
      <c r="BJ15" s="1127"/>
      <c r="BK15" s="1127"/>
      <c r="BL15" s="1127"/>
      <c r="BM15" s="1127"/>
      <c r="BN15" s="1127"/>
      <c r="BO15" s="1127"/>
      <c r="BP15" s="1127"/>
      <c r="BQ15" s="1127"/>
      <c r="BR15" s="1127"/>
      <c r="BS15" s="1127"/>
      <c r="BT15" s="1127"/>
      <c r="BU15" s="1127"/>
      <c r="BV15" s="1127"/>
      <c r="BW15" s="1127"/>
      <c r="BX15" s="1127"/>
      <c r="BY15" s="1127"/>
      <c r="BZ15" s="1127"/>
      <c r="CA15" s="1127"/>
      <c r="CB15" s="1127"/>
      <c r="CC15" s="1127"/>
      <c r="CD15" s="1127"/>
      <c r="CE15" s="1127"/>
      <c r="CF15" s="1127"/>
      <c r="CG15" s="1127"/>
      <c r="CH15" s="1127"/>
      <c r="CI15" s="1127"/>
      <c r="CJ15" s="1127"/>
      <c r="CK15" s="1127"/>
      <c r="CL15" s="1127"/>
      <c r="CM15" s="1127"/>
      <c r="CN15" s="1127"/>
      <c r="CO15" s="1127"/>
      <c r="CP15" s="1127"/>
    </row>
    <row r="16" spans="1:96" s="51" customFormat="1" ht="27.75" customHeight="1" x14ac:dyDescent="0.25">
      <c r="A16"/>
      <c r="H16" s="24"/>
      <c r="I16" s="24"/>
      <c r="J16" s="24"/>
      <c r="K16" s="24"/>
      <c r="L16" s="24"/>
      <c r="M16" s="24"/>
      <c r="N16" s="24"/>
      <c r="O16" s="24"/>
      <c r="P16" s="24"/>
      <c r="Q16" s="1129"/>
      <c r="R16" s="1129"/>
      <c r="S16" s="1129"/>
      <c r="T16" s="1129"/>
      <c r="U16" s="1129"/>
      <c r="V16" s="1632" t="s">
        <v>55</v>
      </c>
      <c r="W16" s="1632"/>
      <c r="X16" s="1632"/>
      <c r="Y16" s="1632"/>
      <c r="Z16" s="1632"/>
      <c r="AA16" s="1632"/>
      <c r="AB16" s="1632"/>
      <c r="AC16" s="1632"/>
      <c r="AD16" s="1632"/>
      <c r="AE16" s="1632"/>
      <c r="AF16" s="1632"/>
      <c r="AG16" s="1632"/>
      <c r="AH16" s="1632"/>
      <c r="AI16" s="1632"/>
      <c r="AJ16" s="1632"/>
      <c r="AK16" s="1129"/>
      <c r="AL16" s="1633" t="s">
        <v>56</v>
      </c>
      <c r="AM16" s="1633"/>
      <c r="AN16" s="1633"/>
      <c r="AO16" s="1633"/>
      <c r="AP16" s="1633"/>
      <c r="AQ16" s="1633"/>
      <c r="AR16" s="1633"/>
      <c r="AS16" s="1633"/>
      <c r="AT16" s="1633"/>
      <c r="AU16" s="1633"/>
      <c r="AV16" s="1633"/>
      <c r="AW16" s="1633"/>
      <c r="AX16" s="1633"/>
      <c r="AY16" s="1633"/>
      <c r="AZ16" s="1633"/>
      <c r="BA16" s="1633"/>
      <c r="BB16" s="1633"/>
      <c r="BC16" s="1633"/>
      <c r="BD16" s="1633"/>
      <c r="BE16" s="1633"/>
      <c r="BF16" s="1633"/>
      <c r="BG16" s="1633"/>
      <c r="BH16" s="1129"/>
      <c r="BI16" s="1129"/>
      <c r="BJ16" s="1129"/>
      <c r="BK16" s="1129"/>
      <c r="BL16" s="1129"/>
      <c r="BM16" s="1129"/>
      <c r="BN16" s="1129"/>
      <c r="BO16" s="1129"/>
      <c r="BP16" s="1129"/>
      <c r="BQ16" s="1129"/>
      <c r="BR16" s="1129"/>
      <c r="BS16" s="1129"/>
      <c r="BT16" s="1129"/>
      <c r="BU16" s="1129"/>
      <c r="BV16" s="1129"/>
      <c r="BW16" s="1129"/>
      <c r="BX16" s="1129"/>
      <c r="BY16" s="1129"/>
      <c r="BZ16" s="1129"/>
      <c r="CA16" s="1129"/>
      <c r="CB16" s="1129"/>
      <c r="CC16" s="1129"/>
      <c r="CD16" s="1129"/>
      <c r="CE16" s="1129"/>
      <c r="CF16" s="1129"/>
      <c r="CG16" s="1129"/>
      <c r="CH16" s="1129"/>
      <c r="CI16" s="1129"/>
      <c r="CJ16" s="1129"/>
      <c r="CK16" s="1129"/>
      <c r="CL16" s="1129"/>
      <c r="CM16" s="1129"/>
      <c r="CN16" s="1129"/>
      <c r="CO16" s="1129"/>
      <c r="CP16" s="1129"/>
      <c r="CQ16"/>
      <c r="CR16"/>
    </row>
    <row r="17" spans="1:99" s="1130" customFormat="1" ht="25.5" hidden="1" customHeight="1" x14ac:dyDescent="0.25">
      <c r="A17"/>
      <c r="H17" s="1131"/>
      <c r="I17" s="1131"/>
      <c r="J17" s="1131"/>
      <c r="K17" s="1131"/>
      <c r="L17" s="1131"/>
      <c r="M17" s="1131"/>
      <c r="N17" s="1131"/>
      <c r="O17" s="1131"/>
      <c r="P17" s="1131"/>
      <c r="Q17" s="1132"/>
      <c r="R17" s="1132"/>
      <c r="S17" s="1132"/>
      <c r="T17" s="1132"/>
      <c r="U17" s="1132"/>
      <c r="V17" s="1634" t="s">
        <v>57</v>
      </c>
      <c r="W17" s="1635"/>
      <c r="X17" s="1635"/>
      <c r="Y17" s="1635"/>
      <c r="Z17" s="1635"/>
      <c r="AA17" s="1635"/>
      <c r="AB17" s="1635"/>
      <c r="AC17" s="1635"/>
      <c r="AD17" s="1635"/>
      <c r="AE17" s="1635"/>
      <c r="AF17" s="1635"/>
      <c r="AG17" s="1635"/>
      <c r="AH17" s="1635"/>
      <c r="AI17" s="1635"/>
      <c r="AJ17" s="1635"/>
      <c r="AK17" s="1132"/>
      <c r="AL17" s="1636">
        <f>INDEX(dms_ABN_List,MATCH(dms_TradingName,dms_TradingName_List))</f>
        <v>19078551685</v>
      </c>
      <c r="AM17" s="1636"/>
      <c r="AN17" s="1636"/>
      <c r="AO17" s="1636"/>
      <c r="AP17" s="1636"/>
      <c r="AQ17" s="1636"/>
      <c r="AR17" s="1636"/>
      <c r="AS17" s="1636"/>
      <c r="AT17" s="1636"/>
      <c r="AU17" s="1636"/>
      <c r="AV17" s="1636"/>
      <c r="AW17" s="1636"/>
      <c r="AX17" s="1132"/>
      <c r="AY17" s="1132"/>
      <c r="AZ17" s="1132"/>
      <c r="BA17" s="1132"/>
      <c r="BB17" s="1132"/>
      <c r="BC17" s="1132"/>
      <c r="BD17" s="1132"/>
      <c r="BE17" s="1132"/>
      <c r="BF17" s="1132"/>
      <c r="BG17" s="1132"/>
      <c r="BH17" s="1132"/>
      <c r="BI17" s="1132"/>
      <c r="BJ17" s="1132"/>
      <c r="BK17" s="1132"/>
      <c r="BL17" s="1132"/>
      <c r="BM17" s="1132"/>
      <c r="BN17" s="1132"/>
      <c r="BO17" s="1132"/>
      <c r="BP17" s="1132"/>
      <c r="BQ17" s="1132"/>
      <c r="BR17" s="1132"/>
      <c r="BS17" s="1132"/>
      <c r="BT17" s="1132"/>
      <c r="BU17" s="1132"/>
      <c r="BV17" s="1132"/>
      <c r="BW17" s="1132"/>
      <c r="BX17" s="1132"/>
      <c r="BY17" s="1132"/>
      <c r="BZ17" s="1132"/>
      <c r="CA17" s="1132"/>
      <c r="CB17" s="1132"/>
      <c r="CC17" s="1132"/>
      <c r="CD17" s="1132"/>
      <c r="CE17" s="1132"/>
      <c r="CF17" s="1132"/>
      <c r="CG17" s="1132"/>
      <c r="CH17" s="1132"/>
      <c r="CI17" s="1132"/>
      <c r="CJ17" s="1132"/>
      <c r="CK17" s="1132"/>
      <c r="CL17" s="1132"/>
      <c r="CM17" s="1132"/>
      <c r="CN17" s="1132"/>
      <c r="CO17" s="1132"/>
      <c r="CP17" s="1132"/>
      <c r="CQ17"/>
      <c r="CR17"/>
    </row>
    <row r="18" spans="1:99" x14ac:dyDescent="0.25">
      <c r="H18" s="77"/>
      <c r="I18" s="77"/>
      <c r="J18" s="77"/>
      <c r="K18" s="77"/>
      <c r="L18" s="77"/>
      <c r="M18" s="77"/>
      <c r="N18" s="77"/>
      <c r="O18" s="77"/>
      <c r="P18" s="7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127"/>
      <c r="AM18" s="1127"/>
      <c r="AN18" s="1127"/>
      <c r="AO18" s="1127"/>
      <c r="AP18" s="1127"/>
      <c r="AQ18" s="1127"/>
      <c r="AR18" s="1127"/>
      <c r="AS18" s="1127"/>
      <c r="AT18" s="1127"/>
      <c r="AU18" s="1127"/>
      <c r="AV18" s="1127"/>
      <c r="AW18" s="1127"/>
      <c r="AX18" s="1127"/>
      <c r="AY18" s="1127"/>
      <c r="AZ18" s="1127"/>
      <c r="BA18" s="1127"/>
      <c r="BB18" s="1127"/>
      <c r="BC18" s="1127"/>
      <c r="BD18" s="1127"/>
      <c r="BE18" s="1127"/>
      <c r="BF18" s="1127"/>
      <c r="BG18" s="1127"/>
      <c r="BH18" s="1127"/>
      <c r="BI18" s="1127"/>
      <c r="BJ18" s="1127"/>
      <c r="BK18" s="1127"/>
      <c r="BL18" s="1127"/>
      <c r="BM18" s="1127"/>
      <c r="BN18" s="1127"/>
      <c r="BO18" s="1127"/>
      <c r="BP18" s="1127"/>
      <c r="BQ18" s="1127"/>
      <c r="BR18" s="1127"/>
      <c r="BS18" s="1127"/>
      <c r="BT18" s="1127"/>
      <c r="BU18" s="1127"/>
      <c r="BV18" s="1127"/>
      <c r="BW18" s="1127"/>
      <c r="BX18" s="1127"/>
      <c r="BY18" s="1127"/>
      <c r="BZ18" s="1127"/>
      <c r="CA18" s="1127"/>
      <c r="CB18" s="1127"/>
      <c r="CC18" s="1127"/>
      <c r="CD18" s="1127"/>
      <c r="CE18" s="1127"/>
      <c r="CF18" s="1127"/>
      <c r="CG18" s="1127"/>
      <c r="CH18" s="1127"/>
      <c r="CI18" s="1127"/>
      <c r="CJ18" s="1127"/>
      <c r="CK18" s="1127"/>
      <c r="CL18" s="1127"/>
      <c r="CM18" s="1127"/>
      <c r="CN18" s="1127"/>
      <c r="CO18" s="1127"/>
      <c r="CP18" s="1127"/>
    </row>
    <row r="19" spans="1:99" x14ac:dyDescent="0.25">
      <c r="H19" s="77"/>
      <c r="I19" s="77"/>
      <c r="J19" s="77"/>
      <c r="K19" s="77"/>
      <c r="L19" s="77"/>
      <c r="M19" s="77"/>
      <c r="N19" s="77"/>
      <c r="O19" s="77"/>
      <c r="P19" s="77"/>
      <c r="Q19" s="1127"/>
      <c r="R19" s="1127"/>
      <c r="S19" s="1127"/>
      <c r="T19" s="1127"/>
      <c r="U19" s="1127"/>
      <c r="V19" s="1127"/>
      <c r="W19" s="1127"/>
      <c r="X19" s="1127"/>
      <c r="Y19" s="1127"/>
      <c r="Z19" s="1127"/>
      <c r="AA19" s="1127"/>
      <c r="AB19" s="1127"/>
      <c r="AC19" s="1127"/>
      <c r="AD19" s="1127"/>
      <c r="AE19" s="1127"/>
      <c r="AF19" s="1127"/>
      <c r="AG19" s="1127"/>
      <c r="AH19" s="1127"/>
      <c r="AI19" s="1127"/>
      <c r="AJ19" s="1127"/>
      <c r="AK19" s="1127"/>
      <c r="AL19" s="1127"/>
      <c r="AM19" s="1127"/>
      <c r="AN19" s="1127"/>
      <c r="AO19" s="1127"/>
      <c r="AP19" s="1127"/>
      <c r="AQ19" s="1127"/>
      <c r="AR19" s="1127"/>
      <c r="AS19" s="1127"/>
      <c r="AT19" s="1127"/>
      <c r="AU19" s="1127"/>
      <c r="AV19" s="1127"/>
      <c r="AW19" s="1127"/>
      <c r="AX19" s="1127"/>
      <c r="AY19" s="1127"/>
      <c r="AZ19" s="1127"/>
      <c r="BA19" s="1127"/>
      <c r="BB19" s="1127"/>
      <c r="BC19" s="1127"/>
      <c r="BD19" s="1127"/>
      <c r="BE19" s="1127"/>
      <c r="BF19" s="1127"/>
      <c r="BG19" s="1127"/>
      <c r="BH19" s="1127"/>
      <c r="BI19" s="1127"/>
      <c r="BJ19" s="1127"/>
      <c r="BK19" s="1127"/>
      <c r="BL19" s="1127"/>
      <c r="BM19" s="1127"/>
      <c r="BN19" s="1127"/>
      <c r="BO19" s="1127"/>
      <c r="BP19" s="1127"/>
      <c r="BQ19" s="1127"/>
      <c r="BR19" s="1127"/>
      <c r="BS19" s="1127"/>
      <c r="BT19" s="1127"/>
      <c r="BU19" s="1127"/>
      <c r="BV19" s="1127"/>
      <c r="BW19" s="1127"/>
      <c r="BX19" s="1127"/>
      <c r="BY19" s="1127"/>
      <c r="BZ19" s="1127"/>
      <c r="CA19" s="1127"/>
      <c r="CB19" s="1127"/>
      <c r="CC19" s="1127"/>
      <c r="CD19" s="1127"/>
      <c r="CE19" s="1127"/>
      <c r="CF19" s="1127"/>
      <c r="CG19" s="1127"/>
      <c r="CH19" s="1127"/>
      <c r="CI19" s="1127"/>
      <c r="CJ19" s="1127"/>
      <c r="CK19" s="1127"/>
      <c r="CL19" s="1127"/>
      <c r="CM19" s="1127"/>
      <c r="CN19" s="1127"/>
      <c r="CO19" s="1127"/>
      <c r="CP19" s="1127"/>
    </row>
    <row r="20" spans="1:99" ht="15" customHeight="1" x14ac:dyDescent="0.25">
      <c r="H20" s="77"/>
      <c r="I20" s="77"/>
      <c r="J20" s="77"/>
      <c r="K20" s="77"/>
      <c r="L20" s="77"/>
      <c r="M20" s="77"/>
      <c r="N20" s="77"/>
      <c r="O20" s="77"/>
      <c r="P20" s="77"/>
      <c r="Q20" s="1127"/>
      <c r="R20" s="1127"/>
      <c r="S20" s="1127"/>
      <c r="T20" s="1127"/>
      <c r="U20" s="1133"/>
      <c r="V20" s="1128" t="s">
        <v>58</v>
      </c>
      <c r="W20" s="1128"/>
      <c r="X20" s="1128"/>
      <c r="Y20" s="1128"/>
      <c r="Z20" s="1128"/>
      <c r="AA20" s="1128"/>
      <c r="AB20" s="1128"/>
      <c r="AC20" s="1128"/>
      <c r="AD20" s="1128"/>
      <c r="AE20" s="1128"/>
      <c r="AF20" s="1128"/>
      <c r="AG20" s="1128"/>
      <c r="AH20" s="1128"/>
      <c r="AI20" s="1128"/>
      <c r="AJ20" s="1128"/>
      <c r="AK20" s="1128"/>
      <c r="AL20" s="1128"/>
      <c r="AM20" s="1128"/>
      <c r="AN20" s="1128"/>
      <c r="AO20" s="1128"/>
      <c r="AP20" s="1128"/>
      <c r="AQ20" s="1128"/>
      <c r="AR20" s="1128"/>
      <c r="AS20" s="1128"/>
      <c r="AT20" s="1128"/>
      <c r="AU20" s="1128"/>
      <c r="AV20" s="1128"/>
      <c r="AW20" s="1128"/>
      <c r="AX20" s="1128"/>
      <c r="AY20" s="1128"/>
      <c r="AZ20" s="1128"/>
      <c r="BA20" s="1128"/>
      <c r="BB20" s="1128"/>
      <c r="BC20" s="1128"/>
      <c r="BD20" s="1128"/>
      <c r="BE20" s="1128"/>
      <c r="BF20" s="1128"/>
      <c r="BG20" s="1128"/>
      <c r="BH20" s="1127"/>
      <c r="BI20" s="1133"/>
      <c r="BJ20" s="1134"/>
      <c r="BK20" s="1134"/>
      <c r="BL20" s="1134"/>
      <c r="BM20" s="1134"/>
      <c r="BN20" s="1134"/>
      <c r="BO20" s="1134"/>
      <c r="BP20" s="1134"/>
      <c r="BQ20" s="1135" t="s">
        <v>59</v>
      </c>
      <c r="BR20" s="1135"/>
      <c r="BS20" s="1135"/>
      <c r="BT20" s="1135"/>
      <c r="BU20" s="1135"/>
      <c r="BV20" s="1135"/>
      <c r="BW20" s="1135"/>
      <c r="BX20" s="1135"/>
      <c r="BY20" s="1135"/>
      <c r="BZ20" s="1135"/>
      <c r="CA20" s="1135"/>
      <c r="CB20" s="1135"/>
      <c r="CC20" s="1135"/>
      <c r="CD20" s="1135"/>
      <c r="CE20" s="1135"/>
      <c r="CF20" s="1135"/>
      <c r="CG20" s="1135"/>
      <c r="CH20" s="1135"/>
      <c r="CI20" s="1135"/>
      <c r="CJ20" s="1135"/>
      <c r="CK20" s="1135"/>
      <c r="CL20" s="1135"/>
      <c r="CM20" s="1135"/>
      <c r="CN20" s="1135"/>
      <c r="CO20" s="1135"/>
      <c r="CP20" s="1135"/>
    </row>
    <row r="21" spans="1:99" x14ac:dyDescent="0.25">
      <c r="H21" s="77"/>
      <c r="I21" s="77"/>
      <c r="J21" s="77"/>
      <c r="K21" s="77"/>
      <c r="L21" s="77"/>
      <c r="M21" s="77"/>
      <c r="N21" s="77"/>
      <c r="O21" s="77"/>
      <c r="P21" s="7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33"/>
      <c r="AL21" s="1133"/>
      <c r="AM21" s="1134"/>
      <c r="AN21" s="1134"/>
      <c r="AO21" s="1134"/>
      <c r="AP21" s="1134"/>
      <c r="AQ21" s="1134"/>
      <c r="AR21" s="1134"/>
      <c r="AS21" s="1134"/>
      <c r="AT21" s="1134"/>
      <c r="AU21" s="1134"/>
      <c r="AV21" s="1134"/>
      <c r="AW21" s="1134"/>
      <c r="AX21" s="1134"/>
      <c r="AY21" s="1134"/>
      <c r="AZ21" s="1134"/>
      <c r="BA21" s="1134"/>
      <c r="BB21" s="1134"/>
      <c r="BC21" s="1134"/>
      <c r="BD21" s="1134"/>
      <c r="BE21" s="1134"/>
      <c r="BF21" s="1134"/>
      <c r="BG21" s="1134"/>
      <c r="BH21" s="1127"/>
      <c r="BI21" s="1127"/>
      <c r="BJ21" s="1127"/>
      <c r="BK21" s="1127"/>
      <c r="BL21" s="1127"/>
      <c r="BM21" s="1127"/>
      <c r="BN21" s="1127"/>
      <c r="BO21" s="1127"/>
      <c r="BP21" s="1127"/>
      <c r="BQ21" s="1133"/>
      <c r="BR21" s="1134"/>
      <c r="BS21" s="1134"/>
      <c r="BT21" s="1134"/>
      <c r="BU21" s="1134"/>
      <c r="BV21" s="1134"/>
      <c r="BW21" s="1134"/>
      <c r="BX21" s="1134"/>
      <c r="BY21" s="1134"/>
      <c r="BZ21" s="1134"/>
      <c r="CA21" s="1134"/>
      <c r="CB21" s="1134"/>
      <c r="CC21" s="1134"/>
      <c r="CD21" s="1134"/>
      <c r="CE21" s="1134"/>
      <c r="CF21" s="1134"/>
      <c r="CG21" s="1134"/>
      <c r="CH21" s="1134"/>
      <c r="CI21" s="1134"/>
      <c r="CJ21" s="1134"/>
      <c r="CK21" s="1134"/>
      <c r="CL21" s="1134"/>
      <c r="CM21" s="1127"/>
      <c r="CN21" s="1127"/>
      <c r="CO21" s="1127"/>
      <c r="CP21" s="1127"/>
    </row>
    <row r="22" spans="1:99" x14ac:dyDescent="0.25">
      <c r="H22" s="77"/>
      <c r="I22" s="77"/>
      <c r="J22" s="77"/>
      <c r="K22" s="77"/>
      <c r="L22" s="77"/>
      <c r="M22" s="77"/>
      <c r="N22" s="77"/>
      <c r="O22" s="77"/>
      <c r="P22" s="77"/>
      <c r="Q22" s="1127"/>
      <c r="R22" s="1127"/>
      <c r="S22" s="1127"/>
      <c r="T22" s="1127"/>
      <c r="U22" s="1127"/>
      <c r="V22" s="1637" t="s">
        <v>60</v>
      </c>
      <c r="W22" s="1637"/>
      <c r="X22" s="1637"/>
      <c r="Y22" s="1637"/>
      <c r="Z22" s="1637"/>
      <c r="AA22" s="1637"/>
      <c r="AB22" s="1637"/>
      <c r="AC22" s="1637"/>
      <c r="AD22" s="1637"/>
      <c r="AE22" s="1637"/>
      <c r="AF22" s="1637"/>
      <c r="AG22" s="1637"/>
      <c r="AH22" s="1637"/>
      <c r="AI22" s="1637"/>
      <c r="AJ22" s="1637"/>
      <c r="AK22" s="1127"/>
      <c r="AL22" s="1638" t="s">
        <v>61</v>
      </c>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40"/>
      <c r="BH22" s="1127"/>
      <c r="BI22" s="1637" t="s">
        <v>60</v>
      </c>
      <c r="BJ22" s="1637"/>
      <c r="BK22" s="1637"/>
      <c r="BL22" s="1637"/>
      <c r="BM22" s="1637"/>
      <c r="BN22" s="1637"/>
      <c r="BO22" s="1637"/>
      <c r="BP22" s="1138"/>
      <c r="BQ22" s="1638"/>
      <c r="BR22" s="1639"/>
      <c r="BS22" s="1639"/>
      <c r="BT22" s="1639"/>
      <c r="BU22" s="1639"/>
      <c r="BV22" s="1639"/>
      <c r="BW22" s="1639"/>
      <c r="BX22" s="1639"/>
      <c r="BY22" s="1639"/>
      <c r="BZ22" s="1639"/>
      <c r="CA22" s="1639"/>
      <c r="CB22" s="1639"/>
      <c r="CC22" s="1639"/>
      <c r="CD22" s="1639"/>
      <c r="CE22" s="1639"/>
      <c r="CF22" s="1639"/>
      <c r="CG22" s="1639"/>
      <c r="CH22" s="1639"/>
      <c r="CI22" s="1639"/>
      <c r="CJ22" s="1639"/>
      <c r="CK22" s="1639"/>
      <c r="CL22" s="1640"/>
      <c r="CM22" s="1127"/>
      <c r="CN22" s="1127"/>
      <c r="CO22" s="1127"/>
      <c r="CP22" s="1127"/>
    </row>
    <row r="23" spans="1:99" x14ac:dyDescent="0.25">
      <c r="H23" s="77"/>
      <c r="I23" s="77"/>
      <c r="J23" s="77"/>
      <c r="K23" s="77"/>
      <c r="L23" s="77"/>
      <c r="M23" s="77"/>
      <c r="N23" s="77"/>
      <c r="O23" s="77"/>
      <c r="P23" s="77"/>
      <c r="Q23" s="1127"/>
      <c r="R23" s="1127"/>
      <c r="S23" s="1127"/>
      <c r="T23" s="1127"/>
      <c r="U23" s="1127"/>
      <c r="V23" s="1637" t="s">
        <v>62</v>
      </c>
      <c r="W23" s="1637"/>
      <c r="X23" s="1637"/>
      <c r="Y23" s="1637"/>
      <c r="Z23" s="1637"/>
      <c r="AA23" s="1637"/>
      <c r="AB23" s="1637"/>
      <c r="AC23" s="1637"/>
      <c r="AD23" s="1637"/>
      <c r="AE23" s="1637"/>
      <c r="AF23" s="1637"/>
      <c r="AG23" s="1637"/>
      <c r="AH23" s="1637"/>
      <c r="AI23" s="1637"/>
      <c r="AJ23" s="1637"/>
      <c r="AK23" s="1127"/>
      <c r="AL23" s="1638"/>
      <c r="AM23" s="1639"/>
      <c r="AN23" s="1639"/>
      <c r="AO23" s="1639"/>
      <c r="AP23" s="1639"/>
      <c r="AQ23" s="1639"/>
      <c r="AR23" s="1639"/>
      <c r="AS23" s="1639"/>
      <c r="AT23" s="1639"/>
      <c r="AU23" s="1639"/>
      <c r="AV23" s="1639"/>
      <c r="AW23" s="1639"/>
      <c r="AX23" s="1639"/>
      <c r="AY23" s="1639"/>
      <c r="AZ23" s="1639"/>
      <c r="BA23" s="1639"/>
      <c r="BB23" s="1639"/>
      <c r="BC23" s="1639"/>
      <c r="BD23" s="1639"/>
      <c r="BE23" s="1639"/>
      <c r="BF23" s="1639"/>
      <c r="BG23" s="1640"/>
      <c r="BH23" s="1127"/>
      <c r="BI23" s="1637" t="s">
        <v>62</v>
      </c>
      <c r="BJ23" s="1637"/>
      <c r="BK23" s="1637"/>
      <c r="BL23" s="1637"/>
      <c r="BM23" s="1637"/>
      <c r="BN23" s="1637"/>
      <c r="BO23" s="1637"/>
      <c r="BP23" s="1138"/>
      <c r="BQ23" s="1638"/>
      <c r="BR23" s="1639"/>
      <c r="BS23" s="1639"/>
      <c r="BT23" s="1639"/>
      <c r="BU23" s="1639"/>
      <c r="BV23" s="1639"/>
      <c r="BW23" s="1639"/>
      <c r="BX23" s="1639"/>
      <c r="BY23" s="1639"/>
      <c r="BZ23" s="1639"/>
      <c r="CA23" s="1639"/>
      <c r="CB23" s="1639"/>
      <c r="CC23" s="1639"/>
      <c r="CD23" s="1639"/>
      <c r="CE23" s="1639"/>
      <c r="CF23" s="1639"/>
      <c r="CG23" s="1639"/>
      <c r="CH23" s="1639"/>
      <c r="CI23" s="1639"/>
      <c r="CJ23" s="1639"/>
      <c r="CK23" s="1639"/>
      <c r="CL23" s="1640"/>
      <c r="CM23" s="1127"/>
      <c r="CN23" s="1127"/>
      <c r="CO23" s="1127"/>
      <c r="CP23" s="1127"/>
    </row>
    <row r="24" spans="1:99" x14ac:dyDescent="0.25">
      <c r="H24" s="77"/>
      <c r="I24" s="77"/>
      <c r="J24" s="77"/>
      <c r="K24" s="77"/>
      <c r="L24" s="77"/>
      <c r="M24" s="77"/>
      <c r="N24" s="77"/>
      <c r="O24" s="77"/>
      <c r="P24" s="77"/>
      <c r="Q24" s="1127"/>
      <c r="R24" s="1127"/>
      <c r="S24" s="1127"/>
      <c r="T24" s="1127"/>
      <c r="U24" s="1127"/>
      <c r="V24" s="1637" t="s">
        <v>63</v>
      </c>
      <c r="W24" s="1637"/>
      <c r="X24" s="1637"/>
      <c r="Y24" s="1637"/>
      <c r="Z24" s="1637"/>
      <c r="AA24" s="1637"/>
      <c r="AB24" s="1637"/>
      <c r="AC24" s="1637"/>
      <c r="AD24" s="1637"/>
      <c r="AE24" s="1637"/>
      <c r="AF24" s="1637"/>
      <c r="AG24" s="1637"/>
      <c r="AH24" s="1637"/>
      <c r="AI24" s="1637"/>
      <c r="AJ24" s="1637"/>
      <c r="AK24" s="1127"/>
      <c r="AL24" s="1638" t="s">
        <v>64</v>
      </c>
      <c r="AM24" s="1639"/>
      <c r="AN24" s="1639"/>
      <c r="AO24" s="1639"/>
      <c r="AP24" s="1639"/>
      <c r="AQ24" s="1639"/>
      <c r="AR24" s="1639"/>
      <c r="AS24" s="1639"/>
      <c r="AT24" s="1639"/>
      <c r="AU24" s="1639"/>
      <c r="AV24" s="1639"/>
      <c r="AW24" s="1639"/>
      <c r="AX24" s="1639"/>
      <c r="AY24" s="1639"/>
      <c r="AZ24" s="1639"/>
      <c r="BA24" s="1136"/>
      <c r="BB24" s="1136"/>
      <c r="BC24" s="1136"/>
      <c r="BD24" s="1136"/>
      <c r="BE24" s="1136"/>
      <c r="BF24" s="1136"/>
      <c r="BG24" s="1136"/>
      <c r="BH24" s="1127"/>
      <c r="BI24" s="1637" t="s">
        <v>63</v>
      </c>
      <c r="BJ24" s="1637"/>
      <c r="BK24" s="1637"/>
      <c r="BL24" s="1637"/>
      <c r="BM24" s="1637"/>
      <c r="BN24" s="1637"/>
      <c r="BO24" s="1637"/>
      <c r="BP24" s="1138"/>
      <c r="BQ24" s="1638"/>
      <c r="BR24" s="1639"/>
      <c r="BS24" s="1639"/>
      <c r="BT24" s="1639"/>
      <c r="BU24" s="1639"/>
      <c r="BV24" s="1639"/>
      <c r="BW24" s="1639"/>
      <c r="BX24" s="1639"/>
      <c r="BY24" s="1639"/>
      <c r="BZ24" s="1639"/>
      <c r="CA24" s="1639"/>
      <c r="CB24" s="1639"/>
      <c r="CC24" s="1639"/>
      <c r="CD24" s="1639"/>
      <c r="CE24" s="1639"/>
      <c r="CF24" s="1136"/>
      <c r="CG24" s="1136"/>
      <c r="CH24" s="1136"/>
      <c r="CI24" s="1136"/>
      <c r="CJ24" s="1136"/>
      <c r="CK24" s="1136"/>
      <c r="CL24" s="1136"/>
      <c r="CM24" s="1127"/>
      <c r="CN24" s="1127"/>
      <c r="CO24" s="1127"/>
      <c r="CP24" s="1127"/>
    </row>
    <row r="25" spans="1:99" x14ac:dyDescent="0.25">
      <c r="H25" s="77"/>
      <c r="I25" s="77"/>
      <c r="J25" s="77"/>
      <c r="K25" s="77"/>
      <c r="L25" s="77"/>
      <c r="M25" s="77"/>
      <c r="N25" s="77"/>
      <c r="O25" s="77"/>
      <c r="P25" s="77"/>
      <c r="Q25" s="1127"/>
      <c r="R25" s="1127"/>
      <c r="S25" s="1127"/>
      <c r="T25" s="1127"/>
      <c r="U25" s="1127"/>
      <c r="V25" s="1637" t="s">
        <v>65</v>
      </c>
      <c r="W25" s="1637"/>
      <c r="X25" s="1637"/>
      <c r="Y25" s="1637"/>
      <c r="Z25" s="1637"/>
      <c r="AA25" s="1637"/>
      <c r="AB25" s="1637"/>
      <c r="AC25" s="1637"/>
      <c r="AD25" s="1637"/>
      <c r="AE25" s="1637"/>
      <c r="AF25" s="1637"/>
      <c r="AG25" s="1637"/>
      <c r="AH25" s="1637"/>
      <c r="AI25" s="1637"/>
      <c r="AJ25" s="1637"/>
      <c r="AK25" s="1127"/>
      <c r="AL25" s="1641" t="s">
        <v>66</v>
      </c>
      <c r="AM25" s="1641"/>
      <c r="AN25" s="1641"/>
      <c r="AO25" s="1641"/>
      <c r="AP25" s="1127"/>
      <c r="AQ25" s="1137"/>
      <c r="AR25" s="1127"/>
      <c r="AS25" s="1127"/>
      <c r="AT25" s="1127"/>
      <c r="AU25" s="1127"/>
      <c r="AV25" s="1137" t="s">
        <v>67</v>
      </c>
      <c r="AW25" s="1137"/>
      <c r="AX25" s="1642">
        <v>5065</v>
      </c>
      <c r="AY25" s="1642"/>
      <c r="AZ25" s="1642"/>
      <c r="BA25" s="1127"/>
      <c r="BB25" s="1127"/>
      <c r="BC25" s="1127"/>
      <c r="BD25" s="1127"/>
      <c r="BE25" s="1127"/>
      <c r="BF25" s="1127"/>
      <c r="BG25" s="1127"/>
      <c r="BH25" s="1127"/>
      <c r="BI25" s="1637" t="s">
        <v>65</v>
      </c>
      <c r="BJ25" s="1637"/>
      <c r="BK25" s="1637"/>
      <c r="BL25" s="1637"/>
      <c r="BM25" s="1637"/>
      <c r="BN25" s="1637"/>
      <c r="BO25" s="1637"/>
      <c r="BP25" s="1138"/>
      <c r="BQ25" s="1641"/>
      <c r="BR25" s="1641"/>
      <c r="BS25" s="1641"/>
      <c r="BT25" s="1641"/>
      <c r="BU25" s="1127"/>
      <c r="BV25" s="1127"/>
      <c r="BW25" s="1138"/>
      <c r="BX25" s="1127"/>
      <c r="BY25" s="1127"/>
      <c r="BZ25" s="1127"/>
      <c r="CA25" s="1137" t="s">
        <v>67</v>
      </c>
      <c r="CB25" s="1127"/>
      <c r="CC25" s="1642"/>
      <c r="CD25" s="1642"/>
      <c r="CE25" s="1642"/>
      <c r="CF25" s="1127"/>
      <c r="CG25" s="1127"/>
      <c r="CH25" s="1127"/>
      <c r="CI25" s="1127"/>
      <c r="CJ25" s="1127"/>
      <c r="CK25" s="1127"/>
      <c r="CL25" s="1127"/>
      <c r="CM25" s="1127"/>
      <c r="CN25" s="1127"/>
      <c r="CO25" s="1127"/>
      <c r="CP25" s="1127"/>
    </row>
    <row r="26" spans="1:99" x14ac:dyDescent="0.25">
      <c r="H26" s="77"/>
      <c r="I26" s="77"/>
      <c r="J26" s="77"/>
      <c r="K26" s="77"/>
      <c r="L26" s="77"/>
      <c r="M26" s="77"/>
      <c r="N26" s="77"/>
      <c r="O26" s="77"/>
      <c r="P26" s="7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1127"/>
      <c r="AU26" s="1127"/>
      <c r="AV26" s="1127"/>
      <c r="AW26" s="1127"/>
      <c r="AX26" s="1127"/>
      <c r="AY26" s="1127"/>
      <c r="AZ26" s="1127"/>
      <c r="BA26" s="1127"/>
      <c r="BB26" s="1127"/>
      <c r="BC26" s="1127"/>
      <c r="BD26" s="1127"/>
      <c r="BE26" s="1127"/>
      <c r="BF26" s="1127"/>
      <c r="BG26" s="1127"/>
      <c r="BH26" s="1127"/>
      <c r="BI26" s="1127"/>
      <c r="BJ26" s="1127"/>
      <c r="BK26" s="1127"/>
      <c r="BL26" s="1127"/>
      <c r="BM26" s="1127"/>
      <c r="BN26" s="1127"/>
      <c r="BO26" s="1127"/>
      <c r="BP26" s="1127"/>
      <c r="BQ26" s="1127"/>
      <c r="BR26" s="1127"/>
      <c r="BS26" s="1127"/>
      <c r="BT26" s="1127"/>
      <c r="BU26" s="1127"/>
      <c r="BV26" s="1127"/>
      <c r="BW26" s="1127"/>
      <c r="BX26" s="1127"/>
      <c r="BY26" s="1127"/>
      <c r="BZ26" s="1127"/>
      <c r="CA26" s="1127"/>
      <c r="CB26" s="1127"/>
      <c r="CC26" s="1127"/>
      <c r="CD26" s="1127"/>
      <c r="CE26" s="1127"/>
      <c r="CF26" s="1127"/>
      <c r="CG26" s="1127"/>
      <c r="CH26" s="1127"/>
      <c r="CI26" s="1127"/>
      <c r="CJ26" s="1127"/>
      <c r="CK26" s="1127"/>
      <c r="CL26" s="1127"/>
      <c r="CM26" s="1127"/>
      <c r="CN26" s="1127"/>
      <c r="CO26" s="1127"/>
      <c r="CP26" s="1127"/>
      <c r="CU26" s="76"/>
    </row>
    <row r="27" spans="1:99" x14ac:dyDescent="0.25">
      <c r="H27" s="77"/>
      <c r="I27" s="77"/>
      <c r="J27" s="77"/>
      <c r="K27" s="77"/>
      <c r="L27" s="77"/>
      <c r="M27" s="77"/>
      <c r="N27" s="77"/>
      <c r="O27" s="77"/>
      <c r="P27" s="7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7"/>
      <c r="AL27" s="1127"/>
      <c r="AM27" s="1127"/>
      <c r="AN27" s="1127"/>
      <c r="AO27" s="1127"/>
      <c r="AP27" s="1127"/>
      <c r="AQ27" s="1127"/>
      <c r="AR27" s="1127"/>
      <c r="AS27" s="1127"/>
      <c r="AT27" s="1127"/>
      <c r="AU27" s="1127"/>
      <c r="AV27" s="1127"/>
      <c r="AW27" s="1127"/>
      <c r="AX27" s="1127"/>
      <c r="AY27" s="1127"/>
      <c r="AZ27" s="1127"/>
      <c r="BA27" s="1127" t="s">
        <v>68</v>
      </c>
      <c r="BB27" s="1127"/>
      <c r="BC27" s="1127"/>
      <c r="BD27" s="1127"/>
      <c r="BE27" s="1127"/>
      <c r="BF27" s="1127"/>
      <c r="BG27" s="1127"/>
      <c r="BH27" s="1127"/>
      <c r="BI27" s="1127"/>
      <c r="BJ27" s="1127"/>
      <c r="BK27" s="1127"/>
      <c r="BL27" s="1127"/>
      <c r="BM27" s="1127"/>
      <c r="BN27" s="1127"/>
      <c r="BO27" s="1127"/>
      <c r="BP27" s="1127"/>
      <c r="BQ27" s="1127"/>
      <c r="BR27" s="1127"/>
      <c r="BS27" s="1127"/>
      <c r="BT27" s="1127"/>
      <c r="BU27" s="1127"/>
      <c r="BV27" s="1127"/>
      <c r="BW27" s="1127"/>
      <c r="BX27" s="1127"/>
      <c r="BY27" s="1127"/>
      <c r="BZ27" s="1127"/>
      <c r="CA27" s="1127"/>
      <c r="CB27" s="1127"/>
      <c r="CC27" s="1127"/>
      <c r="CD27" s="1127"/>
      <c r="CE27" s="1127"/>
      <c r="CF27" s="1127"/>
      <c r="CG27" s="1127"/>
      <c r="CH27" s="1127"/>
      <c r="CI27" s="1127"/>
      <c r="CJ27" s="1127"/>
      <c r="CK27" s="1127"/>
      <c r="CL27" s="1127"/>
      <c r="CM27" s="1127"/>
      <c r="CN27" s="1127"/>
      <c r="CO27" s="1127"/>
      <c r="CP27" s="1127"/>
    </row>
    <row r="28" spans="1:99" hidden="1" x14ac:dyDescent="0.25">
      <c r="H28" s="77"/>
      <c r="I28" s="77"/>
      <c r="J28" s="77"/>
      <c r="K28" s="77"/>
      <c r="L28" s="77"/>
      <c r="M28" s="77"/>
      <c r="N28" s="77"/>
      <c r="O28" s="77"/>
      <c r="P28" s="77"/>
      <c r="Q28" s="1127"/>
      <c r="R28" s="1127"/>
      <c r="S28" s="1127"/>
      <c r="T28" s="1127"/>
      <c r="U28" s="1127"/>
      <c r="V28" s="1127"/>
      <c r="W28" s="1127"/>
      <c r="X28" s="1127"/>
      <c r="Y28" s="1127"/>
      <c r="Z28" s="1127"/>
      <c r="AA28" s="1127"/>
      <c r="AB28" s="1127"/>
      <c r="AC28" s="1127"/>
      <c r="AD28" s="1127"/>
      <c r="AE28" s="1127"/>
      <c r="AF28" s="1127"/>
      <c r="AG28" s="1127"/>
      <c r="AH28" s="1127"/>
      <c r="AI28" s="1127"/>
      <c r="AJ28" s="1127"/>
      <c r="AK28" s="1127"/>
      <c r="AL28" s="1127"/>
      <c r="AM28" s="1127"/>
      <c r="AN28" s="1127"/>
      <c r="AO28" s="1127"/>
      <c r="AP28" s="1127"/>
      <c r="AQ28" s="1127"/>
      <c r="AR28" s="1127"/>
      <c r="AS28" s="1127"/>
      <c r="AT28" s="1127"/>
      <c r="AU28" s="1127"/>
      <c r="AV28" s="1127"/>
      <c r="AW28" s="1127"/>
      <c r="AX28" s="1127"/>
      <c r="AY28" s="1127"/>
      <c r="AZ28" s="1127"/>
      <c r="BA28" s="1127"/>
      <c r="BB28" s="1127"/>
      <c r="BC28" s="1127"/>
      <c r="BD28" s="1127"/>
      <c r="BE28" s="1127"/>
      <c r="BF28" s="1127"/>
      <c r="BG28" s="1127"/>
      <c r="BH28" s="1127"/>
      <c r="BI28" s="1127"/>
      <c r="BJ28" s="1127"/>
      <c r="BK28" s="1127"/>
      <c r="BL28" s="1127"/>
      <c r="BM28" s="1127"/>
      <c r="BN28" s="1127"/>
      <c r="BO28" s="1127"/>
      <c r="BP28" s="1127"/>
      <c r="BQ28" s="1127"/>
      <c r="BR28" s="1127"/>
      <c r="BS28" s="1127"/>
      <c r="BT28" s="1127"/>
      <c r="BU28" s="1127"/>
      <c r="BV28" s="1127"/>
      <c r="BW28" s="1127"/>
      <c r="BX28" s="1127"/>
      <c r="BY28" s="1127"/>
      <c r="BZ28" s="1127"/>
      <c r="CA28" s="1127"/>
      <c r="CB28" s="1127"/>
      <c r="CC28" s="1127"/>
      <c r="CD28" s="1127"/>
      <c r="CE28" s="1127"/>
      <c r="CF28" s="1127"/>
      <c r="CG28" s="1127"/>
      <c r="CH28" s="1127"/>
      <c r="CI28" s="1127"/>
      <c r="CJ28" s="1127"/>
      <c r="CK28" s="1127"/>
      <c r="CL28" s="1127"/>
      <c r="CM28" s="1127"/>
      <c r="CN28" s="1127"/>
      <c r="CO28" s="1127"/>
      <c r="CP28" s="1127"/>
    </row>
    <row r="29" spans="1:99" ht="18" hidden="1" x14ac:dyDescent="0.25">
      <c r="H29" s="77"/>
      <c r="I29" s="77"/>
      <c r="J29" s="77"/>
      <c r="K29" s="77"/>
      <c r="L29" s="77"/>
      <c r="M29" s="77"/>
      <c r="N29" s="77"/>
      <c r="O29" s="77"/>
      <c r="P29" s="77"/>
      <c r="Q29" s="1127"/>
      <c r="R29" s="1127"/>
      <c r="S29" s="1127"/>
      <c r="T29" s="1127"/>
      <c r="U29" s="1127"/>
      <c r="V29" s="1128" t="s">
        <v>69</v>
      </c>
      <c r="W29" s="1128"/>
      <c r="X29" s="1128"/>
      <c r="Y29" s="1128"/>
      <c r="Z29" s="1128"/>
      <c r="AA29" s="1128"/>
      <c r="AB29" s="1128"/>
      <c r="AC29" s="1128"/>
      <c r="AD29" s="1128"/>
      <c r="AE29" s="1128"/>
      <c r="AF29" s="1128"/>
      <c r="AG29" s="1128"/>
      <c r="AH29" s="1128"/>
      <c r="AI29" s="1128"/>
      <c r="AJ29" s="1128"/>
      <c r="AK29" s="1128"/>
      <c r="AL29" s="1128"/>
      <c r="AM29" s="1128"/>
      <c r="AN29" s="1128"/>
      <c r="AO29" s="1128"/>
      <c r="AP29" s="1128"/>
      <c r="AQ29" s="1128"/>
      <c r="AR29" s="1128"/>
      <c r="AS29" s="1128"/>
      <c r="AT29" s="1128"/>
      <c r="AU29" s="1128"/>
      <c r="AV29" s="1128"/>
      <c r="AW29" s="1128"/>
      <c r="AX29" s="1128"/>
      <c r="AY29" s="1128"/>
      <c r="AZ29" s="1128"/>
      <c r="BA29" s="1128"/>
      <c r="BB29" s="1128"/>
      <c r="BC29" s="1128"/>
      <c r="BD29" s="1128"/>
      <c r="BE29" s="1128"/>
      <c r="BF29" s="1128"/>
      <c r="BG29" s="1128"/>
      <c r="BH29" s="1127"/>
      <c r="BI29" s="1127"/>
      <c r="BJ29" s="1127"/>
      <c r="BK29" s="1127"/>
      <c r="BL29" s="1127"/>
      <c r="BM29" s="1127"/>
      <c r="BN29" s="1127"/>
      <c r="BO29" s="1127"/>
      <c r="BP29" s="1127"/>
      <c r="BQ29" s="1127"/>
      <c r="BR29" s="1127"/>
      <c r="BS29" s="1127"/>
      <c r="BT29" s="1127"/>
      <c r="BU29" s="1127"/>
      <c r="BV29" s="1127"/>
      <c r="BW29" s="1127"/>
      <c r="BX29" s="1127"/>
      <c r="BY29" s="1127"/>
      <c r="BZ29" s="1127"/>
      <c r="CA29" s="1127"/>
      <c r="CB29" s="1127"/>
      <c r="CC29" s="1127"/>
      <c r="CD29" s="1127"/>
      <c r="CE29" s="1127"/>
      <c r="CF29" s="1127"/>
      <c r="CG29" s="1127"/>
      <c r="CH29" s="1127"/>
      <c r="CI29" s="1127"/>
      <c r="CJ29" s="1127"/>
      <c r="CK29" s="1127"/>
      <c r="CL29" s="1127"/>
      <c r="CM29" s="1127"/>
      <c r="CN29" s="1127"/>
      <c r="CO29" s="1127"/>
      <c r="CP29" s="1127"/>
    </row>
    <row r="30" spans="1:99" hidden="1" x14ac:dyDescent="0.25">
      <c r="H30" s="77"/>
      <c r="I30" s="77"/>
      <c r="J30" s="77"/>
      <c r="K30" s="77"/>
      <c r="L30" s="77"/>
      <c r="M30" s="77"/>
      <c r="N30" s="77"/>
      <c r="O30" s="77"/>
      <c r="P30" s="77"/>
      <c r="Q30" s="1127"/>
      <c r="R30" s="1127"/>
      <c r="S30" s="1127"/>
      <c r="T30" s="1127"/>
      <c r="U30" s="1127"/>
      <c r="V30" s="1127"/>
      <c r="W30" s="1127"/>
      <c r="X30" s="1127"/>
      <c r="Y30" s="1127"/>
      <c r="Z30" s="1127"/>
      <c r="AA30" s="1127"/>
      <c r="AB30" s="1127"/>
      <c r="AC30" s="1127"/>
      <c r="AD30" s="1127"/>
      <c r="AE30" s="1127"/>
      <c r="AF30" s="1127"/>
      <c r="AG30" s="1127"/>
      <c r="AH30" s="1127"/>
      <c r="AI30" s="1127"/>
      <c r="AJ30" s="1127"/>
      <c r="AK30" s="1127"/>
      <c r="AL30" s="1127"/>
      <c r="AM30" s="1127"/>
      <c r="AN30" s="1127"/>
      <c r="AO30" s="1127"/>
      <c r="AP30" s="1127"/>
      <c r="AQ30" s="1127"/>
      <c r="AR30" s="1127"/>
      <c r="AS30" s="1127"/>
      <c r="AT30" s="1127"/>
      <c r="AU30" s="1127"/>
      <c r="AV30" s="1127"/>
      <c r="AW30" s="1127"/>
      <c r="AX30" s="1127"/>
      <c r="AY30" s="1127"/>
      <c r="AZ30" s="1127"/>
      <c r="BA30" s="1127"/>
      <c r="BB30" s="1127"/>
      <c r="BC30" s="1127"/>
      <c r="BD30" s="1127"/>
      <c r="BE30" s="1127"/>
      <c r="BF30" s="1127"/>
      <c r="BG30" s="1127"/>
      <c r="BH30" s="1127"/>
      <c r="BI30" s="1127"/>
      <c r="BJ30" s="1127"/>
      <c r="BK30" s="1127"/>
      <c r="BL30" s="1127"/>
      <c r="BM30" s="1127"/>
      <c r="BN30" s="1127"/>
      <c r="BO30" s="1127"/>
      <c r="BP30" s="1127"/>
      <c r="BQ30" s="1127"/>
      <c r="BR30" s="1127"/>
      <c r="BS30" s="1127"/>
      <c r="BT30" s="1127"/>
      <c r="BU30" s="1127"/>
      <c r="BV30" s="1127"/>
      <c r="BW30" s="1127"/>
      <c r="BX30" s="1127"/>
      <c r="BY30" s="1127"/>
      <c r="BZ30" s="1127"/>
      <c r="CA30" s="1127"/>
      <c r="CB30" s="1127"/>
      <c r="CC30" s="1127"/>
      <c r="CD30" s="1127"/>
      <c r="CE30" s="1127"/>
      <c r="CF30" s="1127"/>
      <c r="CG30" s="1127"/>
      <c r="CH30" s="1127"/>
      <c r="CI30" s="1127"/>
      <c r="CJ30" s="1127"/>
      <c r="CK30" s="1127"/>
      <c r="CL30" s="1127"/>
      <c r="CM30" s="1127"/>
      <c r="CN30" s="1127"/>
      <c r="CO30" s="1127"/>
      <c r="CP30" s="1127"/>
    </row>
    <row r="31" spans="1:99" hidden="1" x14ac:dyDescent="0.25">
      <c r="H31" s="77"/>
      <c r="I31" s="77"/>
      <c r="J31" s="77"/>
      <c r="K31" s="77"/>
      <c r="L31" s="77"/>
      <c r="M31" s="77"/>
      <c r="N31" s="77"/>
      <c r="O31" s="77"/>
      <c r="P31" s="77"/>
      <c r="Q31" s="1127"/>
      <c r="R31" s="1127"/>
      <c r="S31" s="1127"/>
      <c r="T31" s="1127"/>
      <c r="U31" s="1127"/>
      <c r="V31" s="1637" t="s">
        <v>70</v>
      </c>
      <c r="W31" s="1637"/>
      <c r="X31" s="1637"/>
      <c r="Y31" s="1637"/>
      <c r="Z31" s="1637"/>
      <c r="AA31" s="1637"/>
      <c r="AB31" s="1637"/>
      <c r="AC31" s="1637"/>
      <c r="AD31" s="1637"/>
      <c r="AE31" s="1637"/>
      <c r="AF31" s="1637"/>
      <c r="AG31" s="1637"/>
      <c r="AH31" s="1637"/>
      <c r="AI31" s="1637"/>
      <c r="AJ31" s="1637"/>
      <c r="AK31" s="1127"/>
      <c r="AL31" s="1643"/>
      <c r="AM31" s="1643"/>
      <c r="AN31" s="1643"/>
      <c r="AO31" s="1643"/>
      <c r="AP31" s="1643"/>
      <c r="AQ31" s="1643"/>
      <c r="AR31" s="1643"/>
      <c r="AS31" s="1643"/>
      <c r="AT31" s="1643"/>
      <c r="AU31" s="1643"/>
      <c r="AV31" s="1643"/>
      <c r="AW31" s="1643"/>
      <c r="AX31" s="1643"/>
      <c r="AY31" s="1643"/>
      <c r="AZ31" s="1643"/>
      <c r="BA31" s="1643"/>
      <c r="BB31" s="1643"/>
      <c r="BC31" s="1643"/>
      <c r="BD31" s="1643"/>
      <c r="BE31" s="1643"/>
      <c r="BF31" s="1643"/>
      <c r="BG31" s="1643"/>
      <c r="BH31" s="1127"/>
      <c r="BI31" s="1637" t="s">
        <v>70</v>
      </c>
      <c r="BJ31" s="1637"/>
      <c r="BK31" s="1637"/>
      <c r="BL31" s="1637"/>
      <c r="BM31" s="1637"/>
      <c r="BN31" s="1637"/>
      <c r="BO31" s="1637"/>
      <c r="BP31" s="1138"/>
      <c r="BQ31" s="1643"/>
      <c r="BR31" s="1643"/>
      <c r="BS31" s="1643"/>
      <c r="BT31" s="1643"/>
      <c r="BU31" s="1643"/>
      <c r="BV31" s="1643"/>
      <c r="BW31" s="1643"/>
      <c r="BX31" s="1643"/>
      <c r="BY31" s="1643"/>
      <c r="BZ31" s="1643"/>
      <c r="CA31" s="1643"/>
      <c r="CB31" s="1643"/>
      <c r="CC31" s="1643"/>
      <c r="CD31" s="1643"/>
      <c r="CE31" s="1643"/>
      <c r="CF31" s="1643"/>
      <c r="CG31" s="1643"/>
      <c r="CH31" s="1643"/>
      <c r="CI31" s="1643"/>
      <c r="CJ31" s="1643"/>
      <c r="CK31" s="1643"/>
      <c r="CL31" s="1643"/>
      <c r="CM31" s="1127"/>
      <c r="CN31" s="1127"/>
      <c r="CO31" s="1127"/>
      <c r="CP31" s="1127"/>
    </row>
    <row r="32" spans="1:99" hidden="1" x14ac:dyDescent="0.25">
      <c r="H32" s="77"/>
      <c r="I32" s="77"/>
      <c r="J32" s="77"/>
      <c r="K32" s="77"/>
      <c r="L32" s="77"/>
      <c r="M32" s="77"/>
      <c r="N32" s="77"/>
      <c r="O32" s="77"/>
      <c r="P32" s="77"/>
      <c r="Q32" s="1127"/>
      <c r="R32" s="1127"/>
      <c r="S32" s="1127"/>
      <c r="T32" s="1127"/>
      <c r="U32" s="1127"/>
      <c r="V32" s="1637" t="s">
        <v>71</v>
      </c>
      <c r="W32" s="1637"/>
      <c r="X32" s="1637"/>
      <c r="Y32" s="1637"/>
      <c r="Z32" s="1637"/>
      <c r="AA32" s="1637"/>
      <c r="AB32" s="1637"/>
      <c r="AC32" s="1637"/>
      <c r="AD32" s="1637"/>
      <c r="AE32" s="1637"/>
      <c r="AF32" s="1637"/>
      <c r="AG32" s="1637"/>
      <c r="AH32" s="1637"/>
      <c r="AI32" s="1637"/>
      <c r="AJ32" s="1637"/>
      <c r="AK32" s="1127"/>
      <c r="AL32" s="1644"/>
      <c r="AM32" s="1644"/>
      <c r="AN32" s="1644"/>
      <c r="AO32" s="1644"/>
      <c r="AP32" s="1644"/>
      <c r="AQ32" s="1644"/>
      <c r="AR32" s="1644"/>
      <c r="AS32" s="1644"/>
      <c r="AT32" s="1644"/>
      <c r="AU32" s="1644"/>
      <c r="AV32" s="1644"/>
      <c r="AW32" s="1644"/>
      <c r="AX32" s="1644"/>
      <c r="AY32" s="1644"/>
      <c r="AZ32" s="1644"/>
      <c r="BA32" s="1644"/>
      <c r="BB32" s="1644"/>
      <c r="BC32" s="1644"/>
      <c r="BD32" s="1644"/>
      <c r="BE32" s="1644"/>
      <c r="BF32" s="1644"/>
      <c r="BG32" s="1644"/>
      <c r="BH32" s="1133"/>
      <c r="BI32" s="1637" t="s">
        <v>71</v>
      </c>
      <c r="BJ32" s="1637"/>
      <c r="BK32" s="1637"/>
      <c r="BL32" s="1637"/>
      <c r="BM32" s="1637"/>
      <c r="BN32" s="1637"/>
      <c r="BO32" s="1637"/>
      <c r="BP32" s="1138"/>
      <c r="BQ32" s="1644"/>
      <c r="BR32" s="1644"/>
      <c r="BS32" s="1644"/>
      <c r="BT32" s="1644"/>
      <c r="BU32" s="1644"/>
      <c r="BV32" s="1644"/>
      <c r="BW32" s="1644"/>
      <c r="BX32" s="1644"/>
      <c r="BY32" s="1644"/>
      <c r="BZ32" s="1644"/>
      <c r="CA32" s="1644"/>
      <c r="CB32" s="1644"/>
      <c r="CC32" s="1644"/>
      <c r="CD32" s="1644"/>
      <c r="CE32" s="1644"/>
      <c r="CF32" s="1644"/>
      <c r="CG32" s="1644"/>
      <c r="CH32" s="1644"/>
      <c r="CI32" s="1644"/>
      <c r="CJ32" s="1644"/>
      <c r="CK32" s="1644"/>
      <c r="CL32" s="1644"/>
      <c r="CM32" s="1127"/>
      <c r="CN32" s="1127"/>
      <c r="CO32" s="1127"/>
      <c r="CP32" s="1127"/>
    </row>
    <row r="33" spans="2:94" hidden="1" x14ac:dyDescent="0.25">
      <c r="H33" s="77"/>
      <c r="I33" s="77"/>
      <c r="J33" s="77"/>
      <c r="K33" s="77"/>
      <c r="L33" s="77"/>
      <c r="M33" s="77"/>
      <c r="N33" s="77"/>
      <c r="O33" s="77"/>
      <c r="P33" s="77"/>
      <c r="Q33" s="1127"/>
      <c r="R33" s="1127"/>
      <c r="S33" s="1127"/>
      <c r="T33" s="1127"/>
      <c r="U33" s="1127"/>
      <c r="V33" s="1637" t="s">
        <v>72</v>
      </c>
      <c r="W33" s="1637"/>
      <c r="X33" s="1637"/>
      <c r="Y33" s="1637"/>
      <c r="Z33" s="1637"/>
      <c r="AA33" s="1637"/>
      <c r="AB33" s="1637"/>
      <c r="AC33" s="1637"/>
      <c r="AD33" s="1637"/>
      <c r="AE33" s="1637"/>
      <c r="AF33" s="1637"/>
      <c r="AG33" s="1637"/>
      <c r="AH33" s="1637"/>
      <c r="AI33" s="1637"/>
      <c r="AJ33" s="1637"/>
      <c r="AK33" s="1127"/>
      <c r="AL33" s="1643"/>
      <c r="AM33" s="1643"/>
      <c r="AN33" s="1643"/>
      <c r="AO33" s="1643"/>
      <c r="AP33" s="1643"/>
      <c r="AQ33" s="1643"/>
      <c r="AR33" s="1643"/>
      <c r="AS33" s="1643"/>
      <c r="AT33" s="1643"/>
      <c r="AU33" s="1643"/>
      <c r="AV33" s="1643"/>
      <c r="AW33" s="1643"/>
      <c r="AX33" s="1643"/>
      <c r="AY33" s="1643"/>
      <c r="AZ33" s="1643"/>
      <c r="BA33" s="1643"/>
      <c r="BB33" s="1643"/>
      <c r="BC33" s="1643"/>
      <c r="BD33" s="1643"/>
      <c r="BE33" s="1643"/>
      <c r="BF33" s="1643"/>
      <c r="BG33" s="1643"/>
      <c r="BH33" s="1127"/>
      <c r="BI33" s="1637" t="s">
        <v>72</v>
      </c>
      <c r="BJ33" s="1637"/>
      <c r="BK33" s="1637"/>
      <c r="BL33" s="1637"/>
      <c r="BM33" s="1637"/>
      <c r="BN33" s="1637"/>
      <c r="BO33" s="1637"/>
      <c r="BP33" s="1138"/>
      <c r="BQ33" s="1643"/>
      <c r="BR33" s="1643"/>
      <c r="BS33" s="1643"/>
      <c r="BT33" s="1643"/>
      <c r="BU33" s="1643"/>
      <c r="BV33" s="1643"/>
      <c r="BW33" s="1643"/>
      <c r="BX33" s="1643"/>
      <c r="BY33" s="1643"/>
      <c r="BZ33" s="1643"/>
      <c r="CA33" s="1643"/>
      <c r="CB33" s="1643"/>
      <c r="CC33" s="1643"/>
      <c r="CD33" s="1643"/>
      <c r="CE33" s="1643"/>
      <c r="CF33" s="1643"/>
      <c r="CG33" s="1643"/>
      <c r="CH33" s="1643"/>
      <c r="CI33" s="1643"/>
      <c r="CJ33" s="1643"/>
      <c r="CK33" s="1643"/>
      <c r="CL33" s="1643"/>
      <c r="CM33" s="1127"/>
      <c r="CN33" s="1127"/>
      <c r="CO33" s="1127"/>
      <c r="CP33" s="1127"/>
    </row>
    <row r="34" spans="2:94" hidden="1" x14ac:dyDescent="0.25">
      <c r="H34" s="77"/>
      <c r="I34" s="77"/>
      <c r="J34" s="77"/>
      <c r="K34" s="77"/>
      <c r="L34" s="77"/>
      <c r="M34" s="77"/>
      <c r="N34" s="77"/>
      <c r="O34" s="77"/>
      <c r="P34" s="77"/>
      <c r="Q34" s="1127"/>
      <c r="R34" s="1127"/>
      <c r="S34" s="1127"/>
      <c r="T34" s="1127"/>
      <c r="U34" s="1127"/>
      <c r="V34" s="1127"/>
      <c r="W34" s="1127"/>
      <c r="X34" s="1127"/>
      <c r="Y34" s="1127"/>
      <c r="Z34" s="1127"/>
      <c r="AA34" s="1127"/>
      <c r="AB34" s="1127"/>
      <c r="AC34" s="1127"/>
      <c r="AD34" s="1127"/>
      <c r="AE34" s="1127"/>
      <c r="AF34" s="1127"/>
      <c r="AG34" s="1127"/>
      <c r="AH34" s="1127"/>
      <c r="AI34" s="1127"/>
      <c r="AJ34" s="1127"/>
      <c r="AK34" s="1127"/>
      <c r="AL34" s="1127"/>
      <c r="AM34" s="1127"/>
      <c r="AN34" s="1127"/>
      <c r="AO34" s="1127"/>
      <c r="AP34" s="1127"/>
      <c r="AQ34" s="1127"/>
      <c r="AR34" s="1127"/>
      <c r="AS34" s="1127"/>
      <c r="AT34" s="1127"/>
      <c r="AU34" s="1127"/>
      <c r="AV34" s="1127"/>
      <c r="AW34" s="1127"/>
      <c r="AX34" s="1127"/>
      <c r="AY34" s="1127"/>
      <c r="AZ34" s="1127"/>
      <c r="BA34" s="1127"/>
      <c r="BB34" s="1127"/>
      <c r="BC34" s="1127"/>
      <c r="BD34" s="1127"/>
      <c r="BE34" s="1127"/>
      <c r="BF34" s="1127"/>
      <c r="BG34" s="1127"/>
      <c r="BH34" s="1127"/>
      <c r="BI34" s="1127"/>
      <c r="BJ34" s="1127"/>
      <c r="BK34" s="1127"/>
      <c r="BL34" s="1127"/>
      <c r="BM34" s="1127"/>
      <c r="BN34" s="1127"/>
      <c r="BO34" s="1127"/>
      <c r="BP34" s="1127"/>
      <c r="BQ34" s="1127"/>
      <c r="BR34" s="1127"/>
      <c r="BS34" s="1127"/>
      <c r="BT34" s="1127"/>
      <c r="BU34" s="1127"/>
      <c r="BV34" s="1127"/>
      <c r="BW34" s="1127"/>
      <c r="BX34" s="1127"/>
      <c r="BY34" s="1127"/>
      <c r="BZ34" s="1127"/>
      <c r="CA34" s="1127"/>
      <c r="CB34" s="1127"/>
      <c r="CC34" s="1127"/>
      <c r="CD34" s="1127"/>
      <c r="CE34" s="1127"/>
      <c r="CF34" s="1127"/>
      <c r="CG34" s="1127"/>
      <c r="CH34" s="1127"/>
      <c r="CI34" s="1127"/>
      <c r="CJ34" s="1127"/>
      <c r="CK34" s="1127"/>
      <c r="CL34" s="1127"/>
      <c r="CM34" s="1127"/>
      <c r="CN34" s="1127"/>
      <c r="CO34" s="1127"/>
      <c r="CP34" s="1127"/>
    </row>
    <row r="35" spans="2:94" hidden="1" x14ac:dyDescent="0.25">
      <c r="H35" s="77"/>
      <c r="I35" s="77"/>
      <c r="J35" s="77"/>
      <c r="K35" s="77"/>
      <c r="L35" s="77"/>
      <c r="M35" s="77"/>
      <c r="N35" s="77"/>
      <c r="O35" s="77"/>
      <c r="P35" s="77"/>
      <c r="Q35" s="1127"/>
      <c r="R35" s="1127"/>
      <c r="S35" s="1127"/>
      <c r="T35" s="1127"/>
      <c r="U35" s="1127"/>
      <c r="V35" s="1127"/>
      <c r="W35" s="1127"/>
      <c r="X35" s="1127"/>
      <c r="Y35" s="1127"/>
      <c r="Z35" s="1127"/>
      <c r="AA35" s="1127"/>
      <c r="AB35" s="1127"/>
      <c r="AC35" s="1127"/>
      <c r="AD35" s="1127"/>
      <c r="AE35" s="1127"/>
      <c r="AF35" s="1127"/>
      <c r="AG35" s="1127"/>
      <c r="AH35" s="1127"/>
      <c r="AI35" s="1127"/>
      <c r="AJ35" s="1127"/>
      <c r="AK35" s="1127"/>
      <c r="AL35" s="1127"/>
      <c r="AM35" s="1127"/>
      <c r="AN35" s="1127"/>
      <c r="AO35" s="1127"/>
      <c r="AP35" s="1127"/>
      <c r="AQ35" s="1127"/>
      <c r="AR35" s="1127"/>
      <c r="AS35" s="1127"/>
      <c r="AT35" s="1127"/>
      <c r="AU35" s="1127"/>
      <c r="AV35" s="1127"/>
      <c r="AW35" s="1127"/>
      <c r="AX35" s="1127"/>
      <c r="AY35" s="1127"/>
      <c r="AZ35" s="1127"/>
      <c r="BA35" s="1127"/>
      <c r="BB35" s="1127"/>
      <c r="BC35" s="1127"/>
      <c r="BD35" s="1127"/>
      <c r="BE35" s="1127"/>
      <c r="BF35" s="1127"/>
      <c r="BG35" s="1127"/>
      <c r="BH35" s="1127"/>
      <c r="BI35" s="1127"/>
      <c r="BJ35" s="1127"/>
      <c r="BK35" s="1127"/>
      <c r="BL35" s="1127"/>
      <c r="BM35" s="1127"/>
      <c r="BN35" s="1127"/>
      <c r="BO35" s="1127"/>
      <c r="BP35" s="1127"/>
      <c r="BQ35" s="1127"/>
      <c r="BR35" s="1127"/>
      <c r="BS35" s="1127"/>
      <c r="BT35" s="1127"/>
      <c r="BU35" s="1127"/>
      <c r="BV35" s="1127"/>
      <c r="BW35" s="1127"/>
      <c r="BX35" s="1127"/>
      <c r="BY35" s="1127"/>
      <c r="BZ35" s="1127"/>
      <c r="CA35" s="1127"/>
      <c r="CB35" s="1127"/>
      <c r="CC35" s="1127"/>
      <c r="CD35" s="1127"/>
      <c r="CE35" s="1127"/>
      <c r="CF35" s="1127"/>
      <c r="CG35" s="1127"/>
      <c r="CH35" s="1127"/>
      <c r="CI35" s="1127"/>
      <c r="CJ35" s="1127"/>
      <c r="CK35" s="1127"/>
      <c r="CL35" s="1127"/>
      <c r="CM35" s="1127"/>
      <c r="CN35" s="1127"/>
      <c r="CO35" s="1127"/>
      <c r="CP35" s="1127"/>
    </row>
    <row r="36" spans="2:94" x14ac:dyDescent="0.25">
      <c r="H36" s="1139"/>
      <c r="I36" s="1139"/>
      <c r="J36" s="1139"/>
      <c r="K36" s="1139"/>
      <c r="L36" s="1139"/>
      <c r="M36" s="1139"/>
      <c r="N36" s="1139"/>
      <c r="O36" s="1139"/>
      <c r="P36" s="1139"/>
      <c r="Q36" s="1139"/>
      <c r="R36" s="1139"/>
      <c r="S36" s="1139"/>
      <c r="T36" s="1139"/>
      <c r="U36" s="1139"/>
      <c r="V36" s="1139"/>
      <c r="W36" s="1139"/>
      <c r="X36" s="1139"/>
      <c r="Y36" s="1139"/>
      <c r="Z36" s="1139"/>
      <c r="AA36" s="1139"/>
      <c r="AB36" s="1139"/>
      <c r="AC36" s="1139"/>
      <c r="AD36" s="1139"/>
      <c r="AE36" s="1139"/>
      <c r="AF36" s="1140"/>
      <c r="AG36" s="1140"/>
      <c r="AH36" s="1140"/>
      <c r="AI36" s="1140"/>
      <c r="AJ36" s="1140"/>
      <c r="AK36" s="1140"/>
      <c r="AL36" s="1140"/>
      <c r="AM36" s="1140"/>
      <c r="AN36" s="1140"/>
      <c r="AO36" s="1140"/>
      <c r="AP36" s="1140"/>
      <c r="AQ36" s="1140"/>
      <c r="AR36" s="1140"/>
      <c r="AS36" s="1140"/>
      <c r="AT36" s="1140"/>
      <c r="AU36" s="1140"/>
      <c r="AV36" s="1140"/>
      <c r="AW36" s="1140"/>
      <c r="AX36" s="1140"/>
      <c r="AY36" s="1139"/>
      <c r="AZ36" s="1139"/>
      <c r="BA36" s="1139"/>
      <c r="BB36" s="1139"/>
      <c r="BC36" s="1139"/>
      <c r="BD36" s="1139"/>
      <c r="BE36" s="1139"/>
      <c r="BF36" s="1139"/>
      <c r="BG36" s="1139"/>
      <c r="BH36" s="1139"/>
      <c r="BI36" s="1139"/>
      <c r="BJ36" s="1139"/>
      <c r="BK36" s="1139"/>
      <c r="BL36" s="1139"/>
      <c r="BM36" s="1139"/>
      <c r="BN36" s="1139"/>
      <c r="BO36" s="1139"/>
      <c r="BP36" s="1139"/>
      <c r="BQ36" s="1139"/>
      <c r="BR36" s="1139"/>
      <c r="BS36" s="1139"/>
      <c r="BT36" s="1139"/>
      <c r="BU36" s="1139"/>
      <c r="BV36" s="1139"/>
      <c r="BW36" s="1139"/>
      <c r="BX36" s="1139"/>
      <c r="BY36" s="1139"/>
      <c r="BZ36" s="1139"/>
      <c r="CA36" s="1139"/>
      <c r="CB36" s="1139"/>
      <c r="CC36" s="1139"/>
      <c r="CD36" s="1139"/>
      <c r="CE36" s="1139"/>
      <c r="CF36" s="1139"/>
      <c r="CG36" s="1139"/>
      <c r="CH36" s="1139"/>
      <c r="CI36" s="1139"/>
      <c r="CJ36" s="1139"/>
      <c r="CK36" s="1139"/>
      <c r="CL36" s="1139"/>
      <c r="CM36" s="1139"/>
      <c r="CN36" s="1139"/>
      <c r="CO36" s="1139"/>
      <c r="CP36" s="1139"/>
    </row>
    <row r="37" spans="2:94" x14ac:dyDescent="0.25">
      <c r="H37" s="77"/>
      <c r="I37" s="77"/>
      <c r="J37" s="77"/>
      <c r="Q37" s="1127"/>
      <c r="R37" s="1127"/>
      <c r="S37" s="1127"/>
      <c r="T37" s="1127"/>
      <c r="U37" s="1127"/>
      <c r="V37" s="1127"/>
      <c r="W37" s="1127"/>
      <c r="X37" s="1127"/>
      <c r="Y37" s="1127"/>
      <c r="Z37" s="1127"/>
      <c r="AA37" s="1127"/>
      <c r="AB37" s="1127"/>
      <c r="AC37" s="1127"/>
      <c r="AD37" s="1127"/>
      <c r="AE37" s="1127"/>
      <c r="AF37" s="1127"/>
      <c r="AG37" s="1127"/>
      <c r="AH37" s="1127"/>
      <c r="AI37" s="1127"/>
      <c r="AJ37" s="1127"/>
      <c r="AK37" s="1127"/>
      <c r="AL37" s="1127"/>
      <c r="AM37" s="1127"/>
      <c r="AN37" s="1127"/>
      <c r="AO37" s="1127"/>
      <c r="AP37" s="1127"/>
      <c r="AQ37" s="1127"/>
      <c r="AR37" s="1127"/>
      <c r="AS37" s="1127"/>
      <c r="AT37" s="1127"/>
      <c r="AU37" s="1127"/>
      <c r="AV37" s="1127"/>
      <c r="AW37" s="1127"/>
      <c r="AX37" s="1127"/>
      <c r="AY37" s="1127"/>
      <c r="AZ37" s="1127"/>
      <c r="BA37" s="1127"/>
      <c r="BB37" s="1127"/>
      <c r="BC37" s="1127"/>
      <c r="BD37" s="1127"/>
      <c r="BE37" s="1127"/>
      <c r="BF37" s="1127"/>
      <c r="BG37" s="1127"/>
      <c r="BH37" s="1127"/>
      <c r="BI37" s="1127"/>
      <c r="BJ37" s="1127"/>
      <c r="BK37" s="1127"/>
      <c r="BL37" s="1127"/>
      <c r="BM37" s="1127"/>
      <c r="BN37" s="1127"/>
      <c r="BO37" s="1127"/>
      <c r="BP37" s="1127"/>
      <c r="BQ37" s="1127"/>
      <c r="BR37" s="1127"/>
      <c r="BS37" s="1127"/>
      <c r="BT37" s="1127"/>
      <c r="BU37" s="1127"/>
      <c r="BV37" s="1127"/>
      <c r="BW37" s="1127"/>
      <c r="BX37" s="1127"/>
      <c r="BY37" s="1127"/>
      <c r="BZ37" s="1127"/>
      <c r="CA37" s="1127"/>
      <c r="CB37" s="1127"/>
      <c r="CC37" s="1127"/>
      <c r="CD37" s="1127"/>
      <c r="CE37" s="1127"/>
      <c r="CF37" s="1127"/>
      <c r="CG37" s="1127"/>
      <c r="CH37" s="1127"/>
      <c r="CI37" s="1127"/>
      <c r="CJ37" s="1127"/>
      <c r="CK37" s="1127"/>
      <c r="CL37" s="1127"/>
      <c r="CM37" s="1127"/>
      <c r="CN37" s="1127"/>
      <c r="CO37" s="1127"/>
      <c r="CP37" s="1127"/>
    </row>
    <row r="38" spans="2:94" ht="30" x14ac:dyDescent="0.25">
      <c r="H38" s="1141"/>
      <c r="I38" s="1141"/>
      <c r="J38" s="1141"/>
      <c r="Q38" s="1124" t="s">
        <v>73</v>
      </c>
      <c r="R38" s="1124"/>
      <c r="S38" s="1124"/>
      <c r="T38" s="1124"/>
      <c r="U38" s="1124"/>
      <c r="V38" s="1124"/>
      <c r="W38" s="1124"/>
      <c r="X38" s="1124"/>
      <c r="Y38" s="1124"/>
      <c r="Z38" s="1124"/>
      <c r="AA38" s="1124"/>
      <c r="AB38" s="1124"/>
      <c r="AC38" s="1124"/>
      <c r="AD38" s="1124"/>
      <c r="AE38" s="1124"/>
      <c r="AF38" s="1124"/>
      <c r="AG38" s="1124"/>
      <c r="AH38" s="1124"/>
      <c r="AI38" s="1124"/>
      <c r="AJ38" s="1124"/>
      <c r="AK38" s="1124"/>
      <c r="AL38" s="1124"/>
      <c r="AM38" s="1124"/>
      <c r="AN38" s="1124"/>
      <c r="AO38" s="1124"/>
      <c r="AP38" s="1124"/>
      <c r="AQ38" s="1124"/>
      <c r="AR38" s="1124"/>
      <c r="AS38" s="1124"/>
      <c r="AT38" s="1124"/>
      <c r="AU38" s="1124"/>
      <c r="AV38" s="1124"/>
      <c r="AW38" s="1124"/>
      <c r="AX38" s="1124"/>
      <c r="AY38" s="1124"/>
      <c r="AZ38" s="1124"/>
      <c r="BA38" s="1124"/>
      <c r="BB38" s="1124"/>
      <c r="BC38" s="1124"/>
      <c r="BD38" s="1124"/>
      <c r="BE38" s="1124"/>
      <c r="BF38" s="1124"/>
      <c r="BG38" s="1124"/>
      <c r="BH38" s="1124"/>
      <c r="BI38" s="1124"/>
      <c r="BJ38" s="1124"/>
      <c r="BK38" s="1124"/>
      <c r="BL38" s="1124"/>
      <c r="BM38" s="1124"/>
      <c r="BN38" s="1124"/>
      <c r="BO38" s="1124"/>
      <c r="BP38" s="1124"/>
      <c r="BQ38" s="1124"/>
      <c r="BR38" s="1124"/>
      <c r="BS38" s="1124"/>
      <c r="BT38" s="1124"/>
      <c r="BU38" s="1124"/>
      <c r="BV38" s="1124"/>
      <c r="BW38" s="1124"/>
      <c r="BX38" s="1124"/>
      <c r="BY38" s="1124"/>
      <c r="BZ38" s="1124"/>
      <c r="CA38" s="1124"/>
      <c r="CB38" s="1124"/>
      <c r="CC38" s="1124"/>
      <c r="CD38" s="1124"/>
      <c r="CE38" s="1124"/>
      <c r="CF38" s="1124"/>
      <c r="CG38" s="1124"/>
      <c r="CH38" s="1124"/>
      <c r="CI38" s="1124"/>
      <c r="CJ38" s="1124"/>
      <c r="CK38" s="1124"/>
      <c r="CL38" s="1124"/>
      <c r="CM38" s="1124"/>
      <c r="CN38" s="1124"/>
      <c r="CO38" s="1124"/>
      <c r="CP38" s="1124"/>
    </row>
    <row r="39" spans="2:94" x14ac:dyDescent="0.25">
      <c r="H39" s="1139"/>
      <c r="I39" s="1139"/>
      <c r="J39" s="1139"/>
      <c r="Q39" s="1142"/>
      <c r="R39" s="1142"/>
      <c r="S39" s="1142"/>
      <c r="T39" s="1142"/>
      <c r="U39" s="1142"/>
      <c r="V39" s="1142"/>
      <c r="W39" s="1142"/>
      <c r="X39" s="1142"/>
      <c r="Y39" s="1142"/>
      <c r="Z39" s="1142"/>
      <c r="AA39" s="1142"/>
      <c r="AB39" s="1142"/>
      <c r="AC39" s="1142"/>
      <c r="AD39" s="1142"/>
      <c r="AE39" s="1142"/>
      <c r="AF39" s="1142"/>
      <c r="AG39" s="1142"/>
      <c r="AH39" s="1142"/>
      <c r="AI39" s="1142"/>
      <c r="AJ39" s="1142"/>
      <c r="AK39" s="1142"/>
      <c r="AL39" s="1142"/>
      <c r="AM39" s="1142"/>
      <c r="AN39" s="1142"/>
      <c r="AO39" s="1142"/>
      <c r="AP39" s="1142"/>
      <c r="AQ39" s="1142"/>
      <c r="AR39" s="1142"/>
      <c r="AS39" s="1142"/>
      <c r="AT39" s="1142"/>
      <c r="AU39" s="1142"/>
      <c r="AV39" s="1142"/>
      <c r="AW39" s="1142"/>
      <c r="AX39" s="1142"/>
      <c r="AY39" s="1142"/>
      <c r="AZ39" s="1142"/>
      <c r="BA39" s="1142"/>
      <c r="BB39" s="1142"/>
      <c r="BC39" s="1142"/>
      <c r="BD39" s="1142"/>
      <c r="BE39" s="1142"/>
      <c r="BF39" s="1142"/>
      <c r="BG39" s="1142"/>
      <c r="BH39" s="1142"/>
      <c r="BI39" s="1142"/>
      <c r="BJ39" s="1142"/>
      <c r="BK39" s="1142"/>
      <c r="BL39" s="1142"/>
      <c r="BM39" s="1142"/>
      <c r="BN39" s="1142"/>
      <c r="BO39" s="1142"/>
      <c r="BP39" s="1142"/>
      <c r="BQ39" s="1142"/>
      <c r="BR39" s="1142"/>
      <c r="BS39" s="1142"/>
      <c r="BT39" s="1142"/>
      <c r="BU39" s="1142"/>
      <c r="BV39" s="1142"/>
      <c r="BW39" s="1142"/>
      <c r="BX39" s="1142"/>
      <c r="BY39" s="1142"/>
      <c r="BZ39" s="1142"/>
      <c r="CA39" s="1142"/>
      <c r="CB39" s="1142"/>
      <c r="CC39" s="1142"/>
      <c r="CD39" s="1142"/>
      <c r="CE39" s="1142"/>
      <c r="CF39" s="1142"/>
      <c r="CG39" s="1142"/>
      <c r="CH39" s="1142"/>
      <c r="CI39" s="1142"/>
      <c r="CJ39" s="1142"/>
      <c r="CK39" s="1142"/>
      <c r="CL39" s="1142"/>
      <c r="CM39" s="1142"/>
      <c r="CN39" s="1142"/>
      <c r="CO39" s="1142"/>
      <c r="CP39" s="1142"/>
    </row>
    <row r="40" spans="2:94" x14ac:dyDescent="0.25">
      <c r="H40" s="1139"/>
      <c r="I40" s="1139"/>
      <c r="J40" s="1139"/>
      <c r="Q40" s="1142"/>
      <c r="R40" s="1142"/>
      <c r="S40" s="1142"/>
      <c r="T40" s="1142"/>
      <c r="U40" s="1142"/>
      <c r="V40" s="1142"/>
      <c r="W40" s="1142"/>
      <c r="X40" s="1142"/>
      <c r="Y40" s="1142"/>
      <c r="Z40" s="1142"/>
      <c r="AA40" s="1142"/>
      <c r="AB40" s="1142"/>
      <c r="AC40" s="1142"/>
      <c r="AD40" s="1142"/>
      <c r="AE40" s="1142"/>
      <c r="AF40" s="1142"/>
      <c r="AG40" s="1142"/>
      <c r="AH40" s="1142"/>
      <c r="AI40" s="1142"/>
      <c r="AJ40" s="1142"/>
      <c r="AK40" s="1142"/>
      <c r="AL40" s="1143"/>
      <c r="AM40" s="1144"/>
      <c r="AN40" s="1144"/>
      <c r="AO40" s="1144"/>
      <c r="AP40" s="1144"/>
      <c r="AQ40" s="1144"/>
      <c r="AR40" s="1144"/>
      <c r="AS40" s="1144"/>
      <c r="AT40" s="1144"/>
      <c r="AU40" s="1143"/>
      <c r="AV40" s="1144"/>
      <c r="AW40" s="1144"/>
      <c r="AX40" s="1144"/>
      <c r="AY40" s="1144"/>
      <c r="AZ40" s="1144"/>
      <c r="BA40" s="1144"/>
      <c r="BB40" s="1144"/>
      <c r="BC40" s="1144"/>
      <c r="BD40" s="1143"/>
      <c r="BE40" s="1144"/>
      <c r="BF40" s="1144"/>
      <c r="BG40" s="1144"/>
      <c r="BH40" s="1144"/>
      <c r="BI40" s="1144"/>
      <c r="BJ40" s="1144"/>
      <c r="BK40" s="1144"/>
      <c r="BL40" s="1144"/>
      <c r="BM40" s="1143"/>
      <c r="BN40" s="1144"/>
      <c r="BO40" s="1144"/>
      <c r="BP40" s="1144"/>
      <c r="BQ40" s="1144"/>
      <c r="BR40" s="1144"/>
      <c r="BS40" s="1144"/>
      <c r="BT40" s="1144"/>
      <c r="BU40" s="1144"/>
      <c r="BV40" s="1143"/>
      <c r="BW40" s="1144"/>
      <c r="BX40" s="1144"/>
      <c r="BY40" s="1144"/>
      <c r="BZ40" s="1144"/>
      <c r="CA40" s="1144"/>
      <c r="CB40" s="1144"/>
      <c r="CC40" s="1144"/>
      <c r="CD40" s="1144"/>
      <c r="CE40" s="1142"/>
      <c r="CF40" s="1142"/>
      <c r="CG40" s="1142"/>
      <c r="CH40" s="1142"/>
      <c r="CI40" s="1142"/>
      <c r="CJ40" s="1142"/>
      <c r="CK40" s="1142"/>
      <c r="CL40" s="1142"/>
      <c r="CM40" s="1142"/>
      <c r="CN40" s="1142"/>
      <c r="CO40" s="1142"/>
      <c r="CP40" s="1142"/>
    </row>
    <row r="41" spans="2:94" ht="15.75" customHeight="1" x14ac:dyDescent="0.25">
      <c r="B41" s="76"/>
      <c r="H41" s="1139"/>
      <c r="I41" s="1139"/>
      <c r="J41" s="1139"/>
      <c r="Q41" s="1145"/>
      <c r="R41" s="1145"/>
      <c r="S41" s="1145"/>
      <c r="T41" s="1145"/>
      <c r="U41" s="1145"/>
      <c r="V41" s="1145"/>
      <c r="W41" s="1142"/>
      <c r="X41" s="1142"/>
      <c r="Y41" s="1142"/>
      <c r="Z41" s="1645" t="s">
        <v>74</v>
      </c>
      <c r="AA41" s="1645"/>
      <c r="AB41" s="1645"/>
      <c r="AC41" s="1645"/>
      <c r="AD41" s="1645"/>
      <c r="AE41" s="1645"/>
      <c r="AF41" s="1645"/>
      <c r="AG41" s="1645"/>
      <c r="AH41" s="1645"/>
      <c r="AI41" s="1645"/>
      <c r="AJ41" s="1146"/>
      <c r="AK41" s="1146"/>
      <c r="AL41" s="1646" t="s">
        <v>75</v>
      </c>
      <c r="AM41" s="1646"/>
      <c r="AN41" s="1646"/>
      <c r="AO41" s="1646"/>
      <c r="AP41" s="1646"/>
      <c r="AQ41" s="1646"/>
      <c r="AR41" s="1646"/>
      <c r="AS41" s="1646"/>
      <c r="AT41" s="1147"/>
      <c r="AU41" s="1647" t="str">
        <f ca="1">FRCP_y2</f>
        <v>2027-28</v>
      </c>
      <c r="AV41" s="1647"/>
      <c r="AW41" s="1647"/>
      <c r="AX41" s="1647"/>
      <c r="AY41" s="1647"/>
      <c r="AZ41" s="1647"/>
      <c r="BA41" s="1647"/>
      <c r="BB41" s="1647"/>
      <c r="BC41" s="1147"/>
      <c r="BD41" s="1647" t="str">
        <f ca="1">FRCP_y3</f>
        <v>2028-29</v>
      </c>
      <c r="BE41" s="1647"/>
      <c r="BF41" s="1647"/>
      <c r="BG41" s="1647"/>
      <c r="BH41" s="1647"/>
      <c r="BI41" s="1647"/>
      <c r="BJ41" s="1647"/>
      <c r="BK41" s="1647"/>
      <c r="BL41" s="1147"/>
      <c r="BM41" s="1647" t="str">
        <f ca="1">FRCP_y4</f>
        <v>2029-30</v>
      </c>
      <c r="BN41" s="1647"/>
      <c r="BO41" s="1647"/>
      <c r="BP41" s="1647"/>
      <c r="BQ41" s="1647"/>
      <c r="BR41" s="1647"/>
      <c r="BS41" s="1647"/>
      <c r="BT41" s="1647"/>
      <c r="BU41" s="1147"/>
      <c r="BV41" s="1648" t="str">
        <f ca="1">FRCP_y5</f>
        <v>2030-31</v>
      </c>
      <c r="BW41" s="1648"/>
      <c r="BX41" s="1648"/>
      <c r="BY41" s="1648"/>
      <c r="BZ41" s="1648"/>
      <c r="CA41" s="1648"/>
      <c r="CB41" s="1648"/>
      <c r="CC41" s="1648"/>
      <c r="CD41" s="1142"/>
      <c r="CE41" s="1142"/>
      <c r="CF41" s="1142"/>
      <c r="CG41" s="1142"/>
      <c r="CH41" s="1142"/>
      <c r="CI41" s="1142"/>
      <c r="CJ41" s="1142"/>
      <c r="CK41" s="1142"/>
      <c r="CL41" s="1142"/>
      <c r="CM41" s="1142"/>
      <c r="CN41" s="1142"/>
      <c r="CO41" s="1142"/>
      <c r="CP41" s="1142"/>
    </row>
    <row r="42" spans="2:94" ht="18" hidden="1" x14ac:dyDescent="0.25">
      <c r="B42" s="76"/>
      <c r="H42" s="1139"/>
      <c r="I42" s="1139"/>
      <c r="J42" s="1139"/>
      <c r="Q42" s="1145"/>
      <c r="R42" s="1145"/>
      <c r="S42" s="1145"/>
      <c r="T42" s="1145"/>
      <c r="U42" s="1145"/>
      <c r="V42" s="1145"/>
      <c r="W42" s="1142"/>
      <c r="X42" s="1142"/>
      <c r="Y42" s="1142"/>
      <c r="Z42" s="1146"/>
      <c r="AA42" s="1148"/>
      <c r="AB42" s="1148"/>
      <c r="AC42" s="1148"/>
      <c r="AD42" s="1148"/>
      <c r="AE42" s="1148"/>
      <c r="AF42" s="1148"/>
      <c r="AG42" s="1148"/>
      <c r="AH42" s="1148"/>
      <c r="AI42" s="1148"/>
      <c r="AJ42" s="1148"/>
      <c r="AK42" s="1148"/>
      <c r="AL42" s="1648" t="str">
        <f ca="1">FRCP_y6</f>
        <v>2031-32</v>
      </c>
      <c r="AM42" s="1648"/>
      <c r="AN42" s="1648"/>
      <c r="AO42" s="1648"/>
      <c r="AP42" s="1648"/>
      <c r="AQ42" s="1648"/>
      <c r="AR42" s="1648"/>
      <c r="AS42" s="1648"/>
      <c r="AT42" s="1149"/>
      <c r="AU42" s="1648" t="str">
        <f ca="1">FRCP_y7</f>
        <v>2032-33</v>
      </c>
      <c r="AV42" s="1648"/>
      <c r="AW42" s="1648"/>
      <c r="AX42" s="1648"/>
      <c r="AY42" s="1648"/>
      <c r="AZ42" s="1648"/>
      <c r="BA42" s="1648"/>
      <c r="BB42" s="1648"/>
      <c r="BC42" s="1149"/>
      <c r="BD42" s="1648" t="str">
        <f ca="1">FRCP_y8</f>
        <v>2033-34</v>
      </c>
      <c r="BE42" s="1648"/>
      <c r="BF42" s="1648"/>
      <c r="BG42" s="1648"/>
      <c r="BH42" s="1648"/>
      <c r="BI42" s="1648"/>
      <c r="BJ42" s="1648"/>
      <c r="BK42" s="1648"/>
      <c r="BL42" s="1150"/>
      <c r="BM42" s="1648" t="str">
        <f ca="1">FRCP_y9</f>
        <v>2034-35</v>
      </c>
      <c r="BN42" s="1648"/>
      <c r="BO42" s="1648"/>
      <c r="BP42" s="1648"/>
      <c r="BQ42" s="1648"/>
      <c r="BR42" s="1648"/>
      <c r="BS42" s="1648"/>
      <c r="BT42" s="1648"/>
      <c r="BU42" s="1150"/>
      <c r="BV42" s="1648" t="str">
        <f ca="1">FRCP_y10</f>
        <v>2035-36</v>
      </c>
      <c r="BW42" s="1648"/>
      <c r="BX42" s="1648"/>
      <c r="BY42" s="1648"/>
      <c r="BZ42" s="1648"/>
      <c r="CA42" s="1648"/>
      <c r="CB42" s="1648"/>
      <c r="CC42" s="1648"/>
      <c r="CD42" s="1142"/>
      <c r="CE42" s="1142"/>
      <c r="CF42" s="1142"/>
      <c r="CG42" s="1142"/>
      <c r="CH42" s="1142"/>
      <c r="CI42" s="1142"/>
      <c r="CJ42" s="1142"/>
      <c r="CK42" s="1142"/>
      <c r="CL42" s="1142"/>
      <c r="CM42" s="1142"/>
      <c r="CN42" s="1142"/>
      <c r="CO42" s="1142"/>
      <c r="CP42" s="1142"/>
    </row>
    <row r="43" spans="2:94" ht="15" hidden="1" customHeight="1" x14ac:dyDescent="0.25">
      <c r="H43" s="1139"/>
      <c r="I43" s="1139"/>
      <c r="J43" s="1139"/>
      <c r="Q43" s="1145"/>
      <c r="R43" s="1145"/>
      <c r="S43" s="1145"/>
      <c r="T43" s="1145"/>
      <c r="U43" s="1145"/>
      <c r="V43" s="1145"/>
      <c r="W43" s="1142"/>
      <c r="X43" s="1142"/>
      <c r="Y43" s="1142"/>
      <c r="Z43" s="1146"/>
      <c r="AA43" s="1146"/>
      <c r="AB43" s="1146"/>
      <c r="AC43" s="1146"/>
      <c r="AD43" s="1146"/>
      <c r="AE43" s="1146"/>
      <c r="AF43" s="1146"/>
      <c r="AG43" s="1146"/>
      <c r="AH43" s="1146"/>
      <c r="AI43" s="1146"/>
      <c r="AJ43" s="1146"/>
      <c r="AK43" s="1146"/>
      <c r="AL43" s="1648" t="str">
        <f ca="1">FRCP_y11</f>
        <v>2036-37</v>
      </c>
      <c r="AM43" s="1648"/>
      <c r="AN43" s="1648"/>
      <c r="AO43" s="1648"/>
      <c r="AP43" s="1648"/>
      <c r="AQ43" s="1648"/>
      <c r="AR43" s="1648"/>
      <c r="AS43" s="1648"/>
      <c r="AT43" s="1151"/>
      <c r="AU43" s="1648" t="str">
        <f ca="1">FRCP_y12</f>
        <v>2037-38</v>
      </c>
      <c r="AV43" s="1648"/>
      <c r="AW43" s="1648"/>
      <c r="AX43" s="1648"/>
      <c r="AY43" s="1648"/>
      <c r="AZ43" s="1648"/>
      <c r="BA43" s="1648"/>
      <c r="BB43" s="1648"/>
      <c r="BC43" s="1151"/>
      <c r="BD43" s="1648" t="str">
        <f ca="1">FRCP_y13</f>
        <v>2038-39</v>
      </c>
      <c r="BE43" s="1648"/>
      <c r="BF43" s="1648"/>
      <c r="BG43" s="1648"/>
      <c r="BH43" s="1648"/>
      <c r="BI43" s="1648"/>
      <c r="BJ43" s="1648"/>
      <c r="BK43" s="1648"/>
      <c r="BL43" s="1151"/>
      <c r="BM43" s="1648" t="str">
        <f ca="1">FRCP_y14</f>
        <v>2039-40</v>
      </c>
      <c r="BN43" s="1648"/>
      <c r="BO43" s="1648"/>
      <c r="BP43" s="1648"/>
      <c r="BQ43" s="1648"/>
      <c r="BR43" s="1648"/>
      <c r="BS43" s="1648"/>
      <c r="BT43" s="1648"/>
      <c r="BU43" s="1151"/>
      <c r="BV43" s="1648" t="e">
        <f>FRCP_y15</f>
        <v>#NAME?</v>
      </c>
      <c r="BW43" s="1648"/>
      <c r="BX43" s="1648"/>
      <c r="BY43" s="1648"/>
      <c r="BZ43" s="1648"/>
      <c r="CA43" s="1648"/>
      <c r="CB43" s="1648"/>
      <c r="CC43" s="1648"/>
      <c r="CD43" s="1142"/>
      <c r="CE43" s="1142"/>
      <c r="CF43" s="1142"/>
      <c r="CG43" s="1142"/>
      <c r="CH43" s="1142"/>
      <c r="CI43" s="1142"/>
      <c r="CJ43" s="1142"/>
      <c r="CK43" s="1142"/>
      <c r="CL43" s="1142"/>
      <c r="CM43" s="1142"/>
      <c r="CN43" s="1142"/>
      <c r="CO43" s="1142"/>
      <c r="CP43" s="1145"/>
    </row>
    <row r="44" spans="2:94" ht="15" customHeight="1" x14ac:dyDescent="0.25">
      <c r="B44" s="76"/>
      <c r="H44" s="1139"/>
      <c r="I44" s="1139"/>
      <c r="J44" s="1139"/>
      <c r="Q44" s="1145"/>
      <c r="R44" s="1145"/>
      <c r="S44" s="1145"/>
      <c r="T44" s="1145"/>
      <c r="U44" s="1145"/>
      <c r="V44" s="1145"/>
      <c r="W44" s="1142"/>
      <c r="X44" s="1142"/>
      <c r="Y44" s="1142"/>
      <c r="Z44" s="1146"/>
      <c r="AA44" s="1146"/>
      <c r="AB44" s="1146"/>
      <c r="AC44" s="1146"/>
      <c r="AD44" s="1146"/>
      <c r="AE44" s="1146"/>
      <c r="AF44" s="1146"/>
      <c r="AG44" s="1146"/>
      <c r="AH44" s="1146"/>
      <c r="AI44" s="1146"/>
      <c r="AJ44" s="1146"/>
      <c r="AK44" s="1146"/>
      <c r="AL44" s="1152"/>
      <c r="AM44" s="1151"/>
      <c r="AN44" s="1151"/>
      <c r="AO44" s="1151"/>
      <c r="AP44" s="1151"/>
      <c r="AQ44" s="1151"/>
      <c r="AR44" s="1151"/>
      <c r="AS44" s="1151"/>
      <c r="AT44" s="1151"/>
      <c r="AU44" s="1152"/>
      <c r="AV44" s="1151"/>
      <c r="AW44" s="1151"/>
      <c r="AX44" s="1151"/>
      <c r="AY44" s="1151"/>
      <c r="AZ44" s="1151"/>
      <c r="BA44" s="1151"/>
      <c r="BB44" s="1151"/>
      <c r="BC44" s="1151"/>
      <c r="BD44" s="1152"/>
      <c r="BE44" s="1151"/>
      <c r="BF44" s="1151"/>
      <c r="BG44" s="1151"/>
      <c r="BH44" s="1151"/>
      <c r="BI44" s="1151"/>
      <c r="BJ44" s="1151"/>
      <c r="BK44" s="1151"/>
      <c r="BL44" s="1151"/>
      <c r="BM44" s="1152"/>
      <c r="BN44" s="1151"/>
      <c r="BO44" s="1151"/>
      <c r="BP44" s="1151"/>
      <c r="BQ44" s="1151"/>
      <c r="BR44" s="1151"/>
      <c r="BS44" s="1151"/>
      <c r="BT44" s="1151"/>
      <c r="BU44" s="1151"/>
      <c r="BV44" s="1152"/>
      <c r="BW44" s="1151"/>
      <c r="BX44" s="1151"/>
      <c r="BY44" s="1151"/>
      <c r="BZ44" s="1151"/>
      <c r="CA44" s="1151"/>
      <c r="CB44" s="1151"/>
      <c r="CC44" s="1151"/>
      <c r="CD44" s="1142"/>
      <c r="CE44" s="1142"/>
      <c r="CF44" s="1142"/>
      <c r="CG44" s="1142"/>
      <c r="CH44" s="1142"/>
      <c r="CI44" s="1142"/>
      <c r="CJ44" s="1142"/>
      <c r="CK44" s="1142"/>
      <c r="CL44" s="1142"/>
      <c r="CM44" s="1142"/>
      <c r="CN44" s="1142"/>
      <c r="CO44" s="1142"/>
      <c r="CP44" s="1145"/>
    </row>
    <row r="45" spans="2:94" ht="15" customHeight="1" x14ac:dyDescent="0.25">
      <c r="B45" s="76"/>
      <c r="H45" s="1139"/>
      <c r="I45" s="1139"/>
      <c r="J45" s="1139"/>
      <c r="Q45" s="1145"/>
      <c r="R45" s="1145"/>
      <c r="S45" s="1145"/>
      <c r="T45" s="1145"/>
      <c r="U45" s="1145"/>
      <c r="V45" s="1145"/>
      <c r="W45" s="1142"/>
      <c r="X45" s="1142"/>
      <c r="Y45" s="1142"/>
      <c r="Z45" s="1645"/>
      <c r="AA45" s="1645"/>
      <c r="AB45" s="1645"/>
      <c r="AC45" s="1645"/>
      <c r="AD45" s="1645"/>
      <c r="AE45" s="1645"/>
      <c r="AF45" s="1645"/>
      <c r="AG45" s="1645"/>
      <c r="AH45" s="1645"/>
      <c r="AI45" s="1645"/>
      <c r="AJ45" s="1146"/>
      <c r="AK45" s="1146"/>
      <c r="AL45" s="1152"/>
      <c r="AM45" s="1151"/>
      <c r="AN45" s="1151"/>
      <c r="AO45" s="1151"/>
      <c r="AP45" s="1151"/>
      <c r="AQ45" s="1151"/>
      <c r="AR45" s="1151"/>
      <c r="AS45" s="1151"/>
      <c r="AT45" s="1151"/>
      <c r="AU45" s="1152"/>
      <c r="AV45" s="1151"/>
      <c r="AW45" s="1151"/>
      <c r="AX45" s="1151"/>
      <c r="AY45" s="1151"/>
      <c r="AZ45" s="1151"/>
      <c r="BA45" s="1151"/>
      <c r="BB45" s="1151"/>
      <c r="BC45" s="1151"/>
      <c r="BD45" s="1152"/>
      <c r="BE45" s="1151"/>
      <c r="BF45" s="1151"/>
      <c r="BG45" s="1151"/>
      <c r="BH45" s="1151"/>
      <c r="BI45" s="1151"/>
      <c r="BJ45" s="1151"/>
      <c r="BK45" s="1151"/>
      <c r="BL45" s="1151"/>
      <c r="BM45" s="1152"/>
      <c r="BN45" s="1151"/>
      <c r="BO45" s="1151"/>
      <c r="BP45" s="1151"/>
      <c r="BQ45" s="1151"/>
      <c r="BR45" s="1151"/>
      <c r="BS45" s="1151"/>
      <c r="BT45" s="1151"/>
      <c r="BU45" s="1151"/>
      <c r="BV45" s="1152"/>
      <c r="BW45" s="1151"/>
      <c r="BX45" s="1151"/>
      <c r="BY45" s="1151"/>
      <c r="BZ45" s="1151"/>
      <c r="CA45" s="1151"/>
      <c r="CB45" s="1151"/>
      <c r="CC45" s="1151"/>
      <c r="CD45" s="1142"/>
      <c r="CE45" s="1142"/>
      <c r="CF45" s="1142"/>
      <c r="CG45" s="1142"/>
      <c r="CH45" s="1142"/>
      <c r="CI45" s="1142"/>
      <c r="CJ45" s="1142"/>
      <c r="CK45" s="1142"/>
      <c r="CL45" s="1142"/>
      <c r="CM45" s="1142"/>
      <c r="CN45" s="1142"/>
      <c r="CO45" s="1142"/>
      <c r="CP45" s="1145"/>
    </row>
    <row r="46" spans="2:94" ht="15" customHeight="1" x14ac:dyDescent="0.25">
      <c r="B46" s="76"/>
      <c r="H46" s="1139"/>
      <c r="I46" s="1139"/>
      <c r="J46" s="1139"/>
      <c r="Q46" s="1145"/>
      <c r="R46" s="1145"/>
      <c r="S46" s="1145"/>
      <c r="T46" s="1145"/>
      <c r="U46" s="1145"/>
      <c r="V46" s="1145"/>
      <c r="W46" s="1142"/>
      <c r="X46" s="1142"/>
      <c r="Y46" s="1142"/>
      <c r="Z46" s="1146"/>
      <c r="AA46" s="1146"/>
      <c r="AB46" s="1146"/>
      <c r="AC46" s="1146"/>
      <c r="AD46" s="1146"/>
      <c r="AE46" s="1146"/>
      <c r="AF46" s="1146"/>
      <c r="AG46" s="1146"/>
      <c r="AH46" s="1146"/>
      <c r="AI46" s="1146"/>
      <c r="AJ46" s="1146"/>
      <c r="AK46" s="1146"/>
      <c r="AL46" s="1152"/>
      <c r="AM46" s="1151"/>
      <c r="AN46" s="1151"/>
      <c r="AO46" s="1151"/>
      <c r="AP46" s="1151"/>
      <c r="AQ46" s="1151"/>
      <c r="AR46" s="1151"/>
      <c r="AS46" s="1151"/>
      <c r="AT46" s="1151"/>
      <c r="AU46" s="1152"/>
      <c r="AV46" s="1151"/>
      <c r="AW46" s="1151"/>
      <c r="AX46" s="1151"/>
      <c r="AY46" s="1151"/>
      <c r="AZ46" s="1151"/>
      <c r="BA46" s="1151"/>
      <c r="BB46" s="1151"/>
      <c r="BC46" s="1151"/>
      <c r="BD46" s="1152"/>
      <c r="BE46" s="1151"/>
      <c r="BF46" s="1151"/>
      <c r="BG46" s="1151"/>
      <c r="BH46" s="1151"/>
      <c r="BI46" s="1151"/>
      <c r="BJ46" s="1151"/>
      <c r="BK46" s="1151"/>
      <c r="BL46" s="1151"/>
      <c r="BM46" s="1152"/>
      <c r="BN46" s="1151"/>
      <c r="BO46" s="1151"/>
      <c r="BP46" s="1151"/>
      <c r="BQ46" s="1151"/>
      <c r="BR46" s="1151"/>
      <c r="BS46" s="1151"/>
      <c r="BT46" s="1151"/>
      <c r="BU46" s="1151"/>
      <c r="BV46" s="1152"/>
      <c r="BW46" s="1151"/>
      <c r="BX46" s="1151"/>
      <c r="BY46" s="1151"/>
      <c r="BZ46" s="1151"/>
      <c r="CA46" s="1151"/>
      <c r="CB46" s="1151"/>
      <c r="CC46" s="1151"/>
      <c r="CD46" s="1142"/>
      <c r="CE46" s="1142"/>
      <c r="CF46" s="1142"/>
      <c r="CG46" s="1142"/>
      <c r="CH46" s="1142"/>
      <c r="CI46" s="1142"/>
      <c r="CJ46" s="1142"/>
      <c r="CK46" s="1142"/>
      <c r="CL46" s="1142"/>
      <c r="CM46" s="1142"/>
      <c r="CN46" s="1142"/>
      <c r="CO46" s="1142"/>
      <c r="CP46" s="1145"/>
    </row>
    <row r="47" spans="2:94" ht="15.75" customHeight="1" x14ac:dyDescent="0.25">
      <c r="B47" s="76"/>
      <c r="H47" s="1139"/>
      <c r="I47" s="1139"/>
      <c r="J47" s="1139"/>
      <c r="Q47" s="1145"/>
      <c r="R47" s="1145"/>
      <c r="S47" s="1145"/>
      <c r="T47" s="1145"/>
      <c r="U47" s="1145"/>
      <c r="V47" s="1145"/>
      <c r="W47" s="1142"/>
      <c r="X47" s="1145" t="s">
        <v>76</v>
      </c>
      <c r="Y47" s="1142"/>
      <c r="Z47" s="1645" t="s">
        <v>77</v>
      </c>
      <c r="AA47" s="1645"/>
      <c r="AB47" s="1645"/>
      <c r="AC47" s="1645"/>
      <c r="AD47" s="1645"/>
      <c r="AE47" s="1645"/>
      <c r="AF47" s="1645"/>
      <c r="AG47" s="1645"/>
      <c r="AH47" s="1645"/>
      <c r="AI47" s="1645"/>
      <c r="AJ47" s="1146"/>
      <c r="AK47" s="1146"/>
      <c r="AL47" s="1647" t="str">
        <f ca="1">CRCP_y1</f>
        <v>2021-22</v>
      </c>
      <c r="AM47" s="1647"/>
      <c r="AN47" s="1647"/>
      <c r="AO47" s="1647"/>
      <c r="AP47" s="1647"/>
      <c r="AQ47" s="1647"/>
      <c r="AR47" s="1647"/>
      <c r="AS47" s="1647"/>
      <c r="AT47" s="1147"/>
      <c r="AU47" s="1647" t="str">
        <f ca="1">CRCP_y2</f>
        <v>2022-23</v>
      </c>
      <c r="AV47" s="1647"/>
      <c r="AW47" s="1647"/>
      <c r="AX47" s="1647"/>
      <c r="AY47" s="1647"/>
      <c r="AZ47" s="1647"/>
      <c r="BA47" s="1647"/>
      <c r="BB47" s="1647"/>
      <c r="BC47" s="1147"/>
      <c r="BD47" s="1647" t="str">
        <f ca="1">CRCP_y3</f>
        <v>2023-24</v>
      </c>
      <c r="BE47" s="1647"/>
      <c r="BF47" s="1647"/>
      <c r="BG47" s="1647"/>
      <c r="BH47" s="1647"/>
      <c r="BI47" s="1647"/>
      <c r="BJ47" s="1647"/>
      <c r="BK47" s="1647"/>
      <c r="BL47" s="1147"/>
      <c r="BM47" s="1647" t="str">
        <f ca="1">CRCP_y4</f>
        <v>2024-25</v>
      </c>
      <c r="BN47" s="1647"/>
      <c r="BO47" s="1647"/>
      <c r="BP47" s="1647"/>
      <c r="BQ47" s="1647"/>
      <c r="BR47" s="1647"/>
      <c r="BS47" s="1647"/>
      <c r="BT47" s="1647"/>
      <c r="BU47" s="1147"/>
      <c r="BV47" s="1647" t="str">
        <f ca="1">CRCP_y5</f>
        <v>2025-26</v>
      </c>
      <c r="BW47" s="1647"/>
      <c r="BX47" s="1647"/>
      <c r="BY47" s="1647"/>
      <c r="BZ47" s="1647"/>
      <c r="CA47" s="1647"/>
      <c r="CB47" s="1647"/>
      <c r="CC47" s="1647"/>
      <c r="CD47" s="1142"/>
      <c r="CE47" s="1142"/>
      <c r="CF47" s="1142"/>
      <c r="CG47" s="1142"/>
      <c r="CH47" s="1142"/>
      <c r="CI47" s="1142"/>
      <c r="CJ47" s="1142"/>
      <c r="CK47" s="1142"/>
      <c r="CL47" s="1142"/>
      <c r="CM47" s="1142"/>
      <c r="CN47" s="1142"/>
      <c r="CO47" s="1142"/>
      <c r="CP47" s="1145"/>
    </row>
    <row r="48" spans="2:94" ht="15" customHeight="1" x14ac:dyDescent="0.25">
      <c r="H48" s="1139"/>
      <c r="I48" s="1139"/>
      <c r="J48" s="1139"/>
      <c r="Q48" s="1145"/>
      <c r="R48" s="1145"/>
      <c r="S48" s="1145"/>
      <c r="T48" s="1145"/>
      <c r="U48" s="1145"/>
      <c r="V48" s="1145"/>
      <c r="W48" s="1142"/>
      <c r="X48" s="1142"/>
      <c r="Y48" s="1142"/>
      <c r="Z48" s="1146"/>
      <c r="AA48" s="1146"/>
      <c r="AB48" s="1146"/>
      <c r="AC48" s="1146"/>
      <c r="AD48" s="1146"/>
      <c r="AE48" s="1146"/>
      <c r="AF48" s="1146"/>
      <c r="AG48" s="1146"/>
      <c r="AH48" s="1146"/>
      <c r="AI48" s="1146"/>
      <c r="AJ48" s="1146"/>
      <c r="AK48" s="1146"/>
      <c r="AL48" s="1648" t="str">
        <f ca="1">CRCP_y6</f>
        <v>2026-27</v>
      </c>
      <c r="AM48" s="1648"/>
      <c r="AN48" s="1648"/>
      <c r="AO48" s="1648"/>
      <c r="AP48" s="1648"/>
      <c r="AQ48" s="1648"/>
      <c r="AR48" s="1648"/>
      <c r="AS48" s="1648"/>
      <c r="AT48" s="1153"/>
      <c r="AU48" s="1648" t="str">
        <f ca="1">CRCP_y7</f>
        <v>2027-28</v>
      </c>
      <c r="AV48" s="1648"/>
      <c r="AW48" s="1648"/>
      <c r="AX48" s="1648"/>
      <c r="AY48" s="1648"/>
      <c r="AZ48" s="1648"/>
      <c r="BA48" s="1648"/>
      <c r="BB48" s="1648"/>
      <c r="BC48" s="1154"/>
      <c r="BD48" s="1648" t="str">
        <f ca="1">CRCP_y8</f>
        <v>2028-29</v>
      </c>
      <c r="BE48" s="1648"/>
      <c r="BF48" s="1648"/>
      <c r="BG48" s="1648"/>
      <c r="BH48" s="1648"/>
      <c r="BI48" s="1648"/>
      <c r="BJ48" s="1648"/>
      <c r="BK48" s="1648"/>
      <c r="BL48" s="1154"/>
      <c r="BM48" s="1648" t="str">
        <f ca="1">CRCP_y9</f>
        <v>2029-30</v>
      </c>
      <c r="BN48" s="1648"/>
      <c r="BO48" s="1648"/>
      <c r="BP48" s="1648"/>
      <c r="BQ48" s="1648"/>
      <c r="BR48" s="1648"/>
      <c r="BS48" s="1648"/>
      <c r="BT48" s="1648"/>
      <c r="BU48" s="1154"/>
      <c r="BV48" s="1648" t="str">
        <f ca="1">CRCP_y10</f>
        <v>2030-31</v>
      </c>
      <c r="BW48" s="1648"/>
      <c r="BX48" s="1648"/>
      <c r="BY48" s="1648"/>
      <c r="BZ48" s="1648"/>
      <c r="CA48" s="1648"/>
      <c r="CB48" s="1648"/>
      <c r="CC48" s="1648"/>
      <c r="CD48" s="1142"/>
      <c r="CE48" s="1142"/>
      <c r="CF48" s="1142"/>
      <c r="CG48" s="1142"/>
      <c r="CH48" s="1142"/>
      <c r="CI48" s="1142"/>
      <c r="CJ48" s="1142"/>
      <c r="CK48" s="1142"/>
      <c r="CL48" s="1142"/>
      <c r="CM48" s="1142"/>
      <c r="CN48" s="1142"/>
      <c r="CO48" s="1142"/>
      <c r="CP48" s="1145"/>
    </row>
    <row r="49" spans="5:94" ht="15" customHeight="1" x14ac:dyDescent="0.25">
      <c r="H49" s="1139"/>
      <c r="I49" s="1139"/>
      <c r="J49" s="1139"/>
      <c r="Q49" s="1145"/>
      <c r="R49" s="1145"/>
      <c r="S49" s="1145"/>
      <c r="T49" s="1145"/>
      <c r="U49" s="1145"/>
      <c r="V49" s="1145"/>
      <c r="W49" s="1142"/>
      <c r="X49" s="1142"/>
      <c r="Y49" s="1142"/>
      <c r="Z49" s="1146"/>
      <c r="AA49" s="1146"/>
      <c r="AB49" s="1146"/>
      <c r="AC49" s="1146"/>
      <c r="AD49" s="1146"/>
      <c r="AE49" s="1146"/>
      <c r="AF49" s="1146"/>
      <c r="AG49" s="1146"/>
      <c r="AH49" s="1146"/>
      <c r="AI49" s="1146"/>
      <c r="AJ49" s="1146"/>
      <c r="AK49" s="1146"/>
      <c r="AL49" s="1648" t="str">
        <f ca="1">CRCP_y11</f>
        <v>2031-32</v>
      </c>
      <c r="AM49" s="1648"/>
      <c r="AN49" s="1648"/>
      <c r="AO49" s="1648"/>
      <c r="AP49" s="1648"/>
      <c r="AQ49" s="1648"/>
      <c r="AR49" s="1648"/>
      <c r="AS49" s="1648"/>
      <c r="AT49" s="1153"/>
      <c r="AU49" s="1648" t="str">
        <f ca="1">CRCP_y12</f>
        <v>2032-33</v>
      </c>
      <c r="AV49" s="1648"/>
      <c r="AW49" s="1648"/>
      <c r="AX49" s="1648"/>
      <c r="AY49" s="1648"/>
      <c r="AZ49" s="1648"/>
      <c r="BA49" s="1648"/>
      <c r="BB49" s="1648"/>
      <c r="BC49" s="1154"/>
      <c r="BD49" s="1648" t="str">
        <f ca="1">CRCP_y13</f>
        <v>2033-34</v>
      </c>
      <c r="BE49" s="1648"/>
      <c r="BF49" s="1648"/>
      <c r="BG49" s="1648"/>
      <c r="BH49" s="1648"/>
      <c r="BI49" s="1648"/>
      <c r="BJ49" s="1648"/>
      <c r="BK49" s="1648"/>
      <c r="BL49" s="1154"/>
      <c r="BM49" s="1648" t="str">
        <f ca="1">CRCP_y14</f>
        <v>2034-35</v>
      </c>
      <c r="BN49" s="1648"/>
      <c r="BO49" s="1648"/>
      <c r="BP49" s="1648"/>
      <c r="BQ49" s="1648"/>
      <c r="BR49" s="1648"/>
      <c r="BS49" s="1648"/>
      <c r="BT49" s="1648"/>
      <c r="BU49" s="1154"/>
      <c r="BV49" s="1648" t="str">
        <f ca="1">CRCP_y15</f>
        <v>2035-36</v>
      </c>
      <c r="BW49" s="1648"/>
      <c r="BX49" s="1648"/>
      <c r="BY49" s="1648"/>
      <c r="BZ49" s="1648"/>
      <c r="CA49" s="1648"/>
      <c r="CB49" s="1648"/>
      <c r="CC49" s="1648"/>
      <c r="CD49" s="1142"/>
      <c r="CE49" s="1142"/>
      <c r="CF49" s="1142"/>
      <c r="CG49" s="1142"/>
      <c r="CH49" s="1142"/>
      <c r="CI49" s="1142"/>
      <c r="CJ49" s="1142"/>
      <c r="CK49" s="1142"/>
      <c r="CL49" s="1142"/>
      <c r="CM49" s="1142"/>
      <c r="CN49" s="1142"/>
      <c r="CO49" s="1142"/>
      <c r="CP49" s="1145"/>
    </row>
    <row r="50" spans="5:94" ht="15" customHeight="1" x14ac:dyDescent="0.25">
      <c r="H50" s="1139"/>
      <c r="I50" s="1139"/>
      <c r="J50" s="1139"/>
      <c r="Q50" s="1145"/>
      <c r="R50" s="1145"/>
      <c r="S50" s="1145"/>
      <c r="T50" s="1145"/>
      <c r="U50" s="1145"/>
      <c r="V50" s="1145"/>
      <c r="W50" s="1142"/>
      <c r="X50" s="1142"/>
      <c r="Y50" s="1142"/>
      <c r="Z50" s="1146"/>
      <c r="AA50" s="1146"/>
      <c r="AB50" s="1146"/>
      <c r="AC50" s="1146"/>
      <c r="AD50" s="1146"/>
      <c r="AE50" s="1146"/>
      <c r="AF50" s="1146"/>
      <c r="AG50" s="1146"/>
      <c r="AH50" s="1146"/>
      <c r="AI50" s="1146"/>
      <c r="AJ50" s="1146"/>
      <c r="AK50" s="1146"/>
      <c r="AL50" s="1150"/>
      <c r="AM50" s="1150"/>
      <c r="AN50" s="1150"/>
      <c r="AO50" s="1150"/>
      <c r="AP50" s="1150"/>
      <c r="AQ50" s="1150"/>
      <c r="AR50" s="1150"/>
      <c r="AS50" s="1150"/>
      <c r="AT50" s="1150"/>
      <c r="AU50" s="1150"/>
      <c r="AV50" s="1150"/>
      <c r="AW50" s="1150"/>
      <c r="AX50" s="1150"/>
      <c r="AY50" s="1150"/>
      <c r="AZ50" s="1150"/>
      <c r="BA50" s="1150"/>
      <c r="BB50" s="1150"/>
      <c r="BC50" s="1150"/>
      <c r="BD50" s="1150"/>
      <c r="BE50" s="1150"/>
      <c r="BF50" s="1150"/>
      <c r="BG50" s="1150"/>
      <c r="BH50" s="1150"/>
      <c r="BI50" s="1150"/>
      <c r="BJ50" s="1150"/>
      <c r="BK50" s="1150"/>
      <c r="BL50" s="1150"/>
      <c r="BM50" s="1150"/>
      <c r="BN50" s="1150"/>
      <c r="BO50" s="1150"/>
      <c r="BP50" s="1150"/>
      <c r="BQ50" s="1150"/>
      <c r="BR50" s="1150"/>
      <c r="BS50" s="1150"/>
      <c r="BT50" s="1150"/>
      <c r="BU50" s="1150"/>
      <c r="BV50" s="1150"/>
      <c r="BW50" s="1150"/>
      <c r="BX50" s="1150"/>
      <c r="BY50" s="1150"/>
      <c r="BZ50" s="1150"/>
      <c r="CA50" s="1150"/>
      <c r="CB50" s="1150"/>
      <c r="CC50" s="1155"/>
      <c r="CD50" s="1142"/>
      <c r="CE50" s="1142"/>
      <c r="CF50" s="1142"/>
      <c r="CG50" s="1142"/>
      <c r="CH50" s="1142"/>
      <c r="CI50" s="1142"/>
      <c r="CJ50" s="1142"/>
      <c r="CK50" s="1142"/>
      <c r="CL50" s="1142"/>
      <c r="CM50" s="1142"/>
      <c r="CN50" s="1142"/>
      <c r="CO50" s="1142"/>
      <c r="CP50" s="1145"/>
    </row>
    <row r="51" spans="5:94" ht="15.75" customHeight="1" x14ac:dyDescent="0.25">
      <c r="H51" s="1139"/>
      <c r="I51" s="1139"/>
      <c r="J51" s="1139"/>
      <c r="Q51" s="1145"/>
      <c r="R51" s="1145"/>
      <c r="S51" s="1145"/>
      <c r="T51" s="1145"/>
      <c r="U51" s="1145"/>
      <c r="V51" s="1145"/>
      <c r="W51" s="1142"/>
      <c r="X51" s="1142"/>
      <c r="Y51" s="1142"/>
      <c r="Z51" s="1645" t="s">
        <v>78</v>
      </c>
      <c r="AA51" s="1645"/>
      <c r="AB51" s="1645"/>
      <c r="AC51" s="1645"/>
      <c r="AD51" s="1645"/>
      <c r="AE51" s="1645"/>
      <c r="AF51" s="1645"/>
      <c r="AG51" s="1645"/>
      <c r="AH51" s="1645"/>
      <c r="AI51" s="1645"/>
      <c r="AJ51" s="1146"/>
      <c r="AK51" s="1146"/>
      <c r="AL51" s="1647" t="str">
        <f ca="1">PRCP_y1</f>
        <v>2016-17</v>
      </c>
      <c r="AM51" s="1647"/>
      <c r="AN51" s="1647"/>
      <c r="AO51" s="1647"/>
      <c r="AP51" s="1647"/>
      <c r="AQ51" s="1647"/>
      <c r="AR51" s="1647"/>
      <c r="AS51" s="1647"/>
      <c r="AT51" s="1147"/>
      <c r="AU51" s="1647" t="str">
        <f ca="1">PRCP_y2</f>
        <v>2017-18</v>
      </c>
      <c r="AV51" s="1647"/>
      <c r="AW51" s="1647"/>
      <c r="AX51" s="1647"/>
      <c r="AY51" s="1647"/>
      <c r="AZ51" s="1647"/>
      <c r="BA51" s="1647"/>
      <c r="BB51" s="1647"/>
      <c r="BC51" s="1147"/>
      <c r="BD51" s="1647" t="str">
        <f ca="1">PRCP_y3</f>
        <v>2018-19</v>
      </c>
      <c r="BE51" s="1647"/>
      <c r="BF51" s="1647"/>
      <c r="BG51" s="1647"/>
      <c r="BH51" s="1647"/>
      <c r="BI51" s="1647"/>
      <c r="BJ51" s="1647"/>
      <c r="BK51" s="1647"/>
      <c r="BL51" s="1147"/>
      <c r="BM51" s="1647" t="str">
        <f ca="1">PRCP_y4</f>
        <v>2019-20</v>
      </c>
      <c r="BN51" s="1647"/>
      <c r="BO51" s="1647"/>
      <c r="BP51" s="1647"/>
      <c r="BQ51" s="1647"/>
      <c r="BR51" s="1647"/>
      <c r="BS51" s="1647"/>
      <c r="BT51" s="1647"/>
      <c r="BU51" s="1147"/>
      <c r="BV51" s="1647" t="str">
        <f ca="1">PRCP_y5</f>
        <v>2020-21</v>
      </c>
      <c r="BW51" s="1647"/>
      <c r="BX51" s="1647"/>
      <c r="BY51" s="1647"/>
      <c r="BZ51" s="1647"/>
      <c r="CA51" s="1647"/>
      <c r="CB51" s="1647"/>
      <c r="CC51" s="1647"/>
      <c r="CD51" s="1142"/>
      <c r="CE51" s="1142"/>
      <c r="CF51" s="1142"/>
      <c r="CG51" s="1142"/>
      <c r="CH51" s="1142"/>
      <c r="CI51" s="1142"/>
      <c r="CJ51" s="1142"/>
      <c r="CK51" s="1142"/>
      <c r="CL51" s="1142"/>
      <c r="CM51" s="1142"/>
      <c r="CN51" s="1142"/>
      <c r="CO51" s="1142"/>
      <c r="CP51" s="1145"/>
    </row>
    <row r="52" spans="5:94" ht="15.75" x14ac:dyDescent="0.25">
      <c r="H52" s="1139"/>
      <c r="I52" s="1139"/>
      <c r="J52" s="1139"/>
      <c r="Q52" s="1142"/>
      <c r="R52" s="1142"/>
      <c r="S52" s="1142"/>
      <c r="T52" s="1142"/>
      <c r="U52" s="1142"/>
      <c r="V52" s="1142"/>
      <c r="W52" s="1142"/>
      <c r="X52" s="1142"/>
      <c r="Y52" s="1142"/>
      <c r="Z52" s="1146"/>
      <c r="AA52" s="1146"/>
      <c r="AB52" s="1146"/>
      <c r="AC52" s="1146"/>
      <c r="AD52" s="1146"/>
      <c r="AE52" s="1146"/>
      <c r="AF52" s="1146"/>
      <c r="AG52" s="1146"/>
      <c r="AH52" s="1146"/>
      <c r="AI52" s="1146"/>
      <c r="AJ52" s="1146"/>
      <c r="AK52" s="1146"/>
      <c r="AL52" s="1648" t="str">
        <f ca="1">PRCP_y6</f>
        <v>2021-22</v>
      </c>
      <c r="AM52" s="1648"/>
      <c r="AN52" s="1648"/>
      <c r="AO52" s="1648"/>
      <c r="AP52" s="1648"/>
      <c r="AQ52" s="1648"/>
      <c r="AR52" s="1648"/>
      <c r="AS52" s="1648"/>
      <c r="AT52" s="1153"/>
      <c r="AU52" s="1648" t="str">
        <f ca="1">PRCP_y7</f>
        <v>2022-23</v>
      </c>
      <c r="AV52" s="1648"/>
      <c r="AW52" s="1648"/>
      <c r="AX52" s="1648"/>
      <c r="AY52" s="1648"/>
      <c r="AZ52" s="1648"/>
      <c r="BA52" s="1648"/>
      <c r="BB52" s="1648"/>
      <c r="BC52" s="1154"/>
      <c r="BD52" s="1648" t="str">
        <f ca="1">PRCP_y8</f>
        <v>2023-24</v>
      </c>
      <c r="BE52" s="1648"/>
      <c r="BF52" s="1648"/>
      <c r="BG52" s="1648"/>
      <c r="BH52" s="1648"/>
      <c r="BI52" s="1648"/>
      <c r="BJ52" s="1648"/>
      <c r="BK52" s="1648"/>
      <c r="BL52" s="1154"/>
      <c r="BM52" s="1648" t="str">
        <f ca="1">PRCP_y9</f>
        <v>2024-25</v>
      </c>
      <c r="BN52" s="1648"/>
      <c r="BO52" s="1648"/>
      <c r="BP52" s="1648"/>
      <c r="BQ52" s="1648"/>
      <c r="BR52" s="1648"/>
      <c r="BS52" s="1648"/>
      <c r="BT52" s="1648"/>
      <c r="BU52" s="1154"/>
      <c r="BV52" s="1648" t="str">
        <f ca="1">PRCP_y10</f>
        <v>2025-26</v>
      </c>
      <c r="BW52" s="1648"/>
      <c r="BX52" s="1648"/>
      <c r="BY52" s="1648"/>
      <c r="BZ52" s="1648"/>
      <c r="CA52" s="1648"/>
      <c r="CB52" s="1648"/>
      <c r="CC52" s="1648"/>
      <c r="CD52" s="1142"/>
      <c r="CE52" s="1142"/>
      <c r="CF52" s="1142"/>
      <c r="CG52" s="1142"/>
      <c r="CH52" s="1142"/>
      <c r="CI52" s="1142"/>
      <c r="CJ52" s="1142"/>
      <c r="CK52" s="1142"/>
      <c r="CL52" s="1142"/>
      <c r="CM52" s="1142"/>
      <c r="CN52" s="1142"/>
      <c r="CO52" s="1142"/>
      <c r="CP52" s="1142"/>
    </row>
    <row r="53" spans="5:94" ht="15.75" x14ac:dyDescent="0.25">
      <c r="H53" s="1139"/>
      <c r="I53" s="1139"/>
      <c r="J53" s="1139"/>
      <c r="Q53" s="1142"/>
      <c r="R53" s="1142"/>
      <c r="S53" s="1142"/>
      <c r="T53" s="1142"/>
      <c r="U53" s="1142"/>
      <c r="V53" s="1142"/>
      <c r="W53" s="1142"/>
      <c r="X53" s="1142"/>
      <c r="Y53" s="1142"/>
      <c r="Z53" s="1146"/>
      <c r="AA53" s="1146"/>
      <c r="AB53" s="1146"/>
      <c r="AC53" s="1146"/>
      <c r="AD53" s="1146"/>
      <c r="AE53" s="1146"/>
      <c r="AF53" s="1146"/>
      <c r="AG53" s="1146"/>
      <c r="AH53" s="1146"/>
      <c r="AI53" s="1146"/>
      <c r="AJ53" s="1146"/>
      <c r="AK53" s="1146"/>
      <c r="AL53" s="1648" t="str">
        <f ca="1">PRCP_y11</f>
        <v>2026-27</v>
      </c>
      <c r="AM53" s="1648"/>
      <c r="AN53" s="1648"/>
      <c r="AO53" s="1648"/>
      <c r="AP53" s="1648"/>
      <c r="AQ53" s="1648"/>
      <c r="AR53" s="1648"/>
      <c r="AS53" s="1648"/>
      <c r="AT53" s="1153"/>
      <c r="AU53" s="1648" t="str">
        <f ca="1">PRCP_y12</f>
        <v>2027-28</v>
      </c>
      <c r="AV53" s="1648"/>
      <c r="AW53" s="1648"/>
      <c r="AX53" s="1648"/>
      <c r="AY53" s="1648"/>
      <c r="AZ53" s="1648"/>
      <c r="BA53" s="1648"/>
      <c r="BB53" s="1648"/>
      <c r="BC53" s="1154"/>
      <c r="BD53" s="1648" t="str">
        <f ca="1">PRCP_y13</f>
        <v>2028-29</v>
      </c>
      <c r="BE53" s="1648"/>
      <c r="BF53" s="1648"/>
      <c r="BG53" s="1648"/>
      <c r="BH53" s="1648"/>
      <c r="BI53" s="1648"/>
      <c r="BJ53" s="1648"/>
      <c r="BK53" s="1648"/>
      <c r="BL53" s="1154"/>
      <c r="BM53" s="1648" t="str">
        <f ca="1">PRCP_y14</f>
        <v>2029-30</v>
      </c>
      <c r="BN53" s="1648"/>
      <c r="BO53" s="1648"/>
      <c r="BP53" s="1648"/>
      <c r="BQ53" s="1648"/>
      <c r="BR53" s="1648"/>
      <c r="BS53" s="1648"/>
      <c r="BT53" s="1648"/>
      <c r="BU53" s="1154"/>
      <c r="BV53" s="1648" t="str">
        <f ca="1">PRCP_y15</f>
        <v>2030-31</v>
      </c>
      <c r="BW53" s="1648"/>
      <c r="BX53" s="1648"/>
      <c r="BY53" s="1648"/>
      <c r="BZ53" s="1648"/>
      <c r="CA53" s="1648"/>
      <c r="CB53" s="1648"/>
      <c r="CC53" s="1648"/>
      <c r="CD53" s="1142"/>
      <c r="CE53" s="1142"/>
      <c r="CF53" s="1142"/>
      <c r="CG53" s="1142"/>
      <c r="CH53" s="1142"/>
      <c r="CI53" s="1142"/>
      <c r="CJ53" s="1142"/>
      <c r="CK53" s="1142"/>
      <c r="CL53" s="1142"/>
      <c r="CM53" s="1142"/>
      <c r="CN53" s="1142"/>
      <c r="CO53" s="1142"/>
      <c r="CP53" s="1142"/>
    </row>
    <row r="54" spans="5:94" hidden="1" x14ac:dyDescent="0.25">
      <c r="E54" s="1156"/>
      <c r="H54" s="1139"/>
      <c r="I54" s="1139"/>
      <c r="J54" s="1139"/>
      <c r="Q54" s="1142"/>
      <c r="R54" s="1142"/>
      <c r="S54" s="1142"/>
      <c r="T54" s="1142"/>
      <c r="U54" s="1142"/>
      <c r="V54" s="1142"/>
      <c r="W54" s="1142"/>
      <c r="X54" s="1142"/>
      <c r="Y54" s="1142"/>
      <c r="Z54" s="1146"/>
      <c r="AA54" s="1146"/>
      <c r="AB54" s="1146"/>
      <c r="AC54" s="1146"/>
      <c r="AD54" s="1146"/>
      <c r="AE54" s="1146"/>
      <c r="AF54" s="1146"/>
      <c r="AG54" s="1146"/>
      <c r="AH54" s="1146"/>
      <c r="AI54" s="1146"/>
      <c r="AJ54" s="1146"/>
      <c r="AK54" s="1146"/>
      <c r="AL54" s="1146"/>
      <c r="AM54" s="1146"/>
      <c r="AN54" s="1146"/>
      <c r="AO54" s="1146"/>
      <c r="AP54" s="1146"/>
      <c r="AQ54" s="1146"/>
      <c r="AR54" s="1146"/>
      <c r="AS54" s="1142"/>
      <c r="AT54" s="1142"/>
      <c r="AU54" s="1142"/>
      <c r="AV54" s="1142"/>
      <c r="AW54" s="1142"/>
      <c r="AX54" s="1142"/>
      <c r="AY54" s="1142"/>
      <c r="AZ54" s="1142"/>
      <c r="BA54" s="1142"/>
      <c r="BB54" s="1142"/>
      <c r="BC54" s="1142"/>
      <c r="BD54" s="1142"/>
      <c r="BE54" s="1142"/>
      <c r="BF54" s="1142"/>
      <c r="BG54" s="1142"/>
      <c r="BH54" s="1142"/>
      <c r="BI54" s="1142"/>
      <c r="BJ54" s="1142"/>
      <c r="BK54" s="1142"/>
      <c r="BL54" s="1142"/>
      <c r="BM54" s="1142"/>
      <c r="BN54" s="1142"/>
      <c r="BO54" s="1142"/>
      <c r="BP54" s="1142"/>
      <c r="BQ54" s="1142"/>
      <c r="BR54" s="1142"/>
      <c r="BS54" s="1142"/>
      <c r="BT54" s="1142"/>
      <c r="BU54" s="1142"/>
      <c r="BV54" s="1142"/>
      <c r="BW54" s="1142"/>
      <c r="BX54" s="1142"/>
      <c r="BY54" s="1142"/>
      <c r="BZ54" s="1142"/>
      <c r="CA54" s="1142"/>
      <c r="CB54" s="1142"/>
      <c r="CC54" s="1142"/>
      <c r="CD54" s="1142"/>
      <c r="CE54" s="1142"/>
      <c r="CF54" s="1142"/>
      <c r="CG54" s="1142"/>
      <c r="CH54" s="1142"/>
      <c r="CI54" s="1142"/>
      <c r="CJ54" s="1142"/>
      <c r="CK54" s="1142"/>
      <c r="CL54" s="1142"/>
      <c r="CM54" s="1142"/>
      <c r="CN54" s="1142"/>
      <c r="CO54" s="1142"/>
      <c r="CP54" s="1142"/>
    </row>
    <row r="55" spans="5:94" ht="15.75" hidden="1" customHeight="1" x14ac:dyDescent="0.25">
      <c r="H55" s="1139"/>
      <c r="I55" s="1139"/>
      <c r="J55" s="1139"/>
      <c r="Q55" s="1145"/>
      <c r="R55" s="1145"/>
      <c r="S55" s="1145"/>
      <c r="T55" s="1145"/>
      <c r="U55" s="1145"/>
      <c r="V55" s="1145"/>
      <c r="W55" s="1157"/>
      <c r="X55" s="1145"/>
      <c r="Y55" s="1142"/>
      <c r="Z55" s="1645" t="s">
        <v>79</v>
      </c>
      <c r="AA55" s="1645"/>
      <c r="AB55" s="1645"/>
      <c r="AC55" s="1645"/>
      <c r="AD55" s="1645"/>
      <c r="AE55" s="1645"/>
      <c r="AF55" s="1645"/>
      <c r="AG55" s="1645"/>
      <c r="AH55" s="1645"/>
      <c r="AI55" s="1645"/>
      <c r="AJ55" s="1146"/>
      <c r="AK55" s="1146"/>
      <c r="AL55" s="1646" t="s">
        <v>80</v>
      </c>
      <c r="AM55" s="1646"/>
      <c r="AN55" s="1646"/>
      <c r="AO55" s="1646"/>
      <c r="AP55" s="1646"/>
      <c r="AQ55" s="1646"/>
      <c r="AR55" s="1646"/>
      <c r="AS55" s="1646"/>
      <c r="AT55" s="1142"/>
      <c r="AU55" s="1142"/>
      <c r="AV55" s="1142"/>
      <c r="AW55" s="1142"/>
      <c r="AX55" s="1142"/>
      <c r="AY55" s="1142"/>
      <c r="AZ55" s="1142"/>
      <c r="BA55" s="1142"/>
      <c r="BB55" s="1142"/>
      <c r="BC55" s="1142"/>
      <c r="BD55" s="1142"/>
      <c r="BE55" s="1142"/>
      <c r="BF55" s="1142"/>
      <c r="BG55" s="1142"/>
      <c r="BH55" s="1142"/>
      <c r="BI55" s="1142"/>
      <c r="BJ55" s="1142"/>
      <c r="BK55" s="1142"/>
      <c r="BL55" s="1142"/>
      <c r="BM55" s="1142"/>
      <c r="BN55" s="1142"/>
      <c r="BO55" s="1142"/>
      <c r="BP55" s="1142"/>
      <c r="BQ55" s="1142"/>
      <c r="BR55" s="1142"/>
      <c r="BS55" s="1142"/>
      <c r="BT55" s="1142"/>
      <c r="BU55" s="1142"/>
      <c r="BV55" s="1142"/>
      <c r="BW55" s="1142"/>
      <c r="BX55" s="1142"/>
      <c r="BY55" s="1142"/>
      <c r="BZ55" s="1142"/>
      <c r="CA55" s="1142"/>
      <c r="CB55" s="1142"/>
      <c r="CC55" s="1142"/>
      <c r="CD55" s="1142"/>
      <c r="CE55" s="1142"/>
      <c r="CF55" s="1142"/>
      <c r="CG55" s="1142"/>
      <c r="CH55" s="1142"/>
      <c r="CI55" s="1142"/>
      <c r="CJ55" s="1142"/>
      <c r="CK55" s="1142"/>
      <c r="CL55" s="1142"/>
      <c r="CM55" s="1142"/>
      <c r="CN55" s="1142"/>
      <c r="CO55" s="1142"/>
      <c r="CP55" s="1142"/>
    </row>
    <row r="56" spans="5:94" ht="15.75" hidden="1" customHeight="1" x14ac:dyDescent="0.25">
      <c r="H56" s="1139"/>
      <c r="I56" s="1139"/>
      <c r="J56" s="1139"/>
      <c r="Q56" s="1145"/>
      <c r="R56" s="1145"/>
      <c r="S56" s="1145"/>
      <c r="T56" s="1145"/>
      <c r="U56" s="1145"/>
      <c r="V56" s="1145"/>
      <c r="W56" s="1157"/>
      <c r="X56" s="1145" t="s">
        <v>81</v>
      </c>
      <c r="Y56" s="1142"/>
      <c r="Z56" s="1146"/>
      <c r="AA56" s="1146"/>
      <c r="AB56" s="1146"/>
      <c r="AC56" s="1146"/>
      <c r="AD56" s="1146"/>
      <c r="AE56" s="1146"/>
      <c r="AF56" s="1146"/>
      <c r="AG56" s="1146"/>
      <c r="AH56" s="1146"/>
      <c r="AI56" s="1146"/>
      <c r="AJ56" s="1146"/>
      <c r="AK56" s="1146"/>
      <c r="AL56" s="1146"/>
      <c r="AM56" s="1146"/>
      <c r="AN56" s="1146"/>
      <c r="AO56" s="1146"/>
      <c r="AP56" s="1146"/>
      <c r="AQ56" s="1146"/>
      <c r="AR56" s="1146"/>
      <c r="AS56" s="1142"/>
      <c r="AT56" s="1142"/>
      <c r="AU56" s="1142"/>
      <c r="AV56" s="1142"/>
      <c r="AW56" s="1142"/>
      <c r="AX56" s="1142"/>
      <c r="AY56" s="1142"/>
      <c r="AZ56" s="1142"/>
      <c r="BA56" s="1142"/>
      <c r="BB56" s="1142"/>
      <c r="BC56" s="1142"/>
      <c r="BD56" s="1142"/>
      <c r="BE56" s="1142"/>
      <c r="BF56" s="1142"/>
      <c r="BG56" s="1142"/>
      <c r="BH56" s="1142"/>
      <c r="BI56" s="1142"/>
      <c r="BJ56" s="1142"/>
      <c r="BK56" s="1142"/>
      <c r="BL56" s="1142"/>
      <c r="BM56" s="1142"/>
      <c r="BN56" s="1142"/>
      <c r="BO56" s="1142"/>
      <c r="BP56" s="1142"/>
      <c r="BQ56" s="1142"/>
      <c r="BR56" s="1142"/>
      <c r="BS56" s="1142"/>
      <c r="BT56" s="1142"/>
      <c r="BU56" s="1142"/>
      <c r="BV56" s="1142"/>
      <c r="BW56" s="1142"/>
      <c r="BX56" s="1142"/>
      <c r="BY56" s="1142"/>
      <c r="BZ56" s="1142"/>
      <c r="CA56" s="1142"/>
      <c r="CB56" s="1142"/>
      <c r="CC56" s="1142"/>
      <c r="CD56" s="1142"/>
      <c r="CE56" s="1142"/>
      <c r="CF56" s="1142"/>
      <c r="CG56" s="1142"/>
      <c r="CH56" s="1142"/>
      <c r="CI56" s="1142"/>
      <c r="CJ56" s="1142"/>
      <c r="CK56" s="1142"/>
      <c r="CL56" s="1142"/>
      <c r="CM56" s="1142"/>
      <c r="CN56" s="1142"/>
      <c r="CO56" s="1142"/>
      <c r="CP56" s="1142"/>
    </row>
    <row r="57" spans="5:94" ht="15.75" hidden="1" customHeight="1" x14ac:dyDescent="0.25">
      <c r="H57" s="1139"/>
      <c r="I57" s="1139"/>
      <c r="J57" s="1139"/>
      <c r="Q57" s="1145"/>
      <c r="R57" s="1145"/>
      <c r="S57" s="1145"/>
      <c r="T57" s="1145"/>
      <c r="U57" s="1145"/>
      <c r="V57" s="1145"/>
      <c r="W57" s="1157"/>
      <c r="X57" s="1157"/>
      <c r="Y57" s="1142"/>
      <c r="Z57" s="1645" t="s">
        <v>82</v>
      </c>
      <c r="AA57" s="1645"/>
      <c r="AB57" s="1645"/>
      <c r="AC57" s="1645"/>
      <c r="AD57" s="1645"/>
      <c r="AE57" s="1645"/>
      <c r="AF57" s="1645"/>
      <c r="AG57" s="1645"/>
      <c r="AH57" s="1645"/>
      <c r="AI57" s="1645"/>
      <c r="AJ57" s="1146"/>
      <c r="AK57" s="1146"/>
      <c r="AL57" s="1646" t="s">
        <v>83</v>
      </c>
      <c r="AM57" s="1646"/>
      <c r="AN57" s="1646"/>
      <c r="AO57" s="1646"/>
      <c r="AP57" s="1646"/>
      <c r="AQ57" s="1646"/>
      <c r="AR57" s="1646"/>
      <c r="AS57" s="1646"/>
      <c r="AT57" s="1142"/>
      <c r="AU57" s="1142"/>
      <c r="AV57" s="1142"/>
      <c r="AW57" s="1142"/>
      <c r="AX57" s="1142"/>
      <c r="AY57" s="1142"/>
      <c r="AZ57" s="1142"/>
      <c r="BA57" s="1142"/>
      <c r="BB57" s="1142"/>
      <c r="BC57" s="1142"/>
      <c r="BD57" s="1142"/>
      <c r="BE57" s="1142"/>
      <c r="BF57" s="1142"/>
      <c r="BG57" s="1142"/>
      <c r="BH57" s="1142"/>
      <c r="BI57" s="1142"/>
      <c r="BJ57" s="1142"/>
      <c r="BK57" s="1142"/>
      <c r="BL57" s="1142"/>
      <c r="BM57" s="1142"/>
      <c r="BN57" s="1142"/>
      <c r="BO57" s="1142"/>
      <c r="BP57" s="1142"/>
      <c r="BQ57" s="1142"/>
      <c r="BR57" s="1142"/>
      <c r="BS57" s="1142"/>
      <c r="BT57" s="1142"/>
      <c r="BU57" s="1142"/>
      <c r="BV57" s="1142"/>
      <c r="BW57" s="1142"/>
      <c r="BX57" s="1142"/>
      <c r="BY57" s="1142"/>
      <c r="BZ57" s="1142"/>
      <c r="CA57" s="1142"/>
      <c r="CB57" s="1142"/>
      <c r="CC57" s="1142"/>
      <c r="CD57" s="1142"/>
      <c r="CE57" s="1142"/>
      <c r="CF57" s="1142"/>
      <c r="CG57" s="1142"/>
      <c r="CH57" s="1142"/>
      <c r="CI57" s="1142"/>
      <c r="CJ57" s="1142"/>
      <c r="CK57" s="1142"/>
      <c r="CL57" s="1142"/>
      <c r="CM57" s="1142"/>
      <c r="CN57" s="1142"/>
      <c r="CO57" s="1142"/>
      <c r="CP57" s="1145"/>
    </row>
    <row r="58" spans="5:94" hidden="1" x14ac:dyDescent="0.25">
      <c r="H58" s="1139"/>
      <c r="I58" s="1139"/>
      <c r="J58" s="1139"/>
      <c r="Q58" s="1142"/>
      <c r="R58" s="1142"/>
      <c r="S58" s="1142"/>
      <c r="T58" s="1142"/>
      <c r="U58" s="1142"/>
      <c r="V58" s="1142"/>
      <c r="W58" s="1142"/>
      <c r="X58" s="1142"/>
      <c r="Y58" s="1142"/>
      <c r="Z58" s="1146"/>
      <c r="AA58" s="1146"/>
      <c r="AB58" s="1146"/>
      <c r="AC58" s="1146"/>
      <c r="AD58" s="1146"/>
      <c r="AE58" s="1146"/>
      <c r="AF58" s="1146"/>
      <c r="AG58" s="1146"/>
      <c r="AH58" s="1146"/>
      <c r="AI58" s="1146"/>
      <c r="AJ58" s="1146"/>
      <c r="AK58" s="1146"/>
      <c r="AL58" s="1146"/>
      <c r="AM58" s="1146"/>
      <c r="AN58" s="1146"/>
      <c r="AO58" s="1146"/>
      <c r="AP58" s="1146"/>
      <c r="AQ58" s="1146"/>
      <c r="AR58" s="1146"/>
      <c r="AS58" s="1142"/>
      <c r="AT58" s="1142"/>
      <c r="AU58" s="1142"/>
      <c r="AV58" s="1142"/>
      <c r="AW58" s="1142"/>
      <c r="AX58" s="1142"/>
      <c r="AY58" s="1142"/>
      <c r="AZ58" s="1142"/>
      <c r="BA58" s="1142"/>
      <c r="BB58" s="1142"/>
      <c r="BC58" s="1142"/>
      <c r="BD58" s="1142"/>
      <c r="BE58" s="1142"/>
      <c r="BF58" s="1142"/>
      <c r="BG58" s="1142"/>
      <c r="BH58" s="1142"/>
      <c r="BI58" s="1142"/>
      <c r="BJ58" s="1142"/>
      <c r="BK58" s="1142"/>
      <c r="BL58" s="1142"/>
      <c r="BM58" s="1142"/>
      <c r="BN58" s="1142"/>
      <c r="BO58" s="1142"/>
      <c r="BP58" s="1142"/>
      <c r="BQ58" s="1142"/>
      <c r="BR58" s="1142"/>
      <c r="BS58" s="1142"/>
      <c r="BT58" s="1142"/>
      <c r="BU58" s="1142"/>
      <c r="BV58" s="1142"/>
      <c r="BW58" s="1142"/>
      <c r="BX58" s="1142"/>
      <c r="BY58" s="1142"/>
      <c r="BZ58" s="1142"/>
      <c r="CA58" s="1142"/>
      <c r="CB58" s="1142"/>
      <c r="CC58" s="1142"/>
      <c r="CD58" s="1142"/>
      <c r="CE58" s="1142"/>
      <c r="CF58" s="1142"/>
      <c r="CG58" s="1142"/>
      <c r="CH58" s="1142"/>
      <c r="CI58" s="1142"/>
      <c r="CJ58" s="1142"/>
      <c r="CK58" s="1142"/>
      <c r="CL58" s="1142"/>
      <c r="CM58" s="1142"/>
      <c r="CN58" s="1142"/>
      <c r="CO58" s="1142"/>
      <c r="CP58" s="1142"/>
    </row>
    <row r="59" spans="5:94" x14ac:dyDescent="0.25">
      <c r="H59" s="1139"/>
      <c r="I59" s="1139"/>
      <c r="J59" s="1139"/>
      <c r="Q59" s="1139"/>
      <c r="R59" s="1139"/>
      <c r="S59" s="1139"/>
      <c r="T59" s="1139"/>
      <c r="U59" s="1139"/>
      <c r="V59" s="1139"/>
      <c r="W59" s="1139"/>
      <c r="X59" s="1139"/>
      <c r="Y59" s="1139"/>
      <c r="Z59" s="1140"/>
      <c r="AA59" s="1140"/>
      <c r="AB59" s="1140"/>
      <c r="AC59" s="1140"/>
      <c r="AD59" s="1140"/>
      <c r="AE59" s="1140"/>
      <c r="AF59" s="1140"/>
      <c r="AG59" s="1140"/>
      <c r="AH59" s="1140"/>
      <c r="AI59" s="1140"/>
      <c r="AJ59" s="1140"/>
      <c r="AK59" s="1140"/>
      <c r="AL59" s="1140"/>
      <c r="AM59" s="1140"/>
      <c r="AN59" s="1140"/>
      <c r="AO59" s="1140"/>
      <c r="AP59" s="1140"/>
      <c r="AQ59" s="1140"/>
      <c r="AR59" s="1140"/>
      <c r="AS59" s="1139"/>
      <c r="AT59" s="1139"/>
      <c r="AU59" s="1139"/>
      <c r="AV59" s="1139"/>
      <c r="AW59" s="1139"/>
      <c r="AX59" s="1139"/>
      <c r="AY59" s="1139"/>
      <c r="AZ59" s="1139"/>
      <c r="BA59" s="1139"/>
      <c r="BB59" s="1139"/>
      <c r="BC59" s="1139"/>
      <c r="BD59" s="1139"/>
      <c r="BE59" s="1139"/>
      <c r="BF59" s="1139"/>
      <c r="BG59" s="1139"/>
      <c r="BH59" s="1139"/>
      <c r="BI59" s="1139"/>
      <c r="BJ59" s="1139"/>
      <c r="BK59" s="1139"/>
      <c r="BL59" s="1139"/>
      <c r="BM59" s="1139"/>
      <c r="BN59" s="1139"/>
      <c r="BO59" s="1139"/>
      <c r="BP59" s="1139"/>
      <c r="BQ59" s="1139"/>
      <c r="BR59" s="1139"/>
      <c r="BS59" s="1139"/>
      <c r="BT59" s="1139"/>
      <c r="BU59" s="1139"/>
      <c r="BV59" s="1139"/>
      <c r="BW59" s="1139"/>
      <c r="BX59" s="1139"/>
      <c r="BY59" s="1139"/>
      <c r="BZ59" s="1139"/>
      <c r="CA59" s="1139"/>
      <c r="CB59" s="1139"/>
      <c r="CC59" s="1139"/>
      <c r="CD59" s="1139"/>
      <c r="CE59" s="1139"/>
      <c r="CF59" s="1139"/>
      <c r="CG59" s="1139"/>
      <c r="CH59" s="1139"/>
      <c r="CI59" s="1139"/>
      <c r="CJ59" s="1139"/>
      <c r="CK59" s="1139"/>
      <c r="CL59" s="1139"/>
      <c r="CM59" s="1139"/>
      <c r="CN59" s="1139"/>
      <c r="CO59" s="1139"/>
      <c r="CP59" s="1139"/>
    </row>
    <row r="60" spans="5:94" ht="15.75" customHeight="1" x14ac:dyDescent="0.25">
      <c r="H60" s="1139"/>
      <c r="I60" s="1139"/>
      <c r="J60" s="1139"/>
      <c r="Q60" s="1142"/>
      <c r="R60" s="1142"/>
      <c r="S60" s="1142"/>
      <c r="T60" s="1142"/>
      <c r="U60" s="1157"/>
      <c r="V60" s="1157"/>
      <c r="W60" s="1157"/>
      <c r="X60" s="1157"/>
      <c r="Y60" s="1142"/>
      <c r="Z60" s="1146"/>
      <c r="AA60" s="1146"/>
      <c r="AB60" s="1146"/>
      <c r="AC60" s="1146"/>
      <c r="AD60" s="1146"/>
      <c r="AE60" s="1146"/>
      <c r="AF60" s="1146"/>
      <c r="AG60" s="1146"/>
      <c r="AH60" s="1146"/>
      <c r="AI60" s="1146"/>
      <c r="AJ60" s="1146"/>
      <c r="AK60" s="1146"/>
      <c r="AL60" s="1146"/>
      <c r="AM60" s="1146"/>
      <c r="AN60" s="1146"/>
      <c r="AO60" s="1146"/>
      <c r="AP60" s="1146"/>
      <c r="AQ60" s="1146"/>
      <c r="AR60" s="1146"/>
      <c r="AS60" s="1142"/>
      <c r="AT60" s="1142"/>
      <c r="AU60" s="1142"/>
      <c r="AV60" s="1142"/>
      <c r="AW60" s="1142"/>
      <c r="AX60" s="1142"/>
      <c r="AY60" s="1142"/>
      <c r="AZ60" s="1142"/>
      <c r="BA60" s="1142"/>
      <c r="BB60" s="1142"/>
      <c r="BC60" s="1142"/>
      <c r="BD60" s="1142"/>
      <c r="BE60" s="1142"/>
      <c r="BF60" s="1142"/>
      <c r="BG60" s="1142"/>
      <c r="BH60" s="1142"/>
      <c r="BI60" s="1142"/>
      <c r="BJ60" s="1142"/>
      <c r="BK60" s="1142"/>
      <c r="BL60" s="1142"/>
      <c r="BM60" s="1142"/>
      <c r="BN60" s="1142"/>
      <c r="BO60" s="1142"/>
      <c r="BP60" s="1142"/>
      <c r="BQ60" s="1142"/>
      <c r="BR60" s="1142"/>
      <c r="BS60" s="1142"/>
      <c r="BT60" s="1142"/>
      <c r="BU60" s="1142"/>
      <c r="BV60" s="1142"/>
      <c r="BW60" s="1142"/>
      <c r="BX60" s="1142"/>
      <c r="BY60" s="1142"/>
      <c r="BZ60" s="1142"/>
      <c r="CA60" s="1142"/>
      <c r="CB60" s="1142"/>
      <c r="CC60" s="1142"/>
      <c r="CD60" s="1142"/>
      <c r="CE60" s="1142"/>
      <c r="CF60" s="1142"/>
      <c r="CG60" s="1142"/>
      <c r="CH60" s="1142"/>
      <c r="CI60" s="1142"/>
      <c r="CJ60" s="1142"/>
      <c r="CK60" s="1142"/>
      <c r="CL60" s="1142"/>
      <c r="CM60" s="1142"/>
      <c r="CN60" s="1142"/>
      <c r="CO60" s="1142"/>
      <c r="CP60" s="1142"/>
    </row>
    <row r="61" spans="5:94" ht="30" x14ac:dyDescent="0.25">
      <c r="H61" s="1141"/>
      <c r="I61" s="1141"/>
      <c r="J61" s="1141"/>
      <c r="Q61" s="1124" t="s">
        <v>84</v>
      </c>
      <c r="R61" s="1124"/>
      <c r="S61" s="1124"/>
      <c r="T61" s="1124"/>
      <c r="U61" s="1124"/>
      <c r="V61" s="1124"/>
      <c r="W61" s="1124"/>
      <c r="X61" s="1124"/>
      <c r="Y61" s="1124"/>
      <c r="Z61" s="1124"/>
      <c r="AA61" s="1124"/>
      <c r="AB61" s="1124"/>
      <c r="AC61" s="1124"/>
      <c r="AD61" s="1124"/>
      <c r="AE61" s="1124"/>
      <c r="AF61" s="1124"/>
      <c r="AG61" s="1124"/>
      <c r="AH61" s="1124"/>
      <c r="AI61" s="1124"/>
      <c r="AJ61" s="1124"/>
      <c r="AK61" s="1124"/>
      <c r="AL61" s="1124"/>
      <c r="AM61" s="1124"/>
      <c r="AN61" s="1124"/>
      <c r="AO61" s="1124"/>
      <c r="AP61" s="1124"/>
      <c r="AQ61" s="1124"/>
      <c r="AR61" s="1124"/>
      <c r="AS61" s="1124"/>
      <c r="AT61" s="1124"/>
      <c r="AU61" s="1124"/>
      <c r="AV61" s="1124"/>
      <c r="AW61" s="1124"/>
      <c r="AX61" s="1124"/>
      <c r="AY61" s="1124"/>
      <c r="AZ61" s="1124"/>
      <c r="BA61" s="1124"/>
      <c r="BB61" s="1124"/>
      <c r="BC61" s="1124"/>
      <c r="BD61" s="1124"/>
      <c r="BE61" s="1124"/>
      <c r="BF61" s="1124"/>
      <c r="BG61" s="1124"/>
      <c r="BH61" s="1124"/>
      <c r="BI61" s="1124"/>
      <c r="BJ61" s="1124"/>
      <c r="BK61" s="1124"/>
      <c r="BL61" s="1124"/>
      <c r="BM61" s="1124"/>
      <c r="BN61" s="1124"/>
      <c r="BO61" s="1124"/>
      <c r="BP61" s="1124"/>
      <c r="BQ61" s="1124"/>
      <c r="BR61" s="1124"/>
      <c r="BS61" s="1124"/>
      <c r="BT61" s="1124"/>
      <c r="BU61" s="1124"/>
      <c r="BV61" s="1124"/>
      <c r="BW61" s="1124"/>
      <c r="BX61" s="1124"/>
      <c r="BY61" s="1124"/>
      <c r="BZ61" s="1124"/>
      <c r="CA61" s="1124"/>
      <c r="CB61" s="1124"/>
      <c r="CC61" s="1124"/>
      <c r="CD61" s="1124"/>
      <c r="CE61" s="1124"/>
      <c r="CF61" s="1124"/>
      <c r="CG61" s="1124"/>
      <c r="CH61" s="1124"/>
      <c r="CI61" s="1124"/>
      <c r="CJ61" s="1124"/>
      <c r="CK61" s="1124"/>
      <c r="CL61" s="1124"/>
      <c r="CM61" s="1124"/>
      <c r="CN61" s="1124"/>
      <c r="CO61" s="1124"/>
      <c r="CP61" s="1124"/>
    </row>
    <row r="62" spans="5:94" ht="18" x14ac:dyDescent="0.25">
      <c r="Q62" s="1142"/>
      <c r="R62" s="1142"/>
      <c r="S62" s="1142"/>
      <c r="T62" s="1142"/>
      <c r="U62" s="1157"/>
      <c r="V62" s="1157"/>
      <c r="W62" s="1157"/>
      <c r="X62" s="1157"/>
      <c r="Y62" s="1142"/>
      <c r="Z62" s="1146"/>
      <c r="AA62" s="1146"/>
      <c r="AB62" s="1146"/>
      <c r="AC62" s="1146"/>
      <c r="AD62" s="1146"/>
      <c r="AE62" s="1146"/>
      <c r="AF62" s="1146"/>
      <c r="AG62" s="1146"/>
      <c r="AH62" s="1146"/>
      <c r="AI62" s="1146"/>
      <c r="AJ62" s="1146"/>
      <c r="AK62" s="1146"/>
      <c r="AL62" s="1146"/>
      <c r="AM62" s="1146"/>
      <c r="AN62" s="1146"/>
      <c r="AO62" s="1146"/>
      <c r="AP62" s="1146"/>
      <c r="AQ62" s="1146"/>
      <c r="AR62" s="1146"/>
      <c r="AS62" s="1142"/>
      <c r="AT62" s="1142"/>
      <c r="AU62" s="1142"/>
      <c r="AV62" s="1142"/>
      <c r="AW62" s="1142"/>
      <c r="AX62" s="1142"/>
      <c r="AY62" s="1142"/>
      <c r="AZ62" s="1142"/>
      <c r="BA62" s="1142"/>
      <c r="BB62" s="1142"/>
      <c r="BC62" s="1142"/>
      <c r="BD62" s="1142"/>
      <c r="BE62" s="1142"/>
      <c r="BF62" s="1142"/>
      <c r="BG62" s="1142"/>
      <c r="BH62" s="1142"/>
      <c r="BI62" s="1142"/>
      <c r="BJ62" s="1142"/>
      <c r="BK62" s="1142"/>
      <c r="BL62" s="1142"/>
      <c r="BM62" s="1142"/>
      <c r="BN62" s="1142"/>
      <c r="BO62" s="1142"/>
      <c r="BP62" s="1142"/>
      <c r="BQ62" s="1142"/>
      <c r="BR62" s="1142"/>
      <c r="BS62" s="1142"/>
      <c r="BT62" s="1142"/>
      <c r="BU62" s="1142"/>
      <c r="BV62" s="1142"/>
      <c r="BW62" s="1142"/>
      <c r="BX62" s="1142"/>
      <c r="BY62" s="1142"/>
      <c r="BZ62" s="1142"/>
      <c r="CA62" s="1142"/>
      <c r="CB62" s="1142"/>
      <c r="CC62" s="1142"/>
      <c r="CD62" s="1142"/>
      <c r="CE62" s="1142"/>
      <c r="CF62" s="1142"/>
      <c r="CG62" s="1142"/>
      <c r="CH62" s="1142"/>
      <c r="CI62" s="1142"/>
      <c r="CJ62" s="1142"/>
      <c r="CK62" s="1142"/>
      <c r="CL62" s="1142"/>
      <c r="CM62" s="1142"/>
      <c r="CN62" s="1142"/>
      <c r="CO62" s="1142"/>
      <c r="CP62" s="1142"/>
    </row>
    <row r="63" spans="5:94" ht="18" x14ac:dyDescent="0.25">
      <c r="Q63" s="1142"/>
      <c r="R63" s="1142"/>
      <c r="S63" s="1142"/>
      <c r="T63" s="1142"/>
      <c r="U63" s="1157"/>
      <c r="V63" s="1157"/>
      <c r="W63" s="1157"/>
      <c r="X63" s="1157"/>
      <c r="Y63" s="1142"/>
      <c r="Z63" s="1645" t="s">
        <v>85</v>
      </c>
      <c r="AA63" s="1645"/>
      <c r="AB63" s="1645"/>
      <c r="AC63" s="1645"/>
      <c r="AD63" s="1645"/>
      <c r="AE63" s="1645"/>
      <c r="AF63" s="1645"/>
      <c r="AG63" s="1645"/>
      <c r="AH63" s="1645"/>
      <c r="AI63" s="1645"/>
      <c r="AJ63" s="1142"/>
      <c r="AK63" s="1142"/>
      <c r="AL63" s="1649" t="str">
        <f ca="1">INDIRECT(dms_Model)</f>
        <v>Regulatory Reporting (Reset)</v>
      </c>
      <c r="AM63" s="1649"/>
      <c r="AN63" s="1649"/>
      <c r="AO63" s="1649"/>
      <c r="AP63" s="1649"/>
      <c r="AQ63" s="1649"/>
      <c r="AR63" s="1649"/>
      <c r="AS63" s="1649"/>
      <c r="AT63" s="1649"/>
      <c r="AU63" s="1649"/>
      <c r="AV63" s="1649"/>
      <c r="AW63" s="1649"/>
      <c r="AX63" s="1649"/>
      <c r="AY63" s="1649"/>
      <c r="AZ63" s="1649"/>
      <c r="BA63" s="1649"/>
      <c r="BB63" s="1142"/>
      <c r="BC63" s="1142"/>
      <c r="BD63" s="1142"/>
      <c r="BE63" s="1142"/>
      <c r="BF63" s="1142"/>
      <c r="BG63" s="1142"/>
      <c r="BH63" s="1142"/>
      <c r="BI63" s="1142"/>
      <c r="BJ63" s="1142"/>
      <c r="BK63" s="1142"/>
      <c r="BL63" s="1142"/>
      <c r="BM63" s="1142"/>
      <c r="BN63" s="1142"/>
      <c r="BO63" s="1142"/>
      <c r="BP63" s="1142"/>
      <c r="BQ63" s="1142"/>
      <c r="BR63" s="1142"/>
      <c r="BS63" s="1142"/>
      <c r="BT63" s="1142"/>
      <c r="BU63" s="1142"/>
      <c r="BV63" s="1142"/>
      <c r="BW63" s="1142"/>
      <c r="BX63" s="1142"/>
      <c r="BY63" s="1142"/>
      <c r="BZ63" s="1142"/>
      <c r="CA63" s="1142"/>
      <c r="CB63" s="1142"/>
      <c r="CC63" s="1142"/>
      <c r="CD63" s="1142"/>
      <c r="CE63" s="1142"/>
      <c r="CF63" s="1142"/>
      <c r="CG63" s="1142"/>
      <c r="CH63" s="1142"/>
      <c r="CI63" s="1142"/>
      <c r="CJ63" s="1142"/>
      <c r="CK63" s="1142"/>
      <c r="CL63" s="1142"/>
      <c r="CM63" s="1142"/>
      <c r="CN63" s="1142"/>
      <c r="CO63" s="1142"/>
      <c r="CP63" s="1142"/>
    </row>
    <row r="64" spans="5:94" ht="18" x14ac:dyDescent="0.25">
      <c r="Q64" s="1142"/>
      <c r="R64" s="1142"/>
      <c r="S64" s="1142"/>
      <c r="T64" s="1142"/>
      <c r="U64" s="1157"/>
      <c r="V64" s="1157"/>
      <c r="W64" s="1157"/>
      <c r="X64" s="1157"/>
      <c r="Y64" s="1142"/>
      <c r="Z64" s="1146"/>
      <c r="AA64" s="1146"/>
      <c r="AB64" s="1146"/>
      <c r="AC64" s="1146"/>
      <c r="AD64" s="1146"/>
      <c r="AE64" s="1146"/>
      <c r="AF64" s="1146"/>
      <c r="AG64" s="1146"/>
      <c r="AH64" s="1146"/>
      <c r="AI64" s="1146"/>
      <c r="AJ64" s="1146"/>
      <c r="AK64" s="1146"/>
      <c r="AL64" s="1146"/>
      <c r="AM64" s="1146"/>
      <c r="AN64" s="1146"/>
      <c r="AO64" s="1146"/>
      <c r="AP64" s="1146"/>
      <c r="AQ64" s="1146"/>
      <c r="AR64" s="1146"/>
      <c r="AS64" s="1142"/>
      <c r="AT64" s="1142"/>
      <c r="AU64" s="1142"/>
      <c r="AV64" s="1142"/>
      <c r="AW64" s="1142"/>
      <c r="AX64" s="1142"/>
      <c r="AY64" s="1142"/>
      <c r="AZ64" s="1142"/>
      <c r="BA64" s="1142"/>
      <c r="BB64" s="1142"/>
      <c r="BC64" s="1142"/>
      <c r="BD64" s="1142"/>
      <c r="BE64" s="1142"/>
      <c r="BF64" s="1142"/>
      <c r="BG64" s="1142"/>
      <c r="BH64" s="1142"/>
      <c r="BI64" s="1142"/>
      <c r="BJ64" s="1142"/>
      <c r="BK64" s="1142"/>
      <c r="BL64" s="1142"/>
      <c r="BM64" s="1142"/>
      <c r="BN64" s="1142"/>
      <c r="BO64" s="1142"/>
      <c r="BP64" s="1142"/>
      <c r="BQ64" s="1142"/>
      <c r="BR64" s="1142"/>
      <c r="BS64" s="1142"/>
      <c r="BT64" s="1142"/>
      <c r="BU64" s="1142"/>
      <c r="BV64" s="1142"/>
      <c r="BW64" s="1142"/>
      <c r="BX64" s="1142"/>
      <c r="BY64" s="1142"/>
      <c r="BZ64" s="1142"/>
      <c r="CA64" s="1142"/>
      <c r="CB64" s="1142"/>
      <c r="CC64" s="1142"/>
      <c r="CD64" s="1142"/>
      <c r="CE64" s="1142"/>
      <c r="CF64" s="1142"/>
      <c r="CG64" s="1142"/>
      <c r="CH64" s="1142"/>
      <c r="CI64" s="1142"/>
      <c r="CJ64" s="1142"/>
      <c r="CK64" s="1142"/>
      <c r="CL64" s="1142"/>
      <c r="CM64" s="1142"/>
      <c r="CN64" s="1142"/>
      <c r="CO64" s="1142"/>
      <c r="CP64" s="1142"/>
    </row>
    <row r="65" spans="8:94" ht="15.75" customHeight="1" x14ac:dyDescent="0.25">
      <c r="H65" s="1139"/>
      <c r="I65" s="1139"/>
      <c r="J65" s="1139"/>
      <c r="Q65" s="1145"/>
      <c r="R65" s="1145"/>
      <c r="S65" s="1145"/>
      <c r="T65" s="1145"/>
      <c r="U65" s="1145"/>
      <c r="V65" s="1145"/>
      <c r="W65" s="1146"/>
      <c r="X65" s="1146"/>
      <c r="Y65" s="1146"/>
      <c r="Z65" s="1645" t="s">
        <v>86</v>
      </c>
      <c r="AA65" s="1645"/>
      <c r="AB65" s="1645"/>
      <c r="AC65" s="1645"/>
      <c r="AD65" s="1645"/>
      <c r="AE65" s="1645"/>
      <c r="AF65" s="1645"/>
      <c r="AG65" s="1645"/>
      <c r="AH65" s="1645"/>
      <c r="AI65" s="1645"/>
      <c r="AJ65" s="1142"/>
      <c r="AK65" s="1142"/>
      <c r="AL65" s="1654" t="s">
        <v>87</v>
      </c>
      <c r="AM65" s="1654"/>
      <c r="AN65" s="1654"/>
      <c r="AO65" s="1654"/>
      <c r="AP65" s="1654"/>
      <c r="AQ65" s="1654"/>
      <c r="AR65" s="1654"/>
      <c r="AS65" s="1654"/>
      <c r="AT65" s="1654"/>
      <c r="AU65" s="1654"/>
      <c r="AV65" s="1654"/>
      <c r="AW65" s="1654"/>
      <c r="AX65" s="1654"/>
      <c r="AY65" s="1654"/>
      <c r="AZ65" s="1654"/>
      <c r="BA65" s="1654"/>
      <c r="BB65" s="1142"/>
      <c r="BC65" s="1142"/>
      <c r="BD65" s="1142"/>
      <c r="BE65" s="1142"/>
      <c r="BF65" s="1142"/>
      <c r="BG65" s="1142"/>
      <c r="BH65" s="1142"/>
      <c r="BI65" s="1142"/>
      <c r="BJ65" s="1142"/>
      <c r="BK65" s="1142"/>
      <c r="BL65" s="1142"/>
      <c r="BM65" s="1142"/>
      <c r="BN65" s="1142"/>
      <c r="BO65" s="1142"/>
      <c r="BP65" s="1142"/>
      <c r="BQ65" s="1142"/>
      <c r="BR65" s="1142"/>
      <c r="BS65" s="1142"/>
      <c r="BT65" s="1142"/>
      <c r="BU65" s="1142"/>
      <c r="BV65" s="1142"/>
      <c r="BW65" s="1142"/>
      <c r="BX65" s="1142"/>
      <c r="BY65" s="1142"/>
      <c r="BZ65" s="1142"/>
      <c r="CA65" s="1142"/>
      <c r="CB65" s="1142"/>
      <c r="CC65" s="1142"/>
      <c r="CD65" s="1142"/>
      <c r="CE65" s="1142"/>
      <c r="CF65" s="1142"/>
      <c r="CG65" s="1142"/>
      <c r="CH65" s="1142"/>
      <c r="CI65" s="1142"/>
      <c r="CJ65" s="1142"/>
      <c r="CK65" s="1142"/>
      <c r="CL65" s="1142"/>
      <c r="CM65" s="1142"/>
      <c r="CN65" s="1142"/>
      <c r="CO65" s="1142"/>
      <c r="CP65" s="1142"/>
    </row>
    <row r="66" spans="8:94" ht="15" customHeight="1" x14ac:dyDescent="0.25">
      <c r="H66" s="1139"/>
      <c r="I66" s="1139"/>
      <c r="J66" s="1139"/>
      <c r="Q66" s="1145"/>
      <c r="R66" s="1145"/>
      <c r="S66" s="1145"/>
      <c r="T66" s="1145"/>
      <c r="U66" s="1145"/>
      <c r="V66" s="1145"/>
      <c r="W66" s="1146"/>
      <c r="X66" s="1146"/>
      <c r="Y66" s="1146"/>
      <c r="Z66" s="1146"/>
      <c r="AA66" s="1146"/>
      <c r="AB66" s="1146"/>
      <c r="AC66" s="1146"/>
      <c r="AD66" s="1146"/>
      <c r="AE66" s="1146"/>
      <c r="AF66" s="1146"/>
      <c r="AG66" s="1146"/>
      <c r="AH66" s="1146"/>
      <c r="AI66" s="1142"/>
      <c r="AJ66" s="1142"/>
      <c r="AK66" s="1142"/>
      <c r="AL66" s="1142"/>
      <c r="AM66" s="1142"/>
      <c r="AN66" s="1142"/>
      <c r="AO66" s="1142"/>
      <c r="AP66" s="1142"/>
      <c r="AQ66" s="1142"/>
      <c r="AR66" s="1142"/>
      <c r="AS66" s="1142"/>
      <c r="AT66" s="1142"/>
      <c r="AU66" s="1142"/>
      <c r="AV66" s="1142"/>
      <c r="AW66" s="1142"/>
      <c r="AX66" s="1142"/>
      <c r="AY66" s="1142"/>
      <c r="AZ66" s="1142"/>
      <c r="BA66" s="1142"/>
      <c r="BB66" s="1142"/>
      <c r="BC66" s="1142"/>
      <c r="BD66" s="1142"/>
      <c r="BE66" s="1142"/>
      <c r="BF66" s="1142"/>
      <c r="BG66" s="1142"/>
      <c r="BH66" s="1142"/>
      <c r="BI66" s="1142"/>
      <c r="BJ66" s="1142"/>
      <c r="BK66" s="1142"/>
      <c r="BL66" s="1142"/>
      <c r="BM66" s="1142"/>
      <c r="BN66" s="1142"/>
      <c r="BO66" s="1142"/>
      <c r="BP66" s="1142"/>
      <c r="BQ66" s="1142"/>
      <c r="BR66" s="1142"/>
      <c r="BS66" s="1142"/>
      <c r="BT66" s="1142"/>
      <c r="BU66" s="1142"/>
      <c r="BV66" s="1142"/>
      <c r="BW66" s="1142"/>
      <c r="BX66" s="1142"/>
      <c r="BY66" s="1142"/>
      <c r="BZ66" s="1142"/>
      <c r="CA66" s="1142"/>
      <c r="CB66" s="1142"/>
      <c r="CC66" s="1142"/>
      <c r="CD66" s="1142"/>
      <c r="CE66" s="1142"/>
      <c r="CF66" s="1142"/>
      <c r="CG66" s="1142"/>
      <c r="CH66" s="1142"/>
      <c r="CI66" s="1142"/>
      <c r="CJ66" s="1142"/>
      <c r="CK66" s="1142"/>
      <c r="CL66" s="1142"/>
      <c r="CM66" s="1142"/>
      <c r="CN66" s="1142"/>
      <c r="CO66" s="1142"/>
      <c r="CP66" s="1142"/>
    </row>
    <row r="67" spans="8:94" ht="15.75" customHeight="1" x14ac:dyDescent="0.25">
      <c r="H67" s="1139"/>
      <c r="I67" s="1139"/>
      <c r="J67" s="1139"/>
      <c r="Q67" s="1145"/>
      <c r="R67" s="1145"/>
      <c r="S67" s="1145"/>
      <c r="T67" s="1145"/>
      <c r="U67" s="1145"/>
      <c r="V67" s="1145"/>
      <c r="W67" s="1145"/>
      <c r="X67" s="1145" t="s">
        <v>88</v>
      </c>
      <c r="Y67" s="1146"/>
      <c r="Z67" s="1645" t="s">
        <v>89</v>
      </c>
      <c r="AA67" s="1645"/>
      <c r="AB67" s="1645"/>
      <c r="AC67" s="1645"/>
      <c r="AD67" s="1645"/>
      <c r="AE67" s="1645"/>
      <c r="AF67" s="1645"/>
      <c r="AG67" s="1645"/>
      <c r="AH67" s="1645"/>
      <c r="AI67" s="1645"/>
      <c r="AJ67" s="1142"/>
      <c r="AK67" s="1142"/>
      <c r="AL67" s="1654" t="s">
        <v>90</v>
      </c>
      <c r="AM67" s="1654"/>
      <c r="AN67" s="1654"/>
      <c r="AO67" s="1654"/>
      <c r="AP67" s="1654"/>
      <c r="AQ67" s="1654"/>
      <c r="AR67" s="1654"/>
      <c r="AS67" s="1654"/>
      <c r="AT67" s="1654"/>
      <c r="AU67" s="1654"/>
      <c r="AV67" s="1654"/>
      <c r="AW67" s="1654"/>
      <c r="AX67" s="1654"/>
      <c r="AY67" s="1654"/>
      <c r="AZ67" s="1654"/>
      <c r="BA67" s="1654"/>
      <c r="BB67" s="1142"/>
      <c r="BC67" s="1142"/>
      <c r="BD67" s="1142"/>
      <c r="BE67" s="1142"/>
      <c r="BF67" s="1142"/>
      <c r="BG67" s="1142"/>
      <c r="BH67" s="1142"/>
      <c r="BI67" s="1142"/>
      <c r="BJ67" s="1142"/>
      <c r="BK67" s="1142"/>
      <c r="BL67" s="1142"/>
      <c r="BM67" s="1142"/>
      <c r="BN67" s="1142"/>
      <c r="BO67" s="1142"/>
      <c r="BP67" s="1142"/>
      <c r="BQ67" s="1142"/>
      <c r="BR67" s="1142"/>
      <c r="BS67" s="1142"/>
      <c r="BT67" s="1142"/>
      <c r="BU67" s="1142"/>
      <c r="BV67" s="1142"/>
      <c r="BW67" s="1142"/>
      <c r="BX67" s="1142"/>
      <c r="BY67" s="1142"/>
      <c r="BZ67" s="1142"/>
      <c r="CA67" s="1142"/>
      <c r="CB67" s="1142"/>
      <c r="CC67" s="1142"/>
      <c r="CD67" s="1142"/>
      <c r="CE67" s="1142"/>
      <c r="CF67" s="1142"/>
      <c r="CG67" s="1142"/>
      <c r="CH67" s="1142"/>
      <c r="CI67" s="1142"/>
      <c r="CJ67" s="1142"/>
      <c r="CK67" s="1142"/>
      <c r="CL67" s="1142"/>
      <c r="CM67" s="1142"/>
      <c r="CN67" s="1142"/>
      <c r="CO67" s="1146"/>
      <c r="CP67" s="1145"/>
    </row>
    <row r="68" spans="8:94" ht="15" customHeight="1" x14ac:dyDescent="0.25">
      <c r="H68" s="1139"/>
      <c r="I68" s="1139"/>
      <c r="J68" s="1139"/>
      <c r="Q68" s="1145"/>
      <c r="R68" s="1145"/>
      <c r="S68" s="1145"/>
      <c r="T68" s="1145"/>
      <c r="U68" s="1145"/>
      <c r="V68" s="1145"/>
      <c r="W68" s="1146"/>
      <c r="X68" s="1146"/>
      <c r="Y68" s="1146"/>
      <c r="Z68" s="1146"/>
      <c r="AA68" s="1146"/>
      <c r="AB68" s="1146"/>
      <c r="AC68" s="1146"/>
      <c r="AD68" s="1146"/>
      <c r="AE68" s="1146"/>
      <c r="AF68" s="1146"/>
      <c r="AG68" s="1146"/>
      <c r="AH68" s="1146"/>
      <c r="AI68" s="1142"/>
      <c r="AJ68" s="1142"/>
      <c r="AK68" s="1142"/>
      <c r="AL68" s="1142"/>
      <c r="AM68" s="1142"/>
      <c r="AN68" s="1142"/>
      <c r="AO68" s="1142"/>
      <c r="AP68" s="1142"/>
      <c r="AQ68" s="1142"/>
      <c r="AR68" s="1142"/>
      <c r="AS68" s="1142"/>
      <c r="AT68" s="1142"/>
      <c r="AU68" s="1142"/>
      <c r="AV68" s="1142"/>
      <c r="AW68" s="1142"/>
      <c r="AX68" s="1142"/>
      <c r="AY68" s="1142"/>
      <c r="AZ68" s="1142"/>
      <c r="BA68" s="1142"/>
      <c r="BB68" s="1142"/>
      <c r="BC68" s="1142"/>
      <c r="BD68" s="1142"/>
      <c r="BE68" s="1142"/>
      <c r="BF68" s="1142"/>
      <c r="BG68" s="1142"/>
      <c r="BH68" s="1142"/>
      <c r="BI68" s="1142"/>
      <c r="BJ68" s="1142"/>
      <c r="BK68" s="1142"/>
      <c r="BL68" s="1142"/>
      <c r="BM68" s="1142"/>
      <c r="BN68" s="1142"/>
      <c r="BO68" s="1142"/>
      <c r="BP68" s="1142"/>
      <c r="BQ68" s="1142"/>
      <c r="BR68" s="1142"/>
      <c r="BS68" s="1142"/>
      <c r="BT68" s="1142"/>
      <c r="BU68" s="1142"/>
      <c r="BV68" s="1142"/>
      <c r="BW68" s="1142"/>
      <c r="BX68" s="1142"/>
      <c r="BY68" s="1142"/>
      <c r="BZ68" s="1142"/>
      <c r="CA68" s="1142"/>
      <c r="CB68" s="1142"/>
      <c r="CC68" s="1142"/>
      <c r="CD68" s="1142"/>
      <c r="CE68" s="1142"/>
      <c r="CF68" s="1142"/>
      <c r="CG68" s="1142"/>
      <c r="CH68" s="1142"/>
      <c r="CI68" s="1142"/>
      <c r="CJ68" s="1142"/>
      <c r="CK68" s="1142"/>
      <c r="CL68" s="1142"/>
      <c r="CM68" s="1142"/>
      <c r="CN68" s="1142"/>
      <c r="CO68" s="1146"/>
      <c r="CP68" s="1145"/>
    </row>
    <row r="69" spans="8:94" ht="15.75" customHeight="1" x14ac:dyDescent="0.25">
      <c r="H69" s="1139"/>
      <c r="I69" s="1139"/>
      <c r="J69" s="1139"/>
      <c r="Q69" s="1145"/>
      <c r="R69" s="1145"/>
      <c r="S69" s="1145"/>
      <c r="T69" s="1145"/>
      <c r="U69" s="1145"/>
      <c r="V69" s="1145"/>
      <c r="W69" s="1146"/>
      <c r="X69" s="1146"/>
      <c r="Y69" s="1146"/>
      <c r="Z69" s="1645" t="s">
        <v>91</v>
      </c>
      <c r="AA69" s="1645"/>
      <c r="AB69" s="1645"/>
      <c r="AC69" s="1645"/>
      <c r="AD69" s="1645"/>
      <c r="AE69" s="1645"/>
      <c r="AF69" s="1645"/>
      <c r="AG69" s="1645"/>
      <c r="AH69" s="1645"/>
      <c r="AI69" s="1645"/>
      <c r="AJ69" s="1142"/>
      <c r="AK69" s="1142"/>
      <c r="AL69" s="1654" t="s">
        <v>496</v>
      </c>
      <c r="AM69" s="1654"/>
      <c r="AN69" s="1654"/>
      <c r="AO69" s="1654"/>
      <c r="AP69" s="1654"/>
      <c r="AQ69" s="1654"/>
      <c r="AR69" s="1654"/>
      <c r="AS69" s="1654"/>
      <c r="AT69" s="1654"/>
      <c r="AU69" s="1654"/>
      <c r="AV69" s="1654"/>
      <c r="AW69" s="1654"/>
      <c r="AX69" s="1654"/>
      <c r="AY69" s="1654"/>
      <c r="AZ69" s="1654"/>
      <c r="BA69" s="1654"/>
      <c r="BB69" s="1142"/>
      <c r="BC69" s="1142"/>
      <c r="BD69" s="1142"/>
      <c r="BE69" s="1142"/>
      <c r="BF69" s="1142"/>
      <c r="BG69" s="1142"/>
      <c r="BH69" s="1142"/>
      <c r="BI69" s="1142"/>
      <c r="BJ69" s="1142"/>
      <c r="BK69" s="1142"/>
      <c r="BL69" s="1142"/>
      <c r="BM69" s="1142"/>
      <c r="BN69" s="1142"/>
      <c r="BO69" s="1142"/>
      <c r="BP69" s="1142"/>
      <c r="BQ69" s="1142"/>
      <c r="BR69" s="1142"/>
      <c r="BS69" s="1142"/>
      <c r="BT69" s="1142"/>
      <c r="BU69" s="1142"/>
      <c r="BV69" s="1142"/>
      <c r="BW69" s="1142"/>
      <c r="BX69" s="1142"/>
      <c r="BY69" s="1142"/>
      <c r="BZ69" s="1142"/>
      <c r="CA69" s="1142"/>
      <c r="CB69" s="1142"/>
      <c r="CC69" s="1142"/>
      <c r="CD69" s="1142"/>
      <c r="CE69" s="1142"/>
      <c r="CF69" s="1142"/>
      <c r="CG69" s="1142"/>
      <c r="CH69" s="1142"/>
      <c r="CI69" s="1142"/>
      <c r="CJ69" s="1142"/>
      <c r="CK69" s="1142"/>
      <c r="CL69" s="1142"/>
      <c r="CM69" s="1142"/>
      <c r="CN69" s="1142"/>
      <c r="CO69" s="1146"/>
      <c r="CP69" s="1145"/>
    </row>
    <row r="70" spans="8:94" ht="15" customHeight="1" x14ac:dyDescent="0.25">
      <c r="H70" s="1139"/>
      <c r="I70" s="1139"/>
      <c r="J70" s="1139"/>
      <c r="Q70" s="1145"/>
      <c r="R70" s="1145"/>
      <c r="S70" s="1145"/>
      <c r="T70" s="1145"/>
      <c r="U70" s="1145"/>
      <c r="V70" s="1145"/>
      <c r="W70" s="1146"/>
      <c r="X70" s="1146"/>
      <c r="Y70" s="1146"/>
      <c r="Z70" s="1146"/>
      <c r="AA70" s="1146"/>
      <c r="AB70" s="1146"/>
      <c r="AC70" s="1146"/>
      <c r="AD70" s="1146"/>
      <c r="AE70" s="1146"/>
      <c r="AF70" s="1146"/>
      <c r="AG70" s="1146"/>
      <c r="AH70" s="1146"/>
      <c r="AI70" s="1142"/>
      <c r="AJ70" s="1142"/>
      <c r="AK70" s="1142"/>
      <c r="AL70" s="1142"/>
      <c r="AM70" s="1142"/>
      <c r="AN70" s="1142"/>
      <c r="AO70" s="1142"/>
      <c r="AP70" s="1142"/>
      <c r="AQ70" s="1142"/>
      <c r="AR70" s="1142"/>
      <c r="AS70" s="1142"/>
      <c r="AT70" s="1142"/>
      <c r="AU70" s="1142"/>
      <c r="AV70" s="1142"/>
      <c r="AW70" s="1142"/>
      <c r="AX70" s="1142"/>
      <c r="AY70" s="1142"/>
      <c r="AZ70" s="1142"/>
      <c r="BA70" s="1142"/>
      <c r="BB70" s="1142"/>
      <c r="BC70" s="1142"/>
      <c r="BD70" s="1142"/>
      <c r="BE70" s="1142"/>
      <c r="BF70" s="1142"/>
      <c r="BG70" s="1142"/>
      <c r="BH70" s="1142"/>
      <c r="BI70" s="1142"/>
      <c r="BJ70" s="1142"/>
      <c r="BK70" s="1142"/>
      <c r="BL70" s="1142"/>
      <c r="BM70" s="1142"/>
      <c r="BN70" s="1142"/>
      <c r="BO70" s="1142"/>
      <c r="BP70" s="1142"/>
      <c r="BQ70" s="1142"/>
      <c r="BR70" s="1142"/>
      <c r="BS70" s="1142"/>
      <c r="BT70" s="1142"/>
      <c r="BU70" s="1142"/>
      <c r="BV70" s="1142"/>
      <c r="BW70" s="1142"/>
      <c r="BX70" s="1142"/>
      <c r="BY70" s="1142"/>
      <c r="BZ70" s="1142"/>
      <c r="CA70" s="1142"/>
      <c r="CB70" s="1142"/>
      <c r="CC70" s="1142"/>
      <c r="CD70" s="1142"/>
      <c r="CE70" s="1142"/>
      <c r="CF70" s="1142"/>
      <c r="CG70" s="1142"/>
      <c r="CH70" s="1142"/>
      <c r="CI70" s="1142"/>
      <c r="CJ70" s="1142"/>
      <c r="CK70" s="1142"/>
      <c r="CL70" s="1142"/>
      <c r="CM70" s="1142"/>
      <c r="CN70" s="1142"/>
      <c r="CO70" s="1146"/>
      <c r="CP70" s="1145"/>
    </row>
    <row r="71" spans="8:94" ht="77.25" customHeight="1" x14ac:dyDescent="0.25">
      <c r="H71" s="1139"/>
      <c r="I71" s="1139"/>
      <c r="J71" s="1139"/>
      <c r="Q71" s="1145"/>
      <c r="R71" s="1145"/>
      <c r="S71" s="1145"/>
      <c r="T71" s="1145"/>
      <c r="U71" s="1145"/>
      <c r="V71" s="1145"/>
      <c r="W71" s="1146"/>
      <c r="X71" s="1146"/>
      <c r="Y71" s="1146"/>
      <c r="Z71" s="1650" t="s">
        <v>93</v>
      </c>
      <c r="AA71" s="1650"/>
      <c r="AB71" s="1650"/>
      <c r="AC71" s="1650"/>
      <c r="AD71" s="1650"/>
      <c r="AE71" s="1650"/>
      <c r="AF71" s="1650"/>
      <c r="AG71" s="1650"/>
      <c r="AH71" s="1650"/>
      <c r="AI71" s="1650"/>
      <c r="AJ71" s="1142"/>
      <c r="AK71" s="1142"/>
      <c r="AL71" s="1651"/>
      <c r="AM71" s="1651"/>
      <c r="AN71" s="1651"/>
      <c r="AO71" s="1651"/>
      <c r="AP71" s="1651"/>
      <c r="AQ71" s="1651"/>
      <c r="AR71" s="1651"/>
      <c r="AS71" s="1651"/>
      <c r="AT71" s="1651"/>
      <c r="AU71" s="1651"/>
      <c r="AV71" s="1651"/>
      <c r="AW71" s="1651"/>
      <c r="AX71" s="1651"/>
      <c r="AY71" s="1651"/>
      <c r="AZ71" s="1651"/>
      <c r="BA71" s="1651"/>
      <c r="BB71" s="1651"/>
      <c r="BC71" s="1651"/>
      <c r="BD71" s="1651"/>
      <c r="BE71" s="1651"/>
      <c r="BF71" s="1651"/>
      <c r="BG71" s="1651"/>
      <c r="BH71" s="1651"/>
      <c r="BI71" s="1651"/>
      <c r="BJ71" s="1651"/>
      <c r="BK71" s="1651"/>
      <c r="BL71" s="1651"/>
      <c r="BM71" s="1651"/>
      <c r="BN71" s="1651"/>
      <c r="BO71" s="1651"/>
      <c r="BP71" s="1651"/>
      <c r="BQ71" s="1651"/>
      <c r="BR71" s="1651"/>
      <c r="BS71" s="1651"/>
      <c r="BT71" s="1651"/>
      <c r="BU71" s="1651"/>
      <c r="BV71" s="1651"/>
      <c r="BW71" s="1651"/>
      <c r="BX71" s="1651"/>
      <c r="BY71" s="1651"/>
      <c r="BZ71" s="1651"/>
      <c r="CA71" s="1651"/>
      <c r="CB71" s="1651"/>
      <c r="CC71" s="1651"/>
      <c r="CD71" s="1651"/>
      <c r="CE71" s="1142"/>
      <c r="CF71" s="1142"/>
      <c r="CG71" s="1142"/>
      <c r="CH71" s="1142"/>
      <c r="CI71" s="1142"/>
      <c r="CJ71" s="1142"/>
      <c r="CK71" s="1142"/>
      <c r="CL71" s="1142"/>
      <c r="CM71" s="1142"/>
      <c r="CN71" s="1142"/>
      <c r="CO71" s="1146"/>
      <c r="CP71" s="1145"/>
    </row>
    <row r="72" spans="8:94" ht="15" customHeight="1" x14ac:dyDescent="0.25">
      <c r="H72" s="1139"/>
      <c r="I72" s="1139"/>
      <c r="J72" s="1139"/>
      <c r="Q72" s="1145"/>
      <c r="R72" s="1145"/>
      <c r="S72" s="1145"/>
      <c r="T72" s="1145"/>
      <c r="U72" s="1145"/>
      <c r="V72" s="1145"/>
      <c r="W72" s="1146"/>
      <c r="X72" s="1146"/>
      <c r="Y72" s="1146"/>
      <c r="Z72" s="1146"/>
      <c r="AA72" s="1146"/>
      <c r="AB72" s="1146"/>
      <c r="AC72" s="1146"/>
      <c r="AD72" s="1146"/>
      <c r="AE72" s="1146"/>
      <c r="AF72" s="1146"/>
      <c r="AG72" s="1146"/>
      <c r="AH72" s="1146"/>
      <c r="AI72" s="1142"/>
      <c r="AJ72" s="1142"/>
      <c r="AK72" s="1142"/>
      <c r="AL72" s="1142"/>
      <c r="AM72" s="1142"/>
      <c r="AN72" s="1142"/>
      <c r="AO72" s="1142"/>
      <c r="AP72" s="1142"/>
      <c r="AQ72" s="1142"/>
      <c r="AR72" s="1142"/>
      <c r="AS72" s="1142"/>
      <c r="AT72" s="1142"/>
      <c r="AU72" s="1142"/>
      <c r="AV72" s="1142"/>
      <c r="AW72" s="1142"/>
      <c r="AX72" s="1142"/>
      <c r="AY72" s="1142"/>
      <c r="AZ72" s="1142"/>
      <c r="BA72" s="1142"/>
      <c r="BB72" s="1142"/>
      <c r="BC72" s="1142"/>
      <c r="BD72" s="1142"/>
      <c r="BE72" s="1142"/>
      <c r="BF72" s="1142"/>
      <c r="BG72" s="1142"/>
      <c r="BH72" s="1142"/>
      <c r="BI72" s="1142"/>
      <c r="BJ72" s="1142"/>
      <c r="BK72" s="1142"/>
      <c r="BL72" s="1142"/>
      <c r="BM72" s="1142"/>
      <c r="BN72" s="1142"/>
      <c r="BO72" s="1142"/>
      <c r="BP72" s="1142"/>
      <c r="BQ72" s="1142"/>
      <c r="BR72" s="1142"/>
      <c r="BS72" s="1142"/>
      <c r="BT72" s="1142"/>
      <c r="BU72" s="1142"/>
      <c r="BV72" s="1142"/>
      <c r="BW72" s="1142"/>
      <c r="BX72" s="1142"/>
      <c r="BY72" s="1142"/>
      <c r="BZ72" s="1142"/>
      <c r="CA72" s="1142"/>
      <c r="CB72" s="1142"/>
      <c r="CC72" s="1142"/>
      <c r="CD72" s="1142"/>
      <c r="CE72" s="1142"/>
      <c r="CF72" s="1142"/>
      <c r="CG72" s="1142"/>
      <c r="CH72" s="1142"/>
      <c r="CI72" s="1142"/>
      <c r="CJ72" s="1142"/>
      <c r="CK72" s="1142"/>
      <c r="CL72" s="1142"/>
      <c r="CM72" s="1142"/>
      <c r="CN72" s="1142"/>
      <c r="CO72" s="1146"/>
      <c r="CP72" s="1145"/>
    </row>
    <row r="73" spans="8:94" ht="15.75" customHeight="1" x14ac:dyDescent="0.25">
      <c r="H73" s="1139"/>
      <c r="I73" s="1139"/>
      <c r="J73" s="1139"/>
      <c r="Q73" s="1145"/>
      <c r="R73" s="1145"/>
      <c r="S73" s="1145"/>
      <c r="T73" s="1145"/>
      <c r="U73" s="1145"/>
      <c r="V73" s="1145"/>
      <c r="W73" s="1146"/>
      <c r="X73" s="1146"/>
      <c r="Y73" s="1146"/>
      <c r="Z73" s="1645" t="s">
        <v>94</v>
      </c>
      <c r="AA73" s="1645"/>
      <c r="AB73" s="1645"/>
      <c r="AC73" s="1645"/>
      <c r="AD73" s="1645"/>
      <c r="AE73" s="1645"/>
      <c r="AF73" s="1645"/>
      <c r="AG73" s="1645"/>
      <c r="AH73" s="1645"/>
      <c r="AI73" s="1645"/>
      <c r="AJ73" s="1142"/>
      <c r="AK73" s="1142"/>
      <c r="AL73" s="1652">
        <v>45839</v>
      </c>
      <c r="AM73" s="1653"/>
      <c r="AN73" s="1653"/>
      <c r="AO73" s="1653"/>
      <c r="AP73" s="1653"/>
      <c r="AQ73" s="1653"/>
      <c r="AR73" s="1653"/>
      <c r="AS73" s="1653"/>
      <c r="AT73" s="1653"/>
      <c r="AU73" s="1653"/>
      <c r="AV73" s="1653"/>
      <c r="AW73" s="1653"/>
      <c r="AX73" s="1653"/>
      <c r="AY73" s="1653"/>
      <c r="AZ73" s="1653"/>
      <c r="BA73" s="1653"/>
      <c r="BB73" s="1142"/>
      <c r="BC73" s="1142"/>
      <c r="BD73" s="1188" t="s">
        <v>95</v>
      </c>
      <c r="BE73" s="1142"/>
      <c r="BF73" s="1142"/>
      <c r="BG73" s="1142"/>
      <c r="BH73" s="1142"/>
      <c r="BI73" s="1142"/>
      <c r="BJ73" s="1142"/>
      <c r="BK73" s="1142"/>
      <c r="BL73" s="1142"/>
      <c r="BM73" s="1142"/>
      <c r="BN73" s="1142"/>
      <c r="BO73" s="1142"/>
      <c r="BP73" s="1142"/>
      <c r="BQ73" s="1142"/>
      <c r="BR73" s="1142"/>
      <c r="BS73" s="1142"/>
      <c r="BT73" s="1142"/>
      <c r="BU73" s="1142"/>
      <c r="BV73" s="1142"/>
      <c r="BW73" s="1142"/>
      <c r="BX73" s="1142"/>
      <c r="BY73" s="1142"/>
      <c r="BZ73" s="1142"/>
      <c r="CA73" s="1142"/>
      <c r="CB73" s="1142"/>
      <c r="CC73" s="1142"/>
      <c r="CD73" s="1142"/>
      <c r="CE73" s="1142"/>
      <c r="CF73" s="1142"/>
      <c r="CG73" s="1142"/>
      <c r="CH73" s="1142"/>
      <c r="CI73" s="1142"/>
      <c r="CJ73" s="1142"/>
      <c r="CK73" s="1142"/>
      <c r="CL73" s="1142"/>
      <c r="CM73" s="1142"/>
      <c r="CN73" s="1142"/>
      <c r="CO73" s="1146"/>
      <c r="CP73" s="1145"/>
    </row>
    <row r="74" spans="8:94" x14ac:dyDescent="0.25">
      <c r="H74" s="1139"/>
      <c r="I74" s="1139"/>
      <c r="J74" s="1139"/>
      <c r="Q74" s="1146"/>
      <c r="R74" s="1146"/>
      <c r="S74" s="1146"/>
      <c r="T74" s="1146"/>
      <c r="U74" s="1146"/>
      <c r="V74" s="1146"/>
      <c r="W74" s="1146"/>
      <c r="X74" s="1146"/>
      <c r="Y74" s="1146"/>
      <c r="Z74" s="1146"/>
      <c r="AA74" s="1146"/>
      <c r="AB74" s="1146"/>
      <c r="AC74" s="1146"/>
      <c r="AD74" s="1146"/>
      <c r="AE74" s="1146"/>
      <c r="AF74" s="1146"/>
      <c r="AG74" s="1146"/>
      <c r="AH74" s="1146"/>
      <c r="AI74" s="1142"/>
      <c r="AJ74" s="1142"/>
      <c r="AK74" s="1142"/>
      <c r="AL74" s="1142"/>
      <c r="AM74" s="1142"/>
      <c r="AN74" s="1142"/>
      <c r="AO74" s="1142"/>
      <c r="AP74" s="1142"/>
      <c r="AQ74" s="1142"/>
      <c r="AR74" s="1142"/>
      <c r="AS74" s="1142"/>
      <c r="AT74" s="1142"/>
      <c r="AU74" s="1142"/>
      <c r="AV74" s="1142"/>
      <c r="AW74" s="1142"/>
      <c r="AX74" s="1142"/>
      <c r="AY74" s="1142"/>
      <c r="AZ74" s="1142"/>
      <c r="BA74" s="1142"/>
      <c r="BB74" s="1142"/>
      <c r="BC74" s="1142"/>
      <c r="BD74" s="1142"/>
      <c r="BE74" s="1142"/>
      <c r="BF74" s="1142"/>
      <c r="BG74" s="1142"/>
      <c r="BH74" s="1142"/>
      <c r="BI74" s="1142"/>
      <c r="BJ74" s="1142"/>
      <c r="BK74" s="1142"/>
      <c r="BL74" s="1142"/>
      <c r="BM74" s="1142"/>
      <c r="BN74" s="1142"/>
      <c r="BO74" s="1142"/>
      <c r="BP74" s="1142"/>
      <c r="BQ74" s="1142"/>
      <c r="BR74" s="1142"/>
      <c r="BS74" s="1142"/>
      <c r="BT74" s="1142"/>
      <c r="BU74" s="1142"/>
      <c r="BV74" s="1142"/>
      <c r="BW74" s="1142"/>
      <c r="BX74" s="1142"/>
      <c r="BY74" s="1142"/>
      <c r="BZ74" s="1142"/>
      <c r="CA74" s="1142"/>
      <c r="CB74" s="1142"/>
      <c r="CC74" s="1142"/>
      <c r="CD74" s="1142"/>
      <c r="CE74" s="1142"/>
      <c r="CF74" s="1142"/>
      <c r="CG74" s="1142"/>
      <c r="CH74" s="1142"/>
      <c r="CI74" s="1142"/>
      <c r="CJ74" s="1142"/>
      <c r="CK74" s="1142"/>
      <c r="CL74" s="1142"/>
      <c r="CM74" s="1142"/>
      <c r="CN74" s="1142"/>
      <c r="CO74" s="1146"/>
      <c r="CP74" s="1146"/>
    </row>
    <row r="75" spans="8:94" x14ac:dyDescent="0.25">
      <c r="H75" s="1139"/>
      <c r="I75" s="1139"/>
      <c r="J75" s="1139"/>
      <c r="Q75" s="1146"/>
      <c r="R75" s="1146"/>
      <c r="S75" s="1146"/>
      <c r="T75" s="1146"/>
      <c r="U75" s="1146"/>
      <c r="V75" s="1146"/>
      <c r="W75" s="1146"/>
      <c r="X75" s="1146"/>
      <c r="Y75" s="1146"/>
      <c r="Z75" s="1146"/>
      <c r="AA75" s="1146"/>
      <c r="AB75" s="1146"/>
      <c r="AC75" s="1146"/>
      <c r="AD75" s="1146"/>
      <c r="AE75" s="1146"/>
      <c r="AF75" s="1146"/>
      <c r="AG75" s="1146"/>
      <c r="AH75" s="1146"/>
      <c r="AI75" s="1142"/>
      <c r="AJ75" s="1142"/>
      <c r="AK75" s="1142"/>
      <c r="AL75" s="1142"/>
      <c r="AM75" s="1142"/>
      <c r="AN75" s="1142"/>
      <c r="AO75" s="1142"/>
      <c r="AP75" s="1142"/>
      <c r="AQ75" s="1142"/>
      <c r="AR75" s="1142"/>
      <c r="AS75" s="1142"/>
      <c r="AT75" s="1142"/>
      <c r="AU75" s="1142"/>
      <c r="AV75" s="1142"/>
      <c r="AW75" s="1142"/>
      <c r="AX75" s="1142"/>
      <c r="AY75" s="1142"/>
      <c r="AZ75" s="1142"/>
      <c r="BA75" s="1142"/>
      <c r="BB75" s="1142"/>
      <c r="BC75" s="1142"/>
      <c r="BD75" s="1142"/>
      <c r="BE75" s="1142"/>
      <c r="BF75" s="1142"/>
      <c r="BG75" s="1142"/>
      <c r="BH75" s="1142"/>
      <c r="BI75" s="1142"/>
      <c r="BJ75" s="1142"/>
      <c r="BK75" s="1142"/>
      <c r="BL75" s="1142"/>
      <c r="BM75" s="1142"/>
      <c r="BN75" s="1142"/>
      <c r="BO75" s="1142"/>
      <c r="BP75" s="1142"/>
      <c r="BQ75" s="1142"/>
      <c r="BR75" s="1142"/>
      <c r="BS75" s="1142"/>
      <c r="BT75" s="1142"/>
      <c r="BU75" s="1142"/>
      <c r="BV75" s="1142"/>
      <c r="BW75" s="1142"/>
      <c r="BX75" s="1142"/>
      <c r="BY75" s="1142"/>
      <c r="BZ75" s="1142"/>
      <c r="CA75" s="1142"/>
      <c r="CB75" s="1142"/>
      <c r="CC75" s="1142"/>
      <c r="CD75" s="1142"/>
      <c r="CE75" s="1142"/>
      <c r="CF75" s="1142"/>
      <c r="CG75" s="1142"/>
      <c r="CH75" s="1142"/>
      <c r="CI75" s="1142"/>
      <c r="CJ75" s="1142"/>
      <c r="CK75" s="1142"/>
      <c r="CL75" s="1142"/>
      <c r="CM75" s="1142"/>
      <c r="CN75" s="1142"/>
      <c r="CO75" s="1146"/>
      <c r="CP75" s="1146"/>
    </row>
    <row r="76" spans="8:94" ht="15.75" x14ac:dyDescent="0.25">
      <c r="H76" s="77"/>
      <c r="I76" s="77"/>
      <c r="J76" s="77"/>
      <c r="Q76" s="1158"/>
      <c r="R76" s="1158"/>
      <c r="S76" s="1158"/>
      <c r="T76" s="1158"/>
      <c r="U76" s="1158"/>
      <c r="V76" s="1158"/>
      <c r="W76" s="1158"/>
      <c r="X76" s="1158"/>
      <c r="Y76" s="1158"/>
      <c r="Z76" s="1158"/>
      <c r="AA76" s="1158"/>
      <c r="AB76" s="1158"/>
      <c r="AC76" s="1158"/>
      <c r="AD76" s="1158"/>
      <c r="AE76" s="1158"/>
      <c r="AF76" s="1158"/>
      <c r="AG76" s="1158"/>
      <c r="AH76" s="1158"/>
      <c r="AI76" s="1127"/>
      <c r="AJ76" s="1127"/>
      <c r="AK76" s="1127"/>
      <c r="AL76" s="1127"/>
      <c r="AM76" s="1127"/>
      <c r="AN76" s="1127"/>
      <c r="AO76" s="1127"/>
      <c r="AP76" s="1127"/>
      <c r="AQ76" s="1127"/>
      <c r="AR76" s="1127"/>
      <c r="AS76" s="1127"/>
      <c r="AT76" s="1127"/>
      <c r="AU76" s="1127"/>
      <c r="AV76" s="1127"/>
      <c r="AW76" s="1127"/>
      <c r="AX76" s="1127"/>
      <c r="AY76" s="1127"/>
      <c r="AZ76" s="1127"/>
      <c r="BA76" s="1127"/>
      <c r="BB76" s="1127"/>
      <c r="BC76" s="1127"/>
      <c r="BD76" s="1127"/>
      <c r="BE76" s="1127"/>
      <c r="BF76" s="1127"/>
      <c r="BG76" s="1127"/>
      <c r="BH76" s="1127"/>
      <c r="BI76" s="1127"/>
      <c r="BJ76" s="1127"/>
      <c r="BK76" s="1127"/>
      <c r="BL76" s="1127"/>
      <c r="BM76" s="1127"/>
      <c r="BN76" s="1127"/>
      <c r="BO76" s="1127"/>
      <c r="BP76" s="1127"/>
      <c r="BQ76" s="1127"/>
      <c r="BR76" s="1127"/>
      <c r="BS76" s="1127"/>
      <c r="BT76" s="1127"/>
      <c r="BU76" s="1127"/>
      <c r="BV76" s="1127"/>
      <c r="BW76" s="1127"/>
      <c r="BX76" s="1127"/>
      <c r="BY76" s="1127"/>
      <c r="BZ76" s="1127"/>
      <c r="CA76" s="1127"/>
      <c r="CB76" s="1127"/>
      <c r="CC76" s="1127"/>
      <c r="CD76" s="1127"/>
      <c r="CE76" s="1127"/>
      <c r="CF76" s="1127"/>
      <c r="CG76" s="1127"/>
      <c r="CH76" s="1127"/>
      <c r="CI76" s="1127"/>
      <c r="CJ76" s="1127"/>
      <c r="CK76" s="1127"/>
      <c r="CL76" s="1127"/>
      <c r="CM76" s="1127"/>
      <c r="CN76" s="1127"/>
      <c r="CO76" s="1158"/>
      <c r="CP76" s="1158"/>
    </row>
  </sheetData>
  <mergeCells count="103">
    <mergeCell ref="Z63:AI63"/>
    <mergeCell ref="AL63:BA63"/>
    <mergeCell ref="Z71:AI71"/>
    <mergeCell ref="AL71:CD71"/>
    <mergeCell ref="Z73:AI73"/>
    <mergeCell ref="AL73:BA73"/>
    <mergeCell ref="Z65:AI65"/>
    <mergeCell ref="AL65:BA65"/>
    <mergeCell ref="Z67:AI67"/>
    <mergeCell ref="AL67:BA67"/>
    <mergeCell ref="Z69:AI69"/>
    <mergeCell ref="AL69:BA69"/>
    <mergeCell ref="AL53:AS53"/>
    <mergeCell ref="AU53:BB53"/>
    <mergeCell ref="BD53:BK53"/>
    <mergeCell ref="BM53:BT53"/>
    <mergeCell ref="BV53:CC53"/>
    <mergeCell ref="Z55:AI55"/>
    <mergeCell ref="AL55:AS55"/>
    <mergeCell ref="Z57:AI57"/>
    <mergeCell ref="AL57:AS57"/>
    <mergeCell ref="Z51:AI51"/>
    <mergeCell ref="AL51:AS51"/>
    <mergeCell ref="AU51:BB51"/>
    <mergeCell ref="BD51:BK51"/>
    <mergeCell ref="BM51:BT51"/>
    <mergeCell ref="BV51:CC51"/>
    <mergeCell ref="AL52:AS52"/>
    <mergeCell ref="AU52:BB52"/>
    <mergeCell ref="BD52:BK52"/>
    <mergeCell ref="BM52:BT52"/>
    <mergeCell ref="BV52:CC52"/>
    <mergeCell ref="AL48:AS48"/>
    <mergeCell ref="AU48:BB48"/>
    <mergeCell ref="BD48:BK48"/>
    <mergeCell ref="BM48:BT48"/>
    <mergeCell ref="BV48:CC48"/>
    <mergeCell ref="AL49:AS49"/>
    <mergeCell ref="AU49:BB49"/>
    <mergeCell ref="BD49:BK49"/>
    <mergeCell ref="BM49:BT49"/>
    <mergeCell ref="BV49:CC49"/>
    <mergeCell ref="AL43:AS43"/>
    <mergeCell ref="AU43:BB43"/>
    <mergeCell ref="BD43:BK43"/>
    <mergeCell ref="BM43:BT43"/>
    <mergeCell ref="BV43:CC43"/>
    <mergeCell ref="Z47:AI47"/>
    <mergeCell ref="AL47:AS47"/>
    <mergeCell ref="AU47:BB47"/>
    <mergeCell ref="BD47:BK47"/>
    <mergeCell ref="BM47:BT47"/>
    <mergeCell ref="BV47:CC47"/>
    <mergeCell ref="Z45:AI45"/>
    <mergeCell ref="Z41:AI41"/>
    <mergeCell ref="AL41:AS41"/>
    <mergeCell ref="AU41:BB41"/>
    <mergeCell ref="BD41:BK41"/>
    <mergeCell ref="BM41:BT41"/>
    <mergeCell ref="BV41:CC41"/>
    <mergeCell ref="AL42:AS42"/>
    <mergeCell ref="AU42:BB42"/>
    <mergeCell ref="BD42:BK42"/>
    <mergeCell ref="BM42:BT42"/>
    <mergeCell ref="BV42:CC42"/>
    <mergeCell ref="V31:AJ31"/>
    <mergeCell ref="AL31:BG31"/>
    <mergeCell ref="BI31:BO31"/>
    <mergeCell ref="BQ31:CL31"/>
    <mergeCell ref="V32:AJ32"/>
    <mergeCell ref="AL32:BG32"/>
    <mergeCell ref="BI32:BO32"/>
    <mergeCell ref="BQ32:CL32"/>
    <mergeCell ref="V33:AJ33"/>
    <mergeCell ref="AL33:BG33"/>
    <mergeCell ref="BI33:BO33"/>
    <mergeCell ref="BQ33:CL33"/>
    <mergeCell ref="V23:AJ23"/>
    <mergeCell ref="AL23:BG23"/>
    <mergeCell ref="BI23:BO23"/>
    <mergeCell ref="BQ23:CL23"/>
    <mergeCell ref="V24:AJ24"/>
    <mergeCell ref="AL24:AZ24"/>
    <mergeCell ref="BI24:BO24"/>
    <mergeCell ref="BQ24:CE24"/>
    <mergeCell ref="V25:AJ25"/>
    <mergeCell ref="AL25:AO25"/>
    <mergeCell ref="AX25:AZ25"/>
    <mergeCell ref="BI25:BO25"/>
    <mergeCell ref="BQ25:BT25"/>
    <mergeCell ref="CC25:CE25"/>
    <mergeCell ref="H1:P3"/>
    <mergeCell ref="V4:BF4"/>
    <mergeCell ref="V7:BX7"/>
    <mergeCell ref="Q9:CP9"/>
    <mergeCell ref="V16:AJ16"/>
    <mergeCell ref="AL16:BG16"/>
    <mergeCell ref="V17:AJ17"/>
    <mergeCell ref="AL17:AW17"/>
    <mergeCell ref="V22:AJ22"/>
    <mergeCell ref="AL22:BG22"/>
    <mergeCell ref="BI22:BO22"/>
    <mergeCell ref="BQ22:CL22"/>
  </mergeCells>
  <conditionalFormatting sqref="AL42">
    <cfRule type="expression" dxfId="69" priority="34">
      <formula>dms_FRCPlength_Num&lt;6</formula>
    </cfRule>
  </conditionalFormatting>
  <conditionalFormatting sqref="AL43">
    <cfRule type="expression" dxfId="68" priority="26">
      <formula>dms_FRCPlength_Num&lt;11</formula>
    </cfRule>
  </conditionalFormatting>
  <conditionalFormatting sqref="AL48">
    <cfRule type="expression" dxfId="67" priority="30">
      <formula>dms_CRCPlength_Num&lt;6</formula>
    </cfRule>
  </conditionalFormatting>
  <conditionalFormatting sqref="AL49">
    <cfRule type="expression" dxfId="66" priority="20">
      <formula>dms_CRCPlength_Num&lt;11</formula>
    </cfRule>
  </conditionalFormatting>
  <conditionalFormatting sqref="AL52">
    <cfRule type="expression" dxfId="65" priority="11">
      <formula>dms_PRCPlength_Num&lt;6</formula>
    </cfRule>
  </conditionalFormatting>
  <conditionalFormatting sqref="AL53">
    <cfRule type="expression" dxfId="64" priority="10">
      <formula>dms_PRCPlength_Num&lt;11</formula>
    </cfRule>
  </conditionalFormatting>
  <conditionalFormatting sqref="AL41:AS41">
    <cfRule type="expression" dxfId="63" priority="28" stopIfTrue="1">
      <formula>(INDEX(dms_Model_Span_List,MATCH(dms_Model,dms_Model_List))&gt;1)</formula>
    </cfRule>
  </conditionalFormatting>
  <conditionalFormatting sqref="AL55:AS55">
    <cfRule type="expression" dxfId="62" priority="29" stopIfTrue="1">
      <formula>(INDEX(dms_Model_Span_List,MATCH(dms_Model,dms_Model_List))=1)</formula>
    </cfRule>
  </conditionalFormatting>
  <conditionalFormatting sqref="AL69:BA69">
    <cfRule type="cellIs" dxfId="61" priority="27" operator="equal">
      <formula>"Confidential"</formula>
    </cfRule>
  </conditionalFormatting>
  <conditionalFormatting sqref="AU42">
    <cfRule type="expression" dxfId="60" priority="33">
      <formula>dms_FRCPlength_Num&lt;7</formula>
    </cfRule>
  </conditionalFormatting>
  <conditionalFormatting sqref="AU43">
    <cfRule type="expression" dxfId="59" priority="15">
      <formula>dms_FRCPlength_Num&lt;12</formula>
    </cfRule>
  </conditionalFormatting>
  <conditionalFormatting sqref="AU48">
    <cfRule type="expression" dxfId="58" priority="24">
      <formula>dms_CRCPlength_Num&lt;7</formula>
    </cfRule>
  </conditionalFormatting>
  <conditionalFormatting sqref="AU49">
    <cfRule type="expression" dxfId="57" priority="19">
      <formula>dms_CRCPlength_Num&lt;12</formula>
    </cfRule>
  </conditionalFormatting>
  <conditionalFormatting sqref="AU52">
    <cfRule type="expression" dxfId="56" priority="9">
      <formula>dms_PRCPlength_Num&lt;7</formula>
    </cfRule>
  </conditionalFormatting>
  <conditionalFormatting sqref="AU53">
    <cfRule type="expression" dxfId="55" priority="5">
      <formula>dms_PRCPlength_Num&lt;12</formula>
    </cfRule>
  </conditionalFormatting>
  <conditionalFormatting sqref="BD42">
    <cfRule type="expression" dxfId="54" priority="32">
      <formula>dms_FRCPlength_Num&lt;8</formula>
    </cfRule>
  </conditionalFormatting>
  <conditionalFormatting sqref="BD43">
    <cfRule type="expression" dxfId="53" priority="14">
      <formula>dms_FRCPlength_Num&lt;13</formula>
    </cfRule>
  </conditionalFormatting>
  <conditionalFormatting sqref="BD48">
    <cfRule type="expression" dxfId="52" priority="23">
      <formula>dms_CRCPlength_Num&lt;8</formula>
    </cfRule>
  </conditionalFormatting>
  <conditionalFormatting sqref="BD49">
    <cfRule type="expression" dxfId="51" priority="18">
      <formula>dms_CRCPlength_Num&lt;13</formula>
    </cfRule>
  </conditionalFormatting>
  <conditionalFormatting sqref="BD52">
    <cfRule type="expression" dxfId="50" priority="8">
      <formula>dms_PRCPlength_Num&lt;8</formula>
    </cfRule>
  </conditionalFormatting>
  <conditionalFormatting sqref="BD53">
    <cfRule type="expression" dxfId="49" priority="4">
      <formula>dms_PRCPlength_Num&lt;13</formula>
    </cfRule>
  </conditionalFormatting>
  <conditionalFormatting sqref="BM42">
    <cfRule type="expression" dxfId="48" priority="25">
      <formula>dms_FRCPlength_Num&lt;9</formula>
    </cfRule>
  </conditionalFormatting>
  <conditionalFormatting sqref="BM43">
    <cfRule type="expression" dxfId="47" priority="13">
      <formula>dms_FRCPlength_Num&lt;14</formula>
    </cfRule>
  </conditionalFormatting>
  <conditionalFormatting sqref="BM48">
    <cfRule type="expression" dxfId="46" priority="22">
      <formula>dms_CRCPlength_Num&lt;9</formula>
    </cfRule>
  </conditionalFormatting>
  <conditionalFormatting sqref="BM49">
    <cfRule type="expression" dxfId="45" priority="17">
      <formula>dms_CRCPlength_Num&lt;14</formula>
    </cfRule>
  </conditionalFormatting>
  <conditionalFormatting sqref="BM52">
    <cfRule type="expression" dxfId="44" priority="7">
      <formula>dms_PRCPlength_Num&lt;9</formula>
    </cfRule>
  </conditionalFormatting>
  <conditionalFormatting sqref="BM53">
    <cfRule type="expression" dxfId="43" priority="3">
      <formula>dms_PRCPlength_Num&lt;14</formula>
    </cfRule>
  </conditionalFormatting>
  <conditionalFormatting sqref="BV41">
    <cfRule type="expression" dxfId="42" priority="1">
      <formula>dms_FRCPlength_Num&lt;5</formula>
    </cfRule>
  </conditionalFormatting>
  <conditionalFormatting sqref="BV42">
    <cfRule type="expression" dxfId="41" priority="31">
      <formula>dms_FRCPlength_Num&lt;10</formula>
    </cfRule>
  </conditionalFormatting>
  <conditionalFormatting sqref="BV43">
    <cfRule type="expression" dxfId="40" priority="12">
      <formula>dms_FRCPlength_Num&lt;15</formula>
    </cfRule>
  </conditionalFormatting>
  <conditionalFormatting sqref="BV48">
    <cfRule type="expression" dxfId="39" priority="21">
      <formula>dms_CRCPlength_Num&lt;10</formula>
    </cfRule>
  </conditionalFormatting>
  <conditionalFormatting sqref="BV49">
    <cfRule type="expression" dxfId="38" priority="16">
      <formula>dms_CRCPlength_Num&lt;15</formula>
    </cfRule>
  </conditionalFormatting>
  <conditionalFormatting sqref="BV52">
    <cfRule type="expression" dxfId="37" priority="6">
      <formula>dms_PRCPlength_Num&lt;10</formula>
    </cfRule>
  </conditionalFormatting>
  <conditionalFormatting sqref="BV53">
    <cfRule type="expression" dxfId="36" priority="2">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65:BA65" xr:uid="{00000000-0002-0000-0600-000001000000}">
      <formula1>dms_SourceList</formula1>
    </dataValidation>
    <dataValidation type="list" allowBlank="1" showInputMessage="1" showErrorMessage="1" sqref="AL67:BA67" xr:uid="{00000000-0002-0000-0600-000002000000}">
      <formula1>dms_DataQuality_List</formula1>
    </dataValidation>
    <dataValidation type="list" allowBlank="1" showInputMessage="1" showErrorMessage="1" sqref="AL69:BA69" xr:uid="{00000000-0002-0000-0600-000003000000}">
      <formula1>dms_Confid_status_List</formula1>
    </dataValidation>
    <dataValidation allowBlank="1" showInputMessage="1" showErrorMessage="1" promptTitle="Submission Date" prompt="-- enter date file submitted to AER -- " sqref="AL73:BA73" xr:uid="{00000000-0002-0000-0600-000004000000}"/>
    <dataValidation type="list" allowBlank="1" showInputMessage="1" showErrorMessage="1" sqref="AL41:AS41 AL55:AS55 AL57:AS57"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L190"/>
  <sheetViews>
    <sheetView showGridLines="0" topLeftCell="A17" zoomScaleNormal="100" workbookViewId="0">
      <selection activeCell="A25" sqref="A25"/>
    </sheetView>
  </sheetViews>
  <sheetFormatPr defaultColWidth="9.140625" defaultRowHeight="15" outlineLevelRow="2" x14ac:dyDescent="0.25"/>
  <cols>
    <col min="1" max="1" width="22.7109375" customWidth="1"/>
    <col min="2" max="2" width="46" customWidth="1"/>
    <col min="3" max="9" width="20.7109375" customWidth="1"/>
  </cols>
  <sheetData>
    <row r="1" spans="1:9" ht="30" customHeight="1" x14ac:dyDescent="0.25">
      <c r="A1" s="1112"/>
      <c r="B1" s="1112" t="str">
        <f>INDEX(dms_Worksheet_List,MATCH(dms_Model,dms_Model_List))</f>
        <v>REGULATORY REPORTING STATEMENT</v>
      </c>
      <c r="C1" s="26"/>
      <c r="D1" s="26"/>
      <c r="E1" s="26"/>
      <c r="F1" s="26"/>
      <c r="G1" s="1502" t="s">
        <v>96</v>
      </c>
      <c r="H1" s="1503" t="s">
        <v>97</v>
      </c>
      <c r="I1" s="26"/>
    </row>
    <row r="2" spans="1:9" ht="30" customHeight="1" x14ac:dyDescent="0.25">
      <c r="A2" s="1113"/>
      <c r="B2" s="1113" t="str">
        <f>dms_TradingNameFull</f>
        <v>Australian Gas Networks Limited (reporting data for SA)</v>
      </c>
      <c r="C2" s="26"/>
      <c r="D2" s="26"/>
      <c r="E2" s="26"/>
      <c r="F2" s="26"/>
      <c r="G2" s="1504" t="s">
        <v>98</v>
      </c>
      <c r="H2" s="1505" t="s">
        <v>92</v>
      </c>
      <c r="I2" s="26"/>
    </row>
    <row r="3" spans="1:9" ht="30" customHeight="1" x14ac:dyDescent="0.25">
      <c r="A3" s="1115"/>
      <c r="B3" s="1115" t="str">
        <f ca="1">dms_Header_Span</f>
        <v>2024-25 to 2030-31</v>
      </c>
      <c r="C3" s="26"/>
      <c r="D3" s="26"/>
      <c r="E3" s="26"/>
      <c r="F3" s="26"/>
      <c r="G3" s="1506" t="s">
        <v>99</v>
      </c>
      <c r="H3" s="1507" t="s">
        <v>100</v>
      </c>
      <c r="I3" s="26"/>
    </row>
    <row r="4" spans="1:9" ht="30" customHeight="1" x14ac:dyDescent="0.25">
      <c r="A4" s="621"/>
      <c r="B4" s="621" t="s">
        <v>101</v>
      </c>
      <c r="C4" s="621"/>
      <c r="D4" s="621"/>
      <c r="E4" s="621"/>
      <c r="F4" s="621"/>
      <c r="G4" s="1508" t="s">
        <v>102</v>
      </c>
      <c r="H4" s="1509" t="s">
        <v>103</v>
      </c>
      <c r="I4" s="621"/>
    </row>
    <row r="5" spans="1:9" ht="30" customHeight="1" x14ac:dyDescent="0.25">
      <c r="B5" s="1492" t="s">
        <v>104</v>
      </c>
      <c r="C5" s="1492"/>
      <c r="D5" s="1492"/>
      <c r="E5" s="1492"/>
      <c r="F5" s="1492"/>
      <c r="G5" s="1492"/>
      <c r="H5" s="1492"/>
      <c r="I5" s="1492"/>
    </row>
    <row r="6" spans="1:9" x14ac:dyDescent="0.25">
      <c r="B6" s="315"/>
    </row>
    <row r="7" spans="1:9" ht="15.75" thickBot="1" x14ac:dyDescent="0.3"/>
    <row r="8" spans="1:9" s="42" customFormat="1" ht="24.75" customHeight="1" thickBot="1" x14ac:dyDescent="0.25">
      <c r="A8" s="291"/>
      <c r="B8" s="32" t="s">
        <v>105</v>
      </c>
      <c r="C8" s="32"/>
      <c r="D8" s="32"/>
      <c r="E8" s="32"/>
      <c r="F8" s="32"/>
      <c r="G8" s="32"/>
      <c r="H8" s="32"/>
      <c r="I8" s="32"/>
    </row>
    <row r="9" spans="1:9" s="42" customFormat="1" ht="24.75" customHeight="1" outlineLevel="1" thickBot="1" x14ac:dyDescent="0.25">
      <c r="A9" s="291"/>
      <c r="B9" s="247" t="s">
        <v>106</v>
      </c>
      <c r="C9" s="248"/>
      <c r="D9" s="248"/>
      <c r="E9" s="248"/>
      <c r="F9" s="248"/>
      <c r="G9" s="248"/>
      <c r="H9" s="248"/>
      <c r="I9" s="249"/>
    </row>
    <row r="10" spans="1:9" s="290" customFormat="1" ht="17.25" customHeight="1" outlineLevel="2" x14ac:dyDescent="0.25">
      <c r="A10" s="289"/>
      <c r="B10" s="304"/>
      <c r="C10" s="1378" t="s">
        <v>24</v>
      </c>
      <c r="D10" s="1378"/>
      <c r="E10" s="1378"/>
      <c r="F10" s="1378"/>
      <c r="G10" s="1378"/>
      <c r="H10" s="1378"/>
      <c r="I10" s="1378"/>
    </row>
    <row r="11" spans="1:9" s="290" customFormat="1" ht="17.25" customHeight="1" outlineLevel="2" x14ac:dyDescent="0.25">
      <c r="A11" s="289"/>
      <c r="B11"/>
      <c r="C11" s="1378" t="str">
        <f ca="1">CONCATENATE("$, real ",dms_DollarReal)</f>
        <v>$, real June 2026</v>
      </c>
      <c r="D11" s="1378"/>
      <c r="E11" s="1378"/>
      <c r="F11" s="1378"/>
      <c r="G11" s="1378"/>
      <c r="H11" s="1378"/>
      <c r="I11" s="1378"/>
    </row>
    <row r="12" spans="1:9" s="290" customFormat="1" ht="17.25" customHeight="1" outlineLevel="2" thickBot="1" x14ac:dyDescent="0.3">
      <c r="A12" s="289"/>
      <c r="B12" s="319"/>
      <c r="C12" s="314" t="str">
        <f ca="1">dms_y1</f>
        <v>2024-25</v>
      </c>
      <c r="D12" s="314" t="str">
        <f ca="1">dms_y2</f>
        <v>2025-26</v>
      </c>
      <c r="E12" s="314" t="str">
        <f ca="1">dms_y3</f>
        <v>2026-27</v>
      </c>
      <c r="F12" s="314" t="str">
        <f ca="1">dms_y4</f>
        <v>2027-28</v>
      </c>
      <c r="G12" s="314" t="str">
        <f ca="1">dms_y5</f>
        <v>2028-29</v>
      </c>
      <c r="H12" s="314" t="str">
        <f ca="1">dms_y6</f>
        <v>2029-30</v>
      </c>
      <c r="I12" s="314" t="str">
        <f ca="1">dms_y7</f>
        <v>2030-31</v>
      </c>
    </row>
    <row r="13" spans="1:9" outlineLevel="2" x14ac:dyDescent="0.25">
      <c r="A13" s="253"/>
      <c r="B13" s="36" t="s">
        <v>107</v>
      </c>
      <c r="C13" s="276">
        <v>25138704.274822854</v>
      </c>
      <c r="D13" s="277">
        <v>28687816.789032873</v>
      </c>
      <c r="E13" s="276">
        <v>30055256.631225113</v>
      </c>
      <c r="F13" s="277">
        <v>35097099.247117035</v>
      </c>
      <c r="G13" s="277">
        <v>30945491.787000723</v>
      </c>
      <c r="H13" s="277">
        <v>30277234.731977332</v>
      </c>
      <c r="I13" s="280">
        <v>28590094.356472436</v>
      </c>
    </row>
    <row r="14" spans="1:9" outlineLevel="2" x14ac:dyDescent="0.25">
      <c r="A14" s="253"/>
      <c r="B14" s="36" t="s">
        <v>108</v>
      </c>
      <c r="C14" s="285">
        <v>69766495.342328072</v>
      </c>
      <c r="D14" s="271">
        <v>25012838.380550839</v>
      </c>
      <c r="E14" s="285">
        <v>16611725.654187214</v>
      </c>
      <c r="F14" s="663">
        <v>16735520.392704353</v>
      </c>
      <c r="G14" s="271">
        <v>17091858.228165515</v>
      </c>
      <c r="H14" s="271">
        <v>17272311.528288733</v>
      </c>
      <c r="I14" s="272">
        <v>17220174.877955977</v>
      </c>
    </row>
    <row r="15" spans="1:9" outlineLevel="2" x14ac:dyDescent="0.25">
      <c r="A15" s="253"/>
      <c r="B15" s="36" t="s">
        <v>109</v>
      </c>
      <c r="C15" s="285">
        <v>3502073.4817097778</v>
      </c>
      <c r="D15" s="271">
        <v>3466342.3284885925</v>
      </c>
      <c r="E15" s="1495">
        <v>0</v>
      </c>
      <c r="F15" s="1494">
        <v>3981916.0208123177</v>
      </c>
      <c r="G15" s="271">
        <v>0</v>
      </c>
      <c r="H15" s="1494">
        <v>2397243.4682528977</v>
      </c>
      <c r="I15" s="1493">
        <v>0</v>
      </c>
    </row>
    <row r="16" spans="1:9" outlineLevel="2" x14ac:dyDescent="0.25">
      <c r="A16" s="253"/>
      <c r="B16" s="36" t="s">
        <v>110</v>
      </c>
      <c r="C16" s="285">
        <v>415273.62463269202</v>
      </c>
      <c r="D16" s="271">
        <v>463641.59689957654</v>
      </c>
      <c r="E16" s="1495">
        <v>1218915.3175886143</v>
      </c>
      <c r="F16" s="1494">
        <v>693370.25148487301</v>
      </c>
      <c r="G16" s="1494">
        <v>649541.72836297669</v>
      </c>
      <c r="H16" s="1494">
        <v>620214.81302956969</v>
      </c>
      <c r="I16" s="1493">
        <v>625153.1254971528</v>
      </c>
    </row>
    <row r="17" spans="1:12" outlineLevel="2" x14ac:dyDescent="0.25">
      <c r="A17" s="253"/>
      <c r="B17" s="36" t="s">
        <v>111</v>
      </c>
      <c r="C17" s="285">
        <v>5068991.5837012762</v>
      </c>
      <c r="D17" s="271">
        <v>5459124.4883884434</v>
      </c>
      <c r="E17" s="1495">
        <v>8255694.0150508229</v>
      </c>
      <c r="F17" s="1494">
        <v>6915523.8239206374</v>
      </c>
      <c r="G17" s="1494">
        <v>6640589.9592575468</v>
      </c>
      <c r="H17" s="1494">
        <v>7846827.0073947925</v>
      </c>
      <c r="I17" s="1493">
        <v>8700858.9968069345</v>
      </c>
    </row>
    <row r="18" spans="1:12" outlineLevel="2" x14ac:dyDescent="0.25">
      <c r="A18" s="253"/>
      <c r="B18" s="36" t="s">
        <v>112</v>
      </c>
      <c r="C18" s="285">
        <v>11366870.210489875</v>
      </c>
      <c r="D18" s="271">
        <v>7711321.4797503315</v>
      </c>
      <c r="E18" s="1495">
        <v>11746252.576612324</v>
      </c>
      <c r="F18" s="1494">
        <v>37995196.16742029</v>
      </c>
      <c r="G18" s="1494">
        <v>12064016.023767624</v>
      </c>
      <c r="H18" s="1494">
        <v>21559958.899378777</v>
      </c>
      <c r="I18" s="1493">
        <v>8970740.2076866291</v>
      </c>
    </row>
    <row r="19" spans="1:12" outlineLevel="2" x14ac:dyDescent="0.25">
      <c r="A19" s="253"/>
      <c r="B19" s="36" t="s">
        <v>113</v>
      </c>
      <c r="C19" s="285">
        <v>11781390.280404253</v>
      </c>
      <c r="D19" s="271">
        <v>11799374.71414903</v>
      </c>
      <c r="E19" s="1495">
        <v>4411035.8938242365</v>
      </c>
      <c r="F19" s="1494">
        <v>4873030.4635531399</v>
      </c>
      <c r="G19" s="1494">
        <v>4392264.4209009623</v>
      </c>
      <c r="H19" s="1494">
        <v>4586069.3609559899</v>
      </c>
      <c r="I19" s="1493">
        <v>4330200.7759946082</v>
      </c>
    </row>
    <row r="20" spans="1:12" outlineLevel="2" x14ac:dyDescent="0.25">
      <c r="A20" s="253"/>
      <c r="B20" s="36" t="s">
        <v>114</v>
      </c>
      <c r="C20" s="285"/>
      <c r="D20" s="271"/>
      <c r="E20" s="1495"/>
      <c r="F20" s="1494"/>
      <c r="G20" s="1494"/>
      <c r="H20" s="1494"/>
      <c r="I20" s="1493"/>
    </row>
    <row r="21" spans="1:12" outlineLevel="2" x14ac:dyDescent="0.25">
      <c r="A21" s="253"/>
      <c r="B21" s="36" t="s">
        <v>115</v>
      </c>
      <c r="C21" s="298">
        <v>12694611.504413862</v>
      </c>
      <c r="D21" s="301">
        <v>15276404.766986119</v>
      </c>
      <c r="E21" s="298">
        <v>20538838.431981836</v>
      </c>
      <c r="F21" s="301">
        <v>19883988.939697389</v>
      </c>
      <c r="G21" s="301">
        <v>19699390.689800706</v>
      </c>
      <c r="H21" s="301">
        <v>20908424.728026956</v>
      </c>
      <c r="I21" s="302">
        <v>18567364.328436106</v>
      </c>
    </row>
    <row r="22" spans="1:12" ht="15.75" outlineLevel="2" thickBot="1" x14ac:dyDescent="0.3">
      <c r="A22" s="253"/>
      <c r="B22" s="36" t="s">
        <v>116</v>
      </c>
      <c r="C22" s="622"/>
      <c r="D22" s="623"/>
      <c r="E22" s="622"/>
      <c r="F22" s="623"/>
      <c r="G22" s="623"/>
      <c r="H22" s="623"/>
      <c r="I22" s="624"/>
    </row>
    <row r="23" spans="1:12" ht="15.75" outlineLevel="2" thickBot="1" x14ac:dyDescent="0.3">
      <c r="A23" s="253"/>
      <c r="B23" s="659" t="s">
        <v>117</v>
      </c>
      <c r="C23" s="296">
        <f t="shared" ref="C23:I23" si="0">SUM(C13:C21)-C22</f>
        <v>139734410.30250266</v>
      </c>
      <c r="D23" s="296">
        <f t="shared" si="0"/>
        <v>97876864.544245794</v>
      </c>
      <c r="E23" s="296">
        <f t="shared" si="0"/>
        <v>92837718.520470157</v>
      </c>
      <c r="F23" s="296">
        <f t="shared" si="0"/>
        <v>126175645.30671003</v>
      </c>
      <c r="G23" s="296">
        <f t="shared" si="0"/>
        <v>91483152.837256044</v>
      </c>
      <c r="H23" s="296">
        <f t="shared" si="0"/>
        <v>105468284.53730504</v>
      </c>
      <c r="I23" s="297">
        <f t="shared" si="0"/>
        <v>87004586.668849856</v>
      </c>
    </row>
    <row r="24" spans="1:12" s="253" customFormat="1" ht="15.75" outlineLevel="1" thickBot="1" x14ac:dyDescent="0.3">
      <c r="L24"/>
    </row>
    <row r="25" spans="1:12" s="42" customFormat="1" ht="24.75" customHeight="1" outlineLevel="1" thickBot="1" x14ac:dyDescent="0.3">
      <c r="A25" s="291"/>
      <c r="B25" s="247" t="s">
        <v>118</v>
      </c>
      <c r="C25" s="248"/>
      <c r="D25" s="248"/>
      <c r="E25" s="248"/>
      <c r="F25" s="248"/>
      <c r="G25" s="248"/>
      <c r="H25" s="248"/>
      <c r="I25" s="249"/>
      <c r="L25"/>
    </row>
    <row r="26" spans="1:12" outlineLevel="2" x14ac:dyDescent="0.25">
      <c r="A26" s="253"/>
      <c r="B26" s="584"/>
      <c r="C26" s="276"/>
      <c r="D26" s="280"/>
      <c r="E26" s="279"/>
      <c r="F26" s="277"/>
      <c r="G26" s="277"/>
      <c r="H26" s="277"/>
      <c r="I26" s="280"/>
    </row>
    <row r="27" spans="1:12" outlineLevel="2" x14ac:dyDescent="0.25">
      <c r="A27" s="253"/>
      <c r="B27" s="584"/>
      <c r="C27" s="281"/>
      <c r="D27" s="284"/>
      <c r="E27" s="283"/>
      <c r="F27" s="282"/>
      <c r="G27" s="282"/>
      <c r="H27" s="282"/>
      <c r="I27" s="284"/>
    </row>
    <row r="28" spans="1:12" outlineLevel="2" x14ac:dyDescent="0.25">
      <c r="A28" s="253"/>
      <c r="B28" s="584"/>
      <c r="C28" s="281"/>
      <c r="D28" s="284"/>
      <c r="E28" s="283"/>
      <c r="F28" s="282"/>
      <c r="G28" s="282"/>
      <c r="H28" s="282"/>
      <c r="I28" s="284"/>
    </row>
    <row r="29" spans="1:12" outlineLevel="2" x14ac:dyDescent="0.25">
      <c r="A29" s="253"/>
      <c r="B29" s="584"/>
      <c r="C29" s="281"/>
      <c r="D29" s="284"/>
      <c r="E29" s="283"/>
      <c r="F29" s="282"/>
      <c r="G29" s="282"/>
      <c r="H29" s="282"/>
      <c r="I29" s="284"/>
    </row>
    <row r="30" spans="1:12" outlineLevel="2" x14ac:dyDescent="0.25">
      <c r="A30" s="253"/>
      <c r="B30" s="584"/>
      <c r="C30" s="281"/>
      <c r="D30" s="284"/>
      <c r="E30" s="283"/>
      <c r="F30" s="282"/>
      <c r="G30" s="282"/>
      <c r="H30" s="282"/>
      <c r="I30" s="284"/>
    </row>
    <row r="31" spans="1:12" outlineLevel="2" x14ac:dyDescent="0.25">
      <c r="A31" s="253"/>
      <c r="B31" s="584"/>
      <c r="C31" s="281"/>
      <c r="D31" s="284"/>
      <c r="E31" s="283"/>
      <c r="F31" s="282"/>
      <c r="G31" s="282"/>
      <c r="H31" s="282"/>
      <c r="I31" s="284"/>
    </row>
    <row r="32" spans="1:12" outlineLevel="2" x14ac:dyDescent="0.25">
      <c r="A32" s="253"/>
      <c r="B32" s="584"/>
      <c r="C32" s="281"/>
      <c r="D32" s="284"/>
      <c r="E32" s="283"/>
      <c r="F32" s="282"/>
      <c r="G32" s="282"/>
      <c r="H32" s="282"/>
      <c r="I32" s="284"/>
    </row>
    <row r="33" spans="1:9" outlineLevel="2" x14ac:dyDescent="0.25">
      <c r="A33" s="253"/>
      <c r="B33" s="584"/>
      <c r="C33" s="281"/>
      <c r="D33" s="284"/>
      <c r="E33" s="283"/>
      <c r="F33" s="282"/>
      <c r="G33" s="282"/>
      <c r="H33" s="282"/>
      <c r="I33" s="284"/>
    </row>
    <row r="34" spans="1:9" outlineLevel="2" x14ac:dyDescent="0.25">
      <c r="A34" s="253"/>
      <c r="B34" s="584"/>
      <c r="C34" s="281"/>
      <c r="D34" s="284"/>
      <c r="E34" s="283"/>
      <c r="F34" s="282"/>
      <c r="G34" s="282"/>
      <c r="H34" s="282"/>
      <c r="I34" s="284"/>
    </row>
    <row r="35" spans="1:9" outlineLevel="2" x14ac:dyDescent="0.25">
      <c r="A35" s="253"/>
      <c r="B35" s="584"/>
      <c r="C35" s="281"/>
      <c r="D35" s="284"/>
      <c r="E35" s="283"/>
      <c r="F35" s="282"/>
      <c r="G35" s="282"/>
      <c r="H35" s="282"/>
      <c r="I35" s="284"/>
    </row>
    <row r="36" spans="1:9" outlineLevel="2" x14ac:dyDescent="0.25">
      <c r="A36" s="253"/>
      <c r="B36" s="584"/>
      <c r="C36" s="281"/>
      <c r="D36" s="284"/>
      <c r="E36" s="283"/>
      <c r="F36" s="282"/>
      <c r="G36" s="282"/>
      <c r="H36" s="282"/>
      <c r="I36" s="284"/>
    </row>
    <row r="37" spans="1:9" outlineLevel="2" x14ac:dyDescent="0.25">
      <c r="A37" s="253"/>
      <c r="B37" s="584"/>
      <c r="C37" s="281"/>
      <c r="D37" s="284"/>
      <c r="E37" s="283"/>
      <c r="F37" s="282"/>
      <c r="G37" s="282"/>
      <c r="H37" s="282"/>
      <c r="I37" s="284"/>
    </row>
    <row r="38" spans="1:9" outlineLevel="2" x14ac:dyDescent="0.25">
      <c r="A38" s="253"/>
      <c r="B38" s="584"/>
      <c r="C38" s="281"/>
      <c r="D38" s="284"/>
      <c r="E38" s="283"/>
      <c r="F38" s="282"/>
      <c r="G38" s="282"/>
      <c r="H38" s="282"/>
      <c r="I38" s="284"/>
    </row>
    <row r="39" spans="1:9" outlineLevel="2" x14ac:dyDescent="0.25">
      <c r="A39" s="253"/>
      <c r="B39" s="584"/>
      <c r="C39" s="281"/>
      <c r="D39" s="284"/>
      <c r="E39" s="283"/>
      <c r="F39" s="282"/>
      <c r="G39" s="282"/>
      <c r="H39" s="282"/>
      <c r="I39" s="284"/>
    </row>
    <row r="40" spans="1:9" outlineLevel="2" x14ac:dyDescent="0.25">
      <c r="A40" s="253"/>
      <c r="B40" s="584"/>
      <c r="C40" s="281"/>
      <c r="D40" s="284"/>
      <c r="E40" s="283"/>
      <c r="F40" s="282"/>
      <c r="G40" s="282"/>
      <c r="H40" s="282"/>
      <c r="I40" s="284"/>
    </row>
    <row r="41" spans="1:9" outlineLevel="2" x14ac:dyDescent="0.25">
      <c r="A41" s="253"/>
      <c r="B41" s="584"/>
      <c r="C41" s="281"/>
      <c r="D41" s="284"/>
      <c r="E41" s="283"/>
      <c r="F41" s="282"/>
      <c r="G41" s="282"/>
      <c r="H41" s="282"/>
      <c r="I41" s="284"/>
    </row>
    <row r="42" spans="1:9" outlineLevel="2" x14ac:dyDescent="0.25">
      <c r="A42" s="253"/>
      <c r="B42" s="584"/>
      <c r="C42" s="281"/>
      <c r="D42" s="284"/>
      <c r="E42" s="283"/>
      <c r="F42" s="282"/>
      <c r="G42" s="282"/>
      <c r="H42" s="282"/>
      <c r="I42" s="284"/>
    </row>
    <row r="43" spans="1:9" outlineLevel="2" x14ac:dyDescent="0.25">
      <c r="A43" s="253"/>
      <c r="B43" s="584"/>
      <c r="C43" s="281"/>
      <c r="D43" s="284"/>
      <c r="E43" s="283"/>
      <c r="F43" s="282"/>
      <c r="G43" s="282"/>
      <c r="H43" s="282"/>
      <c r="I43" s="284"/>
    </row>
    <row r="44" spans="1:9" outlineLevel="2" x14ac:dyDescent="0.25">
      <c r="A44" s="253"/>
      <c r="B44" s="584"/>
      <c r="C44" s="285"/>
      <c r="D44" s="272"/>
      <c r="E44" s="270"/>
      <c r="F44" s="271"/>
      <c r="G44" s="271"/>
      <c r="H44" s="271"/>
      <c r="I44" s="272"/>
    </row>
    <row r="45" spans="1:9" outlineLevel="2" x14ac:dyDescent="0.25">
      <c r="A45" s="253"/>
      <c r="B45" s="584"/>
      <c r="C45" s="285"/>
      <c r="D45" s="272"/>
      <c r="E45" s="270"/>
      <c r="F45" s="271"/>
      <c r="G45" s="271"/>
      <c r="H45" s="271"/>
      <c r="I45" s="272"/>
    </row>
    <row r="46" spans="1:9" outlineLevel="2" x14ac:dyDescent="0.25">
      <c r="A46" s="253"/>
      <c r="B46" s="584"/>
      <c r="C46" s="285"/>
      <c r="D46" s="272"/>
      <c r="E46" s="270"/>
      <c r="F46" s="271"/>
      <c r="G46" s="271"/>
      <c r="H46" s="271"/>
      <c r="I46" s="272"/>
    </row>
    <row r="47" spans="1:9" outlineLevel="2" x14ac:dyDescent="0.25">
      <c r="A47" s="253"/>
      <c r="B47" s="584"/>
      <c r="C47" s="285"/>
      <c r="D47" s="272"/>
      <c r="E47" s="270"/>
      <c r="F47" s="271"/>
      <c r="G47" s="271"/>
      <c r="H47" s="271"/>
      <c r="I47" s="272"/>
    </row>
    <row r="48" spans="1:9" outlineLevel="2" x14ac:dyDescent="0.25">
      <c r="A48" s="253"/>
      <c r="B48" s="584"/>
      <c r="C48" s="285"/>
      <c r="D48" s="272"/>
      <c r="E48" s="270"/>
      <c r="F48" s="271"/>
      <c r="G48" s="271"/>
      <c r="H48" s="271"/>
      <c r="I48" s="272"/>
    </row>
    <row r="49" spans="1:9" outlineLevel="2" x14ac:dyDescent="0.25">
      <c r="A49" s="253"/>
      <c r="B49" s="584"/>
      <c r="C49" s="285"/>
      <c r="D49" s="272"/>
      <c r="E49" s="270"/>
      <c r="F49" s="271"/>
      <c r="G49" s="271"/>
      <c r="H49" s="271"/>
      <c r="I49" s="272"/>
    </row>
    <row r="50" spans="1:9" outlineLevel="2" x14ac:dyDescent="0.25">
      <c r="A50" s="253"/>
      <c r="B50" s="1198"/>
      <c r="C50" s="298"/>
      <c r="D50" s="302"/>
      <c r="E50" s="300"/>
      <c r="F50" s="301"/>
      <c r="G50" s="301"/>
      <c r="H50" s="301"/>
      <c r="I50" s="302"/>
    </row>
    <row r="51" spans="1:9" ht="15.75" outlineLevel="2" thickBot="1" x14ac:dyDescent="0.3">
      <c r="A51" s="253"/>
      <c r="B51" s="1199" t="s">
        <v>119</v>
      </c>
      <c r="C51" s="320"/>
      <c r="D51" s="569"/>
      <c r="E51" s="321"/>
      <c r="F51" s="322"/>
      <c r="G51" s="322"/>
      <c r="H51" s="322"/>
      <c r="I51" s="569"/>
    </row>
    <row r="52" spans="1:9" ht="15.75" outlineLevel="2" thickBot="1" x14ac:dyDescent="0.3">
      <c r="A52" s="253"/>
      <c r="B52" s="659" t="s">
        <v>120</v>
      </c>
      <c r="C52" s="296">
        <f t="shared" ref="C52:I52" si="1">SUM(C26:C50)-C51</f>
        <v>0</v>
      </c>
      <c r="D52" s="296">
        <f t="shared" si="1"/>
        <v>0</v>
      </c>
      <c r="E52" s="296">
        <f t="shared" si="1"/>
        <v>0</v>
      </c>
      <c r="F52" s="296">
        <f t="shared" si="1"/>
        <v>0</v>
      </c>
      <c r="G52" s="296">
        <f t="shared" si="1"/>
        <v>0</v>
      </c>
      <c r="H52" s="296">
        <f t="shared" si="1"/>
        <v>0</v>
      </c>
      <c r="I52" s="297">
        <f t="shared" si="1"/>
        <v>0</v>
      </c>
    </row>
    <row r="53" spans="1:9" s="253" customFormat="1" ht="23.25" customHeight="1" outlineLevel="1" x14ac:dyDescent="0.25"/>
    <row r="54" spans="1:9" ht="15.75" thickBot="1" x14ac:dyDescent="0.3">
      <c r="B54" s="42"/>
    </row>
    <row r="55" spans="1:9" s="42" customFormat="1" ht="24.75" customHeight="1" thickBot="1" x14ac:dyDescent="0.25">
      <c r="A55" s="291"/>
      <c r="B55" s="32" t="s">
        <v>121</v>
      </c>
      <c r="C55" s="32"/>
      <c r="D55" s="32"/>
      <c r="E55" s="32"/>
      <c r="F55" s="32"/>
      <c r="G55" s="32"/>
      <c r="H55" s="32"/>
      <c r="I55" s="32"/>
    </row>
    <row r="56" spans="1:9" s="42" customFormat="1" ht="24.75" customHeight="1" outlineLevel="1" thickBot="1" x14ac:dyDescent="0.25">
      <c r="A56" s="291"/>
      <c r="B56" s="247" t="s">
        <v>122</v>
      </c>
      <c r="C56" s="248"/>
      <c r="D56" s="248"/>
      <c r="E56" s="248"/>
      <c r="F56" s="248"/>
      <c r="G56" s="248"/>
      <c r="H56" s="248"/>
      <c r="I56" s="249"/>
    </row>
    <row r="57" spans="1:9" s="290" customFormat="1" ht="17.25" customHeight="1" outlineLevel="2" x14ac:dyDescent="0.25">
      <c r="A57" s="289"/>
      <c r="B57" s="304"/>
      <c r="C57" s="1378" t="s">
        <v>24</v>
      </c>
      <c r="D57" s="1378"/>
      <c r="E57" s="1378"/>
      <c r="F57" s="1378"/>
      <c r="G57" s="1378"/>
      <c r="H57" s="1378"/>
      <c r="I57" s="1378"/>
    </row>
    <row r="58" spans="1:9" s="290" customFormat="1" ht="17.25" customHeight="1" outlineLevel="2" x14ac:dyDescent="0.25">
      <c r="A58" s="289"/>
      <c r="B58"/>
      <c r="C58" s="1378" t="str">
        <f ca="1">CONCATENATE("$, real ",dms_DollarReal)</f>
        <v>$, real June 2026</v>
      </c>
      <c r="D58" s="1378"/>
      <c r="E58" s="1378"/>
      <c r="F58" s="1378"/>
      <c r="G58" s="1378"/>
      <c r="H58" s="1378"/>
      <c r="I58" s="1378"/>
    </row>
    <row r="59" spans="1:9" s="290" customFormat="1" ht="17.25" customHeight="1" outlineLevel="2" thickBot="1" x14ac:dyDescent="0.3">
      <c r="A59" s="289"/>
      <c r="B59" s="319"/>
      <c r="C59" s="314" t="str">
        <f ca="1">dms_y1</f>
        <v>2024-25</v>
      </c>
      <c r="D59" s="314" t="str">
        <f ca="1">dms_y2</f>
        <v>2025-26</v>
      </c>
      <c r="E59" s="314" t="str">
        <f ca="1">dms_y3</f>
        <v>2026-27</v>
      </c>
      <c r="F59" s="314" t="str">
        <f ca="1">dms_y4</f>
        <v>2027-28</v>
      </c>
      <c r="G59" s="314" t="str">
        <f ca="1">dms_y5</f>
        <v>2028-29</v>
      </c>
      <c r="H59" s="314" t="str">
        <f ca="1">dms_y6</f>
        <v>2029-30</v>
      </c>
      <c r="I59" s="314" t="str">
        <f ca="1">dms_y7</f>
        <v>2030-31</v>
      </c>
    </row>
    <row r="60" spans="1:9" outlineLevel="2" x14ac:dyDescent="0.25">
      <c r="A60" s="253"/>
      <c r="B60" s="316" t="str">
        <f>'E20. Opex'!B45</f>
        <v>repairs and maintenance</v>
      </c>
      <c r="C60" s="1399">
        <f>'E20. Opex'!F45</f>
        <v>0</v>
      </c>
      <c r="D60" s="1400">
        <f>'E20. Opex'!G45</f>
        <v>0</v>
      </c>
      <c r="E60" s="1399">
        <f>'E20. Opex'!H45</f>
        <v>0</v>
      </c>
      <c r="F60" s="1400">
        <f>'E20. Opex'!I45</f>
        <v>0</v>
      </c>
      <c r="G60" s="1400">
        <f>'E20. Opex'!J45</f>
        <v>0</v>
      </c>
      <c r="H60" s="1400">
        <f>'E20. Opex'!K45</f>
        <v>0</v>
      </c>
      <c r="I60" s="1401">
        <f>'E20. Opex'!L45</f>
        <v>0</v>
      </c>
    </row>
    <row r="61" spans="1:9" outlineLevel="2" x14ac:dyDescent="0.25">
      <c r="A61" s="253"/>
      <c r="B61" s="316" t="str">
        <f>'E20. Opex'!B46</f>
        <v>marketing and retail incentives</v>
      </c>
      <c r="C61" s="1399">
        <f>'E20. Opex'!F46</f>
        <v>0</v>
      </c>
      <c r="D61" s="1400">
        <f>'E20. Opex'!G46</f>
        <v>0</v>
      </c>
      <c r="E61" s="1399">
        <f>'E20. Opex'!H46</f>
        <v>0</v>
      </c>
      <c r="F61" s="1400">
        <f>'E20. Opex'!I46</f>
        <v>0</v>
      </c>
      <c r="G61" s="1400">
        <f>'E20. Opex'!J46</f>
        <v>0</v>
      </c>
      <c r="H61" s="1400">
        <f>'E20. Opex'!K46</f>
        <v>0</v>
      </c>
      <c r="I61" s="1401">
        <f>'E20. Opex'!L46</f>
        <v>0</v>
      </c>
    </row>
    <row r="62" spans="1:9" outlineLevel="2" x14ac:dyDescent="0.25">
      <c r="A62" s="253"/>
      <c r="B62" s="316" t="str">
        <f>'E20. Opex'!B47</f>
        <v>debt raising</v>
      </c>
      <c r="C62" s="1399">
        <f>'E20. Opex'!F47</f>
        <v>0</v>
      </c>
      <c r="D62" s="1400">
        <f>'E20. Opex'!G47</f>
        <v>0</v>
      </c>
      <c r="E62" s="1399">
        <f>'E20. Opex'!H47</f>
        <v>0</v>
      </c>
      <c r="F62" s="1400">
        <f>'E20. Opex'!I47</f>
        <v>0</v>
      </c>
      <c r="G62" s="1400">
        <f>'E20. Opex'!J47</f>
        <v>0</v>
      </c>
      <c r="H62" s="1400">
        <f>'E20. Opex'!K47</f>
        <v>0</v>
      </c>
      <c r="I62" s="1401">
        <f>'E20. Opex'!L47</f>
        <v>0</v>
      </c>
    </row>
    <row r="63" spans="1:9" outlineLevel="2" x14ac:dyDescent="0.25">
      <c r="A63" s="253"/>
      <c r="B63" s="316" t="str">
        <f>'E20. Opex'!B48</f>
        <v>equity raising</v>
      </c>
      <c r="C63" s="1399">
        <f>'E20. Opex'!F48</f>
        <v>0</v>
      </c>
      <c r="D63" s="1400">
        <f>'E20. Opex'!G48</f>
        <v>0</v>
      </c>
      <c r="E63" s="1399">
        <f>'E20. Opex'!H48</f>
        <v>0</v>
      </c>
      <c r="F63" s="1400">
        <f>'E20. Opex'!I48</f>
        <v>0</v>
      </c>
      <c r="G63" s="1400">
        <f>'E20. Opex'!J48</f>
        <v>0</v>
      </c>
      <c r="H63" s="1400">
        <f>'E20. Opex'!K48</f>
        <v>0</v>
      </c>
      <c r="I63" s="1401">
        <f>'E20. Opex'!L48</f>
        <v>0</v>
      </c>
    </row>
    <row r="64" spans="1:9" outlineLevel="2" x14ac:dyDescent="0.25">
      <c r="A64" s="253"/>
      <c r="B64" s="316" t="str">
        <f>'E20. Opex'!B49</f>
        <v>unaccounted for gas</v>
      </c>
      <c r="C64" s="1399">
        <f>'E20. Opex'!F49</f>
        <v>0</v>
      </c>
      <c r="D64" s="1400">
        <f>'E20. Opex'!G49</f>
        <v>0</v>
      </c>
      <c r="E64" s="1399">
        <f>'E20. Opex'!H49</f>
        <v>0</v>
      </c>
      <c r="F64" s="1400">
        <f>'E20. Opex'!I49</f>
        <v>0</v>
      </c>
      <c r="G64" s="1400">
        <f>'E20. Opex'!J49</f>
        <v>0</v>
      </c>
      <c r="H64" s="1400">
        <f>'E20. Opex'!K49</f>
        <v>0</v>
      </c>
      <c r="I64" s="1401">
        <f>'E20. Opex'!L49</f>
        <v>0</v>
      </c>
    </row>
    <row r="65" spans="1:9" outlineLevel="2" x14ac:dyDescent="0.25">
      <c r="A65" s="253"/>
      <c r="B65" s="316" t="str">
        <f>'E20. Opex'!B50</f>
        <v>jurisdictional charges</v>
      </c>
      <c r="C65" s="1399">
        <f>'E20. Opex'!F50</f>
        <v>0</v>
      </c>
      <c r="D65" s="1400">
        <f>'E20. Opex'!G50</f>
        <v>0</v>
      </c>
      <c r="E65" s="1399">
        <f>'E20. Opex'!H50</f>
        <v>0</v>
      </c>
      <c r="F65" s="1400">
        <f>'E20. Opex'!I50</f>
        <v>0</v>
      </c>
      <c r="G65" s="1400">
        <f>'E20. Opex'!J50</f>
        <v>0</v>
      </c>
      <c r="H65" s="1400">
        <f>'E20. Opex'!K50</f>
        <v>0</v>
      </c>
      <c r="I65" s="1401">
        <f>'E20. Opex'!L50</f>
        <v>0</v>
      </c>
    </row>
    <row r="66" spans="1:9" outlineLevel="2" x14ac:dyDescent="0.25">
      <c r="A66" s="253"/>
      <c r="B66" s="316" t="str">
        <f>'E20. Opex'!B51</f>
        <v>GSL payments</v>
      </c>
      <c r="C66" s="1399">
        <f>'E20. Opex'!F51</f>
        <v>0</v>
      </c>
      <c r="D66" s="1400">
        <f>'E20. Opex'!G51</f>
        <v>0</v>
      </c>
      <c r="E66" s="1399">
        <f>'E20. Opex'!H51</f>
        <v>0</v>
      </c>
      <c r="F66" s="1400">
        <f>'E20. Opex'!I51</f>
        <v>0</v>
      </c>
      <c r="G66" s="1400">
        <f>'E20. Opex'!J51</f>
        <v>0</v>
      </c>
      <c r="H66" s="1400">
        <f>'E20. Opex'!K51</f>
        <v>0</v>
      </c>
      <c r="I66" s="1401">
        <f>'E20. Opex'!L51</f>
        <v>0</v>
      </c>
    </row>
    <row r="67" spans="1:9" ht="15.75" outlineLevel="2" thickBot="1" x14ac:dyDescent="0.3">
      <c r="A67" s="253"/>
      <c r="B67" s="316" t="str">
        <f>'E20. Opex'!B52</f>
        <v>other opex</v>
      </c>
      <c r="C67" s="1399">
        <f>'E20. Opex'!F52</f>
        <v>0</v>
      </c>
      <c r="D67" s="1400">
        <f>'E20. Opex'!G52</f>
        <v>0</v>
      </c>
      <c r="E67" s="1399">
        <f>'E20. Opex'!H52</f>
        <v>0</v>
      </c>
      <c r="F67" s="1400">
        <f>'E20. Opex'!I52</f>
        <v>0</v>
      </c>
      <c r="G67" s="1400">
        <f>'E20. Opex'!J52</f>
        <v>0</v>
      </c>
      <c r="H67" s="1400">
        <f>'E20. Opex'!K52</f>
        <v>0</v>
      </c>
      <c r="I67" s="1401">
        <f>'E20. Opex'!L52</f>
        <v>0</v>
      </c>
    </row>
    <row r="68" spans="1:9" ht="15.75" outlineLevel="2" thickBot="1" x14ac:dyDescent="0.3">
      <c r="A68" s="253"/>
      <c r="B68" s="659" t="s">
        <v>123</v>
      </c>
      <c r="C68" s="296">
        <f t="shared" ref="C68:I68" si="2">SUM(C60:C67)</f>
        <v>0</v>
      </c>
      <c r="D68" s="296">
        <f t="shared" si="2"/>
        <v>0</v>
      </c>
      <c r="E68" s="296">
        <f t="shared" si="2"/>
        <v>0</v>
      </c>
      <c r="F68" s="296">
        <f t="shared" si="2"/>
        <v>0</v>
      </c>
      <c r="G68" s="296">
        <f t="shared" si="2"/>
        <v>0</v>
      </c>
      <c r="H68" s="296">
        <f t="shared" si="2"/>
        <v>0</v>
      </c>
      <c r="I68" s="296">
        <f t="shared" si="2"/>
        <v>0</v>
      </c>
    </row>
    <row r="69" spans="1:9" s="253" customFormat="1" ht="15.75" outlineLevel="1" thickBot="1" x14ac:dyDescent="0.3"/>
    <row r="70" spans="1:9" s="42" customFormat="1" ht="24.75" customHeight="1" outlineLevel="1" thickBot="1" x14ac:dyDescent="0.25">
      <c r="A70" s="291"/>
      <c r="B70" s="247" t="s">
        <v>124</v>
      </c>
      <c r="C70" s="248"/>
      <c r="D70" s="248"/>
      <c r="E70" s="248"/>
      <c r="F70" s="248"/>
      <c r="G70" s="248"/>
      <c r="H70" s="248"/>
      <c r="I70" s="249"/>
    </row>
    <row r="71" spans="1:9" outlineLevel="2" x14ac:dyDescent="0.25">
      <c r="A71" s="253"/>
      <c r="B71" s="1246" t="str">
        <f>IF(ISBLANK('E20. Opex'!B59),"",'E20. Opex'!B59)</f>
        <v/>
      </c>
      <c r="C71" s="1232"/>
      <c r="D71" s="1234"/>
      <c r="E71" s="1239"/>
      <c r="F71" s="1233"/>
      <c r="G71" s="1233"/>
      <c r="H71" s="1233"/>
      <c r="I71" s="1234"/>
    </row>
    <row r="72" spans="1:9" outlineLevel="2" x14ac:dyDescent="0.25">
      <c r="A72" s="253"/>
      <c r="B72" s="1246" t="str">
        <f>IF(ISBLANK('E20. Opex'!B60),"",'E20. Opex'!B60)</f>
        <v/>
      </c>
      <c r="C72" s="1235"/>
      <c r="D72" s="629"/>
      <c r="E72" s="1240"/>
      <c r="F72" s="628"/>
      <c r="G72" s="628"/>
      <c r="H72" s="628"/>
      <c r="I72" s="629"/>
    </row>
    <row r="73" spans="1:9" outlineLevel="2" x14ac:dyDescent="0.25">
      <c r="A73" s="253"/>
      <c r="B73" s="1246" t="str">
        <f>IF(ISBLANK('E20. Opex'!B61),"",'E20. Opex'!B61)</f>
        <v/>
      </c>
      <c r="C73" s="1235"/>
      <c r="D73" s="629"/>
      <c r="E73" s="1240"/>
      <c r="F73" s="628"/>
      <c r="G73" s="628"/>
      <c r="H73" s="628"/>
      <c r="I73" s="629"/>
    </row>
    <row r="74" spans="1:9" outlineLevel="2" x14ac:dyDescent="0.25">
      <c r="A74" s="253"/>
      <c r="B74" s="1246" t="str">
        <f>IF(ISBLANK('E20. Opex'!B62),"",'E20. Opex'!B62)</f>
        <v/>
      </c>
      <c r="C74" s="1235"/>
      <c r="D74" s="629"/>
      <c r="E74" s="1240"/>
      <c r="F74" s="628"/>
      <c r="G74" s="628"/>
      <c r="H74" s="628"/>
      <c r="I74" s="629"/>
    </row>
    <row r="75" spans="1:9" outlineLevel="2" x14ac:dyDescent="0.25">
      <c r="A75" s="253"/>
      <c r="B75" s="1246" t="str">
        <f>IF(ISBLANK('E20. Opex'!B63),"",'E20. Opex'!B63)</f>
        <v/>
      </c>
      <c r="C75" s="1235"/>
      <c r="D75" s="629"/>
      <c r="E75" s="1240"/>
      <c r="F75" s="628"/>
      <c r="G75" s="628"/>
      <c r="H75" s="628"/>
      <c r="I75" s="629"/>
    </row>
    <row r="76" spans="1:9" outlineLevel="2" x14ac:dyDescent="0.25">
      <c r="A76" s="253"/>
      <c r="B76" s="1246" t="str">
        <f>IF(ISBLANK('E20. Opex'!B64),"",'E20. Opex'!B64)</f>
        <v/>
      </c>
      <c r="C76" s="1235"/>
      <c r="D76" s="629"/>
      <c r="E76" s="1240"/>
      <c r="F76" s="628"/>
      <c r="G76" s="628"/>
      <c r="H76" s="628"/>
      <c r="I76" s="629"/>
    </row>
    <row r="77" spans="1:9" outlineLevel="2" x14ac:dyDescent="0.25">
      <c r="A77" s="253"/>
      <c r="B77" s="1246" t="str">
        <f>IF(ISBLANK('E20. Opex'!B65),"",'E20. Opex'!B65)</f>
        <v/>
      </c>
      <c r="C77" s="1235"/>
      <c r="D77" s="629"/>
      <c r="E77" s="1240"/>
      <c r="F77" s="628"/>
      <c r="G77" s="628"/>
      <c r="H77" s="628"/>
      <c r="I77" s="629"/>
    </row>
    <row r="78" spans="1:9" outlineLevel="2" x14ac:dyDescent="0.25">
      <c r="A78" s="253"/>
      <c r="B78" s="1246" t="str">
        <f>IF(ISBLANK('E20. Opex'!B66),"",'E20. Opex'!B66)</f>
        <v/>
      </c>
      <c r="C78" s="1235"/>
      <c r="D78" s="629"/>
      <c r="E78" s="1240"/>
      <c r="F78" s="628"/>
      <c r="G78" s="628"/>
      <c r="H78" s="628"/>
      <c r="I78" s="629"/>
    </row>
    <row r="79" spans="1:9" outlineLevel="2" x14ac:dyDescent="0.25">
      <c r="A79" s="253"/>
      <c r="B79" s="1246" t="str">
        <f>IF(ISBLANK('E20. Opex'!B67),"",'E20. Opex'!B67)</f>
        <v/>
      </c>
      <c r="C79" s="1235"/>
      <c r="D79" s="629"/>
      <c r="E79" s="1240"/>
      <c r="F79" s="628"/>
      <c r="G79" s="628"/>
      <c r="H79" s="628"/>
      <c r="I79" s="629"/>
    </row>
    <row r="80" spans="1:9" outlineLevel="2" x14ac:dyDescent="0.25">
      <c r="A80" s="253"/>
      <c r="B80" s="1246" t="str">
        <f>IF(ISBLANK('E20. Opex'!B68),"",'E20. Opex'!B68)</f>
        <v/>
      </c>
      <c r="C80" s="1235"/>
      <c r="D80" s="629"/>
      <c r="E80" s="1240"/>
      <c r="F80" s="628"/>
      <c r="G80" s="628"/>
      <c r="H80" s="628"/>
      <c r="I80" s="629"/>
    </row>
    <row r="81" spans="1:9" outlineLevel="2" x14ac:dyDescent="0.25">
      <c r="A81" s="253"/>
      <c r="B81" s="1246" t="str">
        <f>IF(ISBLANK('E20. Opex'!B69),"",'E20. Opex'!B69)</f>
        <v/>
      </c>
      <c r="C81" s="1235"/>
      <c r="D81" s="629"/>
      <c r="E81" s="1240"/>
      <c r="F81" s="628"/>
      <c r="G81" s="628"/>
      <c r="H81" s="628"/>
      <c r="I81" s="629"/>
    </row>
    <row r="82" spans="1:9" outlineLevel="2" x14ac:dyDescent="0.25">
      <c r="A82" s="253"/>
      <c r="B82" s="1246" t="str">
        <f>IF(ISBLANK('E20. Opex'!B70),"",'E20. Opex'!B70)</f>
        <v/>
      </c>
      <c r="C82" s="1235"/>
      <c r="D82" s="629"/>
      <c r="E82" s="1240"/>
      <c r="F82" s="628"/>
      <c r="G82" s="628"/>
      <c r="H82" s="628"/>
      <c r="I82" s="629"/>
    </row>
    <row r="83" spans="1:9" outlineLevel="2" x14ac:dyDescent="0.25">
      <c r="A83" s="253"/>
      <c r="B83" s="1246" t="str">
        <f>IF(ISBLANK('E20. Opex'!B71),"",'E20. Opex'!B71)</f>
        <v/>
      </c>
      <c r="C83" s="1235"/>
      <c r="D83" s="629"/>
      <c r="E83" s="1240"/>
      <c r="F83" s="628"/>
      <c r="G83" s="628"/>
      <c r="H83" s="628"/>
      <c r="I83" s="629"/>
    </row>
    <row r="84" spans="1:9" outlineLevel="2" x14ac:dyDescent="0.25">
      <c r="A84" s="253"/>
      <c r="B84" s="1246" t="str">
        <f>IF(ISBLANK('E20. Opex'!B72),"",'E20. Opex'!B72)</f>
        <v/>
      </c>
      <c r="C84" s="1235"/>
      <c r="D84" s="629"/>
      <c r="E84" s="1240"/>
      <c r="F84" s="628"/>
      <c r="G84" s="628"/>
      <c r="H84" s="628"/>
      <c r="I84" s="629"/>
    </row>
    <row r="85" spans="1:9" outlineLevel="2" x14ac:dyDescent="0.25">
      <c r="A85" s="253"/>
      <c r="B85" s="1246" t="str">
        <f>IF(ISBLANK('E20. Opex'!B73),"",'E20. Opex'!B73)</f>
        <v/>
      </c>
      <c r="C85" s="1235"/>
      <c r="D85" s="629"/>
      <c r="E85" s="1240"/>
      <c r="F85" s="628"/>
      <c r="G85" s="628"/>
      <c r="H85" s="628"/>
      <c r="I85" s="629"/>
    </row>
    <row r="86" spans="1:9" outlineLevel="2" x14ac:dyDescent="0.25">
      <c r="A86" s="253"/>
      <c r="B86" s="1246" t="str">
        <f>IF(ISBLANK('E20. Opex'!B74),"",'E20. Opex'!B74)</f>
        <v/>
      </c>
      <c r="C86" s="1235"/>
      <c r="D86" s="629"/>
      <c r="E86" s="1240"/>
      <c r="F86" s="628"/>
      <c r="G86" s="628"/>
      <c r="H86" s="628"/>
      <c r="I86" s="629"/>
    </row>
    <row r="87" spans="1:9" outlineLevel="2" x14ac:dyDescent="0.25">
      <c r="A87" s="253"/>
      <c r="B87" s="1246" t="str">
        <f>IF(ISBLANK('E20. Opex'!B75),"",'E20. Opex'!B75)</f>
        <v/>
      </c>
      <c r="C87" s="1235"/>
      <c r="D87" s="629"/>
      <c r="E87" s="1240"/>
      <c r="F87" s="628"/>
      <c r="G87" s="628"/>
      <c r="H87" s="628"/>
      <c r="I87" s="629"/>
    </row>
    <row r="88" spans="1:9" outlineLevel="2" x14ac:dyDescent="0.25">
      <c r="A88" s="253"/>
      <c r="B88" s="1246" t="str">
        <f>IF(ISBLANK('E20. Opex'!B76),"",'E20. Opex'!B76)</f>
        <v/>
      </c>
      <c r="C88" s="1235"/>
      <c r="D88" s="629"/>
      <c r="E88" s="1240"/>
      <c r="F88" s="628"/>
      <c r="G88" s="628"/>
      <c r="H88" s="628"/>
      <c r="I88" s="629"/>
    </row>
    <row r="89" spans="1:9" outlineLevel="2" x14ac:dyDescent="0.25">
      <c r="A89" s="253"/>
      <c r="B89" s="1246" t="str">
        <f>IF(ISBLANK('E20. Opex'!B77),"",'E20. Opex'!B77)</f>
        <v/>
      </c>
      <c r="C89" s="1236"/>
      <c r="D89" s="1238"/>
      <c r="E89" s="1241"/>
      <c r="F89" s="1237"/>
      <c r="G89" s="1237"/>
      <c r="H89" s="1237"/>
      <c r="I89" s="1238"/>
    </row>
    <row r="90" spans="1:9" outlineLevel="2" x14ac:dyDescent="0.25">
      <c r="A90" s="253"/>
      <c r="B90" s="1246" t="str">
        <f>IF(ISBLANK('E20. Opex'!B78),"",'E20. Opex'!B78)</f>
        <v/>
      </c>
      <c r="C90" s="1236"/>
      <c r="D90" s="1238"/>
      <c r="E90" s="1241"/>
      <c r="F90" s="1237"/>
      <c r="G90" s="1237"/>
      <c r="H90" s="1237"/>
      <c r="I90" s="1238"/>
    </row>
    <row r="91" spans="1:9" outlineLevel="2" x14ac:dyDescent="0.25">
      <c r="A91" s="253"/>
      <c r="B91" s="1246" t="str">
        <f>IF(ISBLANK('E20. Opex'!B79),"",'E20. Opex'!B79)</f>
        <v/>
      </c>
      <c r="C91" s="1236"/>
      <c r="D91" s="1238"/>
      <c r="E91" s="1241"/>
      <c r="F91" s="1237"/>
      <c r="G91" s="1237"/>
      <c r="H91" s="1237"/>
      <c r="I91" s="1238"/>
    </row>
    <row r="92" spans="1:9" outlineLevel="2" x14ac:dyDescent="0.25">
      <c r="A92" s="253"/>
      <c r="B92" s="1246" t="str">
        <f>IF(ISBLANK('E20. Opex'!B80),"",'E20. Opex'!B80)</f>
        <v/>
      </c>
      <c r="C92" s="1236"/>
      <c r="D92" s="1238"/>
      <c r="E92" s="1241"/>
      <c r="F92" s="1237"/>
      <c r="G92" s="1237"/>
      <c r="H92" s="1237"/>
      <c r="I92" s="1238"/>
    </row>
    <row r="93" spans="1:9" outlineLevel="2" x14ac:dyDescent="0.25">
      <c r="A93" s="253"/>
      <c r="B93" s="1246" t="str">
        <f>IF(ISBLANK('E20. Opex'!B81),"",'E20. Opex'!B81)</f>
        <v/>
      </c>
      <c r="C93" s="1236"/>
      <c r="D93" s="1238"/>
      <c r="E93" s="1241"/>
      <c r="F93" s="1237"/>
      <c r="G93" s="1237"/>
      <c r="H93" s="1237"/>
      <c r="I93" s="1238"/>
    </row>
    <row r="94" spans="1:9" outlineLevel="2" x14ac:dyDescent="0.25">
      <c r="A94" s="253"/>
      <c r="B94" s="1246" t="str">
        <f>IF(ISBLANK('E20. Opex'!B82),"",'E20. Opex'!B82)</f>
        <v/>
      </c>
      <c r="C94" s="1236"/>
      <c r="D94" s="1238"/>
      <c r="E94" s="1241"/>
      <c r="F94" s="1237"/>
      <c r="G94" s="1237"/>
      <c r="H94" s="1237"/>
      <c r="I94" s="1238"/>
    </row>
    <row r="95" spans="1:9" ht="15.75" outlineLevel="2" thickBot="1" x14ac:dyDescent="0.3">
      <c r="A95" s="253"/>
      <c r="B95" s="1246" t="str">
        <f>IF(ISBLANK('E20. Opex'!B83),"",'E20. Opex'!B83)</f>
        <v/>
      </c>
      <c r="C95" s="1242"/>
      <c r="D95" s="1243"/>
      <c r="E95" s="1244"/>
      <c r="F95" s="1245"/>
      <c r="G95" s="1245"/>
      <c r="H95" s="1245"/>
      <c r="I95" s="1243"/>
    </row>
    <row r="96" spans="1:9" ht="15.75" outlineLevel="2" thickBot="1" x14ac:dyDescent="0.3">
      <c r="A96" s="253"/>
      <c r="B96" s="659" t="s">
        <v>123</v>
      </c>
      <c r="C96" s="296">
        <f>SUM(C71:C95)</f>
        <v>0</v>
      </c>
      <c r="D96" s="296">
        <f t="shared" ref="D96:I96" si="3">SUM(D71:D95)</f>
        <v>0</v>
      </c>
      <c r="E96" s="296">
        <f t="shared" si="3"/>
        <v>0</v>
      </c>
      <c r="F96" s="296">
        <f t="shared" si="3"/>
        <v>0</v>
      </c>
      <c r="G96" s="296">
        <f t="shared" si="3"/>
        <v>0</v>
      </c>
      <c r="H96" s="296">
        <f t="shared" si="3"/>
        <v>0</v>
      </c>
      <c r="I96" s="297">
        <f t="shared" si="3"/>
        <v>0</v>
      </c>
    </row>
    <row r="97" spans="1:9" s="253" customFormat="1" ht="23.25" customHeight="1" outlineLevel="1" x14ac:dyDescent="0.25"/>
    <row r="98" spans="1:9" ht="15.75" thickBot="1" x14ac:dyDescent="0.3">
      <c r="B98" s="42"/>
    </row>
    <row r="99" spans="1:9" s="42" customFormat="1" ht="24.75" customHeight="1" thickBot="1" x14ac:dyDescent="0.25">
      <c r="A99" s="291"/>
      <c r="B99" s="32" t="s">
        <v>125</v>
      </c>
      <c r="C99" s="32"/>
      <c r="D99" s="32"/>
      <c r="E99" s="32"/>
      <c r="F99" s="32"/>
      <c r="G99" s="32"/>
      <c r="H99" s="32"/>
      <c r="I99" s="32"/>
    </row>
    <row r="100" spans="1:9" s="42" customFormat="1" ht="24.75" customHeight="1" outlineLevel="1" thickBot="1" x14ac:dyDescent="0.25">
      <c r="A100" s="291"/>
      <c r="B100" s="247" t="s">
        <v>126</v>
      </c>
      <c r="C100" s="248"/>
      <c r="D100" s="248"/>
      <c r="E100" s="248"/>
      <c r="F100" s="248"/>
      <c r="G100" s="248"/>
      <c r="H100" s="248"/>
      <c r="I100" s="249"/>
    </row>
    <row r="101" spans="1:9" s="290" customFormat="1" ht="17.25" customHeight="1" outlineLevel="2" x14ac:dyDescent="0.25">
      <c r="A101" s="289"/>
      <c r="B101" s="304"/>
      <c r="C101" s="1378" t="s">
        <v>24</v>
      </c>
      <c r="D101" s="1378"/>
      <c r="E101" s="1378"/>
      <c r="F101" s="1378"/>
      <c r="G101" s="1378"/>
      <c r="H101" s="1378"/>
      <c r="I101" s="1378"/>
    </row>
    <row r="102" spans="1:9" s="290" customFormat="1" ht="17.25" customHeight="1" outlineLevel="2" x14ac:dyDescent="0.25">
      <c r="A102" s="289"/>
      <c r="B102"/>
      <c r="C102" s="1378" t="str">
        <f ca="1">CONCATENATE("$, real ",dms_DollarReal)</f>
        <v>$, real June 2026</v>
      </c>
      <c r="D102" s="1378"/>
      <c r="E102" s="1378"/>
      <c r="F102" s="1378"/>
      <c r="G102" s="1378"/>
      <c r="H102" s="1378"/>
      <c r="I102" s="1378"/>
    </row>
    <row r="103" spans="1:9" s="290" customFormat="1" ht="17.25" customHeight="1" outlineLevel="2" thickBot="1" x14ac:dyDescent="0.3">
      <c r="A103" s="289"/>
      <c r="B103" s="319"/>
      <c r="C103" s="314" t="str">
        <f ca="1">dms_y1</f>
        <v>2024-25</v>
      </c>
      <c r="D103" s="314" t="str">
        <f ca="1">dms_y2</f>
        <v>2025-26</v>
      </c>
      <c r="E103" s="314" t="str">
        <f ca="1">dms_y3</f>
        <v>2026-27</v>
      </c>
      <c r="F103" s="314" t="str">
        <f ca="1">dms_y4</f>
        <v>2027-28</v>
      </c>
      <c r="G103" s="314" t="str">
        <f ca="1">dms_y5</f>
        <v>2028-29</v>
      </c>
      <c r="H103" s="314" t="str">
        <f ca="1">dms_y6</f>
        <v>2029-30</v>
      </c>
      <c r="I103" s="314" t="str">
        <f ca="1">dms_y7</f>
        <v>2030-31</v>
      </c>
    </row>
    <row r="104" spans="1:9" outlineLevel="2" x14ac:dyDescent="0.25">
      <c r="A104" s="253"/>
      <c r="B104" s="1196" t="s">
        <v>107</v>
      </c>
      <c r="C104" s="276"/>
      <c r="D104" s="277"/>
      <c r="E104" s="276"/>
      <c r="F104" s="277"/>
      <c r="G104" s="277"/>
      <c r="H104" s="277"/>
      <c r="I104" s="280"/>
    </row>
    <row r="105" spans="1:9" outlineLevel="2" x14ac:dyDescent="0.25">
      <c r="A105" s="253"/>
      <c r="B105" s="1196" t="s">
        <v>108</v>
      </c>
      <c r="C105" s="285"/>
      <c r="D105" s="271"/>
      <c r="E105" s="285"/>
      <c r="F105" s="271"/>
      <c r="G105" s="271"/>
      <c r="H105" s="271"/>
      <c r="I105" s="272"/>
    </row>
    <row r="106" spans="1:9" outlineLevel="2" x14ac:dyDescent="0.25">
      <c r="A106" s="253"/>
      <c r="B106" s="1196" t="s">
        <v>109</v>
      </c>
      <c r="C106" s="285"/>
      <c r="D106" s="271"/>
      <c r="E106" s="285"/>
      <c r="F106" s="271"/>
      <c r="G106" s="271"/>
      <c r="H106" s="271"/>
      <c r="I106" s="272"/>
    </row>
    <row r="107" spans="1:9" outlineLevel="2" x14ac:dyDescent="0.25">
      <c r="A107" s="253"/>
      <c r="B107" s="1196" t="s">
        <v>110</v>
      </c>
      <c r="C107" s="285"/>
      <c r="D107" s="271"/>
      <c r="E107" s="285"/>
      <c r="F107" s="271"/>
      <c r="G107" s="271"/>
      <c r="H107" s="271"/>
      <c r="I107" s="272"/>
    </row>
    <row r="108" spans="1:9" outlineLevel="2" x14ac:dyDescent="0.25">
      <c r="A108" s="253"/>
      <c r="B108" s="1196" t="s">
        <v>111</v>
      </c>
      <c r="C108" s="285"/>
      <c r="D108" s="271"/>
      <c r="E108" s="285"/>
      <c r="F108" s="271"/>
      <c r="G108" s="271"/>
      <c r="H108" s="271"/>
      <c r="I108" s="272"/>
    </row>
    <row r="109" spans="1:9" outlineLevel="2" x14ac:dyDescent="0.25">
      <c r="A109" s="253"/>
      <c r="B109" s="1196" t="s">
        <v>112</v>
      </c>
      <c r="C109" s="285"/>
      <c r="D109" s="271"/>
      <c r="E109" s="285"/>
      <c r="F109" s="271"/>
      <c r="G109" s="271"/>
      <c r="H109" s="271"/>
      <c r="I109" s="272"/>
    </row>
    <row r="110" spans="1:9" outlineLevel="2" x14ac:dyDescent="0.25">
      <c r="A110" s="253"/>
      <c r="B110" s="1196" t="s">
        <v>113</v>
      </c>
      <c r="C110" s="285"/>
      <c r="D110" s="271"/>
      <c r="E110" s="285"/>
      <c r="F110" s="271"/>
      <c r="G110" s="271"/>
      <c r="H110" s="271"/>
      <c r="I110" s="272"/>
    </row>
    <row r="111" spans="1:9" outlineLevel="2" x14ac:dyDescent="0.25">
      <c r="A111" s="253"/>
      <c r="B111" s="1196" t="s">
        <v>114</v>
      </c>
      <c r="C111" s="285"/>
      <c r="D111" s="271"/>
      <c r="E111" s="285"/>
      <c r="F111" s="271"/>
      <c r="G111" s="271"/>
      <c r="H111" s="271"/>
      <c r="I111" s="272"/>
    </row>
    <row r="112" spans="1:9" ht="15.75" outlineLevel="2" thickBot="1" x14ac:dyDescent="0.3">
      <c r="A112" s="253"/>
      <c r="B112" s="1196" t="s">
        <v>115</v>
      </c>
      <c r="C112" s="285"/>
      <c r="D112" s="271"/>
      <c r="E112" s="285"/>
      <c r="F112" s="271"/>
      <c r="G112" s="271"/>
      <c r="H112" s="271"/>
      <c r="I112" s="272"/>
    </row>
    <row r="113" spans="1:9" ht="15.75" outlineLevel="2" thickBot="1" x14ac:dyDescent="0.3">
      <c r="A113" s="253"/>
      <c r="B113" s="295" t="s">
        <v>120</v>
      </c>
      <c r="C113" s="296">
        <f t="shared" ref="C113:I113" si="4">SUM(C104:C112)</f>
        <v>0</v>
      </c>
      <c r="D113" s="296">
        <f t="shared" si="4"/>
        <v>0</v>
      </c>
      <c r="E113" s="296">
        <f t="shared" si="4"/>
        <v>0</v>
      </c>
      <c r="F113" s="296">
        <f t="shared" si="4"/>
        <v>0</v>
      </c>
      <c r="G113" s="296">
        <f t="shared" si="4"/>
        <v>0</v>
      </c>
      <c r="H113" s="296">
        <f t="shared" si="4"/>
        <v>0</v>
      </c>
      <c r="I113" s="297">
        <f t="shared" si="4"/>
        <v>0</v>
      </c>
    </row>
    <row r="114" spans="1:9" ht="15.75" outlineLevel="1" thickBot="1" x14ac:dyDescent="0.3"/>
    <row r="115" spans="1:9" s="42" customFormat="1" ht="24.75" customHeight="1" outlineLevel="1" thickBot="1" x14ac:dyDescent="0.25">
      <c r="A115" s="291"/>
      <c r="B115" s="247" t="s">
        <v>127</v>
      </c>
      <c r="C115" s="248"/>
      <c r="D115" s="248"/>
      <c r="E115" s="248"/>
      <c r="F115" s="248"/>
      <c r="G115" s="248"/>
      <c r="H115" s="248"/>
      <c r="I115" s="249"/>
    </row>
    <row r="116" spans="1:9" s="290" customFormat="1" ht="17.25" customHeight="1" outlineLevel="2" x14ac:dyDescent="0.25">
      <c r="A116" s="289"/>
      <c r="B116" s="304"/>
      <c r="C116" s="1378" t="s">
        <v>24</v>
      </c>
      <c r="D116" s="1378"/>
      <c r="E116" s="1378"/>
      <c r="F116" s="1378"/>
      <c r="G116" s="1378"/>
      <c r="H116" s="1378"/>
      <c r="I116" s="1378"/>
    </row>
    <row r="117" spans="1:9" s="290" customFormat="1" ht="17.25" customHeight="1" outlineLevel="2" x14ac:dyDescent="0.25">
      <c r="A117" s="289"/>
      <c r="B117"/>
      <c r="C117" s="1378" t="str">
        <f ca="1">CONCATENATE("$, real ",dms_DollarReal)</f>
        <v>$, real June 2026</v>
      </c>
      <c r="D117" s="1378"/>
      <c r="E117" s="1378"/>
      <c r="F117" s="1378"/>
      <c r="G117" s="1378"/>
      <c r="H117" s="1378"/>
      <c r="I117" s="1378"/>
    </row>
    <row r="118" spans="1:9" s="290" customFormat="1" ht="17.25" customHeight="1" outlineLevel="2" thickBot="1" x14ac:dyDescent="0.3">
      <c r="A118" s="289"/>
      <c r="B118" s="319"/>
      <c r="C118" s="314" t="str">
        <f ca="1">dms_y1</f>
        <v>2024-25</v>
      </c>
      <c r="D118" s="314" t="str">
        <f ca="1">dms_y2</f>
        <v>2025-26</v>
      </c>
      <c r="E118" s="314" t="str">
        <f ca="1">dms_y3</f>
        <v>2026-27</v>
      </c>
      <c r="F118" s="314" t="str">
        <f ca="1">dms_y4</f>
        <v>2027-28</v>
      </c>
      <c r="G118" s="314" t="str">
        <f ca="1">dms_y5</f>
        <v>2028-29</v>
      </c>
      <c r="H118" s="314" t="str">
        <f ca="1">dms_y6</f>
        <v>2029-30</v>
      </c>
      <c r="I118" s="314" t="str">
        <f ca="1">dms_y7</f>
        <v>2030-31</v>
      </c>
    </row>
    <row r="119" spans="1:9" outlineLevel="2" x14ac:dyDescent="0.25">
      <c r="A119" s="253"/>
      <c r="B119" s="585"/>
      <c r="C119" s="276"/>
      <c r="D119" s="277"/>
      <c r="E119" s="276"/>
      <c r="F119" s="277"/>
      <c r="G119" s="277"/>
      <c r="H119" s="277"/>
      <c r="I119" s="280"/>
    </row>
    <row r="120" spans="1:9" outlineLevel="2" x14ac:dyDescent="0.25">
      <c r="A120" s="253"/>
      <c r="B120" s="584"/>
      <c r="C120" s="281"/>
      <c r="D120" s="282"/>
      <c r="E120" s="281"/>
      <c r="F120" s="282"/>
      <c r="G120" s="282"/>
      <c r="H120" s="282"/>
      <c r="I120" s="284"/>
    </row>
    <row r="121" spans="1:9" outlineLevel="2" x14ac:dyDescent="0.25">
      <c r="A121" s="253"/>
      <c r="B121" s="584"/>
      <c r="C121" s="281"/>
      <c r="D121" s="282"/>
      <c r="E121" s="281"/>
      <c r="F121" s="282"/>
      <c r="G121" s="282"/>
      <c r="H121" s="282"/>
      <c r="I121" s="284"/>
    </row>
    <row r="122" spans="1:9" outlineLevel="2" x14ac:dyDescent="0.25">
      <c r="A122" s="253"/>
      <c r="B122" s="584"/>
      <c r="C122" s="281"/>
      <c r="D122" s="282"/>
      <c r="E122" s="281"/>
      <c r="F122" s="282"/>
      <c r="G122" s="282"/>
      <c r="H122" s="282"/>
      <c r="I122" s="284"/>
    </row>
    <row r="123" spans="1:9" outlineLevel="2" x14ac:dyDescent="0.25">
      <c r="A123" s="253"/>
      <c r="B123" s="584"/>
      <c r="C123" s="281"/>
      <c r="D123" s="282"/>
      <c r="E123" s="281"/>
      <c r="F123" s="282"/>
      <c r="G123" s="282"/>
      <c r="H123" s="282"/>
      <c r="I123" s="284"/>
    </row>
    <row r="124" spans="1:9" outlineLevel="2" x14ac:dyDescent="0.25">
      <c r="A124" s="253"/>
      <c r="B124" s="584"/>
      <c r="C124" s="281"/>
      <c r="D124" s="282"/>
      <c r="E124" s="281"/>
      <c r="F124" s="282"/>
      <c r="G124" s="282"/>
      <c r="H124" s="282"/>
      <c r="I124" s="284"/>
    </row>
    <row r="125" spans="1:9" outlineLevel="2" x14ac:dyDescent="0.25">
      <c r="A125" s="253"/>
      <c r="B125" s="584"/>
      <c r="C125" s="281"/>
      <c r="D125" s="282"/>
      <c r="E125" s="281"/>
      <c r="F125" s="282"/>
      <c r="G125" s="282"/>
      <c r="H125" s="282"/>
      <c r="I125" s="284"/>
    </row>
    <row r="126" spans="1:9" outlineLevel="2" x14ac:dyDescent="0.25">
      <c r="A126" s="253"/>
      <c r="B126" s="584"/>
      <c r="C126" s="281"/>
      <c r="D126" s="282"/>
      <c r="E126" s="281"/>
      <c r="F126" s="282"/>
      <c r="G126" s="282"/>
      <c r="H126" s="282"/>
      <c r="I126" s="284"/>
    </row>
    <row r="127" spans="1:9" outlineLevel="2" x14ac:dyDescent="0.25">
      <c r="A127" s="253"/>
      <c r="B127" s="584"/>
      <c r="C127" s="281"/>
      <c r="D127" s="282"/>
      <c r="E127" s="281"/>
      <c r="F127" s="282"/>
      <c r="G127" s="282"/>
      <c r="H127" s="282"/>
      <c r="I127" s="284"/>
    </row>
    <row r="128" spans="1:9" outlineLevel="2" x14ac:dyDescent="0.25">
      <c r="A128" s="253"/>
      <c r="B128" s="584"/>
      <c r="C128" s="281"/>
      <c r="D128" s="282"/>
      <c r="E128" s="281"/>
      <c r="F128" s="282"/>
      <c r="G128" s="282"/>
      <c r="H128" s="282"/>
      <c r="I128" s="284"/>
    </row>
    <row r="129" spans="1:9" outlineLevel="2" x14ac:dyDescent="0.25">
      <c r="A129" s="253"/>
      <c r="B129" s="584"/>
      <c r="C129" s="281"/>
      <c r="D129" s="282"/>
      <c r="E129" s="281"/>
      <c r="F129" s="282"/>
      <c r="G129" s="282"/>
      <c r="H129" s="282"/>
      <c r="I129" s="284"/>
    </row>
    <row r="130" spans="1:9" outlineLevel="2" x14ac:dyDescent="0.25">
      <c r="A130" s="253"/>
      <c r="B130" s="584"/>
      <c r="C130" s="281"/>
      <c r="D130" s="282"/>
      <c r="E130" s="281"/>
      <c r="F130" s="282"/>
      <c r="G130" s="282"/>
      <c r="H130" s="282"/>
      <c r="I130" s="284"/>
    </row>
    <row r="131" spans="1:9" outlineLevel="2" x14ac:dyDescent="0.25">
      <c r="A131" s="253"/>
      <c r="B131" s="584"/>
      <c r="C131" s="281"/>
      <c r="D131" s="282"/>
      <c r="E131" s="281"/>
      <c r="F131" s="282"/>
      <c r="G131" s="282"/>
      <c r="H131" s="282"/>
      <c r="I131" s="284"/>
    </row>
    <row r="132" spans="1:9" outlineLevel="2" x14ac:dyDescent="0.25">
      <c r="A132" s="253"/>
      <c r="B132" s="584"/>
      <c r="C132" s="281"/>
      <c r="D132" s="282"/>
      <c r="E132" s="281"/>
      <c r="F132" s="282"/>
      <c r="G132" s="282"/>
      <c r="H132" s="282"/>
      <c r="I132" s="284"/>
    </row>
    <row r="133" spans="1:9" outlineLevel="2" x14ac:dyDescent="0.25">
      <c r="A133" s="253"/>
      <c r="B133" s="584"/>
      <c r="C133" s="281"/>
      <c r="D133" s="282"/>
      <c r="E133" s="281"/>
      <c r="F133" s="282"/>
      <c r="G133" s="282"/>
      <c r="H133" s="282"/>
      <c r="I133" s="284"/>
    </row>
    <row r="134" spans="1:9" outlineLevel="2" x14ac:dyDescent="0.25">
      <c r="A134" s="253"/>
      <c r="B134" s="584"/>
      <c r="C134" s="281"/>
      <c r="D134" s="282"/>
      <c r="E134" s="281"/>
      <c r="F134" s="282"/>
      <c r="G134" s="282"/>
      <c r="H134" s="282"/>
      <c r="I134" s="284"/>
    </row>
    <row r="135" spans="1:9" outlineLevel="2" x14ac:dyDescent="0.25">
      <c r="A135" s="253"/>
      <c r="B135" s="584"/>
      <c r="C135" s="285"/>
      <c r="D135" s="271"/>
      <c r="E135" s="285"/>
      <c r="F135" s="271"/>
      <c r="G135" s="271"/>
      <c r="H135" s="271"/>
      <c r="I135" s="272"/>
    </row>
    <row r="136" spans="1:9" outlineLevel="2" x14ac:dyDescent="0.25">
      <c r="A136" s="253"/>
      <c r="B136" s="584"/>
      <c r="C136" s="285"/>
      <c r="D136" s="271"/>
      <c r="E136" s="285"/>
      <c r="F136" s="271"/>
      <c r="G136" s="271"/>
      <c r="H136" s="271"/>
      <c r="I136" s="272"/>
    </row>
    <row r="137" spans="1:9" outlineLevel="2" x14ac:dyDescent="0.25">
      <c r="A137" s="253"/>
      <c r="B137" s="584"/>
      <c r="C137" s="285"/>
      <c r="D137" s="271"/>
      <c r="E137" s="285"/>
      <c r="F137" s="271"/>
      <c r="G137" s="271"/>
      <c r="H137" s="271"/>
      <c r="I137" s="272"/>
    </row>
    <row r="138" spans="1:9" outlineLevel="2" x14ac:dyDescent="0.25">
      <c r="A138" s="253"/>
      <c r="B138" s="584"/>
      <c r="C138" s="285"/>
      <c r="D138" s="271"/>
      <c r="E138" s="285"/>
      <c r="F138" s="271"/>
      <c r="G138" s="271"/>
      <c r="H138" s="271"/>
      <c r="I138" s="272"/>
    </row>
    <row r="139" spans="1:9" outlineLevel="2" x14ac:dyDescent="0.25">
      <c r="A139" s="253"/>
      <c r="B139" s="584"/>
      <c r="C139" s="285"/>
      <c r="D139" s="271"/>
      <c r="E139" s="285"/>
      <c r="F139" s="271"/>
      <c r="G139" s="271"/>
      <c r="H139" s="271"/>
      <c r="I139" s="272"/>
    </row>
    <row r="140" spans="1:9" outlineLevel="2" x14ac:dyDescent="0.25">
      <c r="A140" s="253"/>
      <c r="B140" s="584"/>
      <c r="C140" s="285"/>
      <c r="D140" s="271"/>
      <c r="E140" s="285"/>
      <c r="F140" s="271"/>
      <c r="G140" s="271"/>
      <c r="H140" s="271"/>
      <c r="I140" s="272"/>
    </row>
    <row r="141" spans="1:9" outlineLevel="2" x14ac:dyDescent="0.25">
      <c r="A141" s="253"/>
      <c r="B141" s="584"/>
      <c r="C141" s="285"/>
      <c r="D141" s="271"/>
      <c r="E141" s="285"/>
      <c r="F141" s="271"/>
      <c r="G141" s="271"/>
      <c r="H141" s="271"/>
      <c r="I141" s="272"/>
    </row>
    <row r="142" spans="1:9" ht="15.75" outlineLevel="2" thickBot="1" x14ac:dyDescent="0.3">
      <c r="A142" s="253"/>
      <c r="B142" s="584"/>
      <c r="C142" s="285"/>
      <c r="D142" s="271"/>
      <c r="E142" s="285"/>
      <c r="F142" s="271"/>
      <c r="G142" s="271"/>
      <c r="H142" s="271"/>
      <c r="I142" s="272"/>
    </row>
    <row r="143" spans="1:9" ht="15.75" outlineLevel="2" thickBot="1" x14ac:dyDescent="0.3">
      <c r="A143" s="253"/>
      <c r="B143" s="295" t="s">
        <v>120</v>
      </c>
      <c r="C143" s="296">
        <f t="shared" ref="C143:I143" si="5">SUM(C119:C142)</f>
        <v>0</v>
      </c>
      <c r="D143" s="296">
        <f t="shared" si="5"/>
        <v>0</v>
      </c>
      <c r="E143" s="296">
        <f t="shared" si="5"/>
        <v>0</v>
      </c>
      <c r="F143" s="296">
        <f t="shared" si="5"/>
        <v>0</v>
      </c>
      <c r="G143" s="296">
        <f t="shared" si="5"/>
        <v>0</v>
      </c>
      <c r="H143" s="296">
        <f t="shared" si="5"/>
        <v>0</v>
      </c>
      <c r="I143" s="297">
        <f t="shared" si="5"/>
        <v>0</v>
      </c>
    </row>
    <row r="144" spans="1:9" outlineLevel="1" x14ac:dyDescent="0.25"/>
    <row r="145" spans="1:9" ht="15.75" thickBot="1" x14ac:dyDescent="0.3"/>
    <row r="146" spans="1:9" s="42" customFormat="1" ht="24.75" customHeight="1" thickBot="1" x14ac:dyDescent="0.25">
      <c r="A146" s="291"/>
      <c r="B146" s="32" t="s">
        <v>128</v>
      </c>
      <c r="C146" s="32"/>
      <c r="D146" s="32"/>
      <c r="E146" s="32"/>
      <c r="F146" s="32"/>
      <c r="G146" s="32"/>
      <c r="H146" s="32"/>
      <c r="I146" s="32"/>
    </row>
    <row r="147" spans="1:9" s="42" customFormat="1" ht="24.75" customHeight="1" outlineLevel="1" thickBot="1" x14ac:dyDescent="0.25">
      <c r="A147" s="291"/>
      <c r="B147" s="247" t="s">
        <v>129</v>
      </c>
      <c r="C147" s="248"/>
      <c r="D147" s="248"/>
      <c r="E147" s="248"/>
      <c r="F147" s="248"/>
      <c r="G147" s="248"/>
      <c r="H147" s="248"/>
      <c r="I147" s="249"/>
    </row>
    <row r="148" spans="1:9" s="290" customFormat="1" ht="17.25" customHeight="1" outlineLevel="2" x14ac:dyDescent="0.25">
      <c r="A148" s="289"/>
      <c r="B148" s="304"/>
      <c r="C148" s="1378" t="s">
        <v>24</v>
      </c>
      <c r="D148" s="1378"/>
      <c r="E148" s="1378"/>
      <c r="F148" s="1378"/>
      <c r="G148" s="1378"/>
      <c r="H148" s="1378"/>
      <c r="I148" s="1378"/>
    </row>
    <row r="149" spans="1:9" s="290" customFormat="1" ht="17.25" customHeight="1" outlineLevel="2" x14ac:dyDescent="0.25">
      <c r="A149" s="289"/>
      <c r="B149"/>
      <c r="C149" s="1378" t="str">
        <f ca="1">CONCATENATE("$, real ",dms_DollarReal)</f>
        <v>$, real June 2026</v>
      </c>
      <c r="D149" s="1378"/>
      <c r="E149" s="1378"/>
      <c r="F149" s="1378"/>
      <c r="G149" s="1378"/>
      <c r="H149" s="1378"/>
      <c r="I149" s="1378"/>
    </row>
    <row r="150" spans="1:9" s="290" customFormat="1" ht="17.25" customHeight="1" outlineLevel="2" thickBot="1" x14ac:dyDescent="0.3">
      <c r="A150" s="289"/>
      <c r="B150" s="319"/>
      <c r="C150" s="314" t="str">
        <f ca="1">dms_y1</f>
        <v>2024-25</v>
      </c>
      <c r="D150" s="314" t="str">
        <f ca="1">dms_y2</f>
        <v>2025-26</v>
      </c>
      <c r="E150" s="314" t="str">
        <f ca="1">dms_y3</f>
        <v>2026-27</v>
      </c>
      <c r="F150" s="314" t="str">
        <f ca="1">dms_y4</f>
        <v>2027-28</v>
      </c>
      <c r="G150" s="314" t="str">
        <f ca="1">dms_y5</f>
        <v>2028-29</v>
      </c>
      <c r="H150" s="314" t="str">
        <f ca="1">dms_y6</f>
        <v>2029-30</v>
      </c>
      <c r="I150" s="314" t="str">
        <f ca="1">dms_y7</f>
        <v>2030-31</v>
      </c>
    </row>
    <row r="151" spans="1:9" outlineLevel="2" x14ac:dyDescent="0.25">
      <c r="A151" s="253"/>
      <c r="B151" s="1196" t="s">
        <v>107</v>
      </c>
      <c r="C151" s="276">
        <v>2540343.6573206494</v>
      </c>
      <c r="D151" s="277">
        <v>4319444.3106029183</v>
      </c>
      <c r="E151" s="276">
        <v>1499262.5739245326</v>
      </c>
      <c r="F151" s="277">
        <v>1409938.5576699097</v>
      </c>
      <c r="G151" s="277">
        <v>1560677.4145365271</v>
      </c>
      <c r="H151" s="277">
        <v>1376392.2441241827</v>
      </c>
      <c r="I151" s="280">
        <v>1497451.0839258009</v>
      </c>
    </row>
    <row r="152" spans="1:9" outlineLevel="2" x14ac:dyDescent="0.25">
      <c r="A152" s="253"/>
      <c r="B152" s="1196" t="s">
        <v>108</v>
      </c>
      <c r="C152" s="285">
        <v>7050119.6879059374</v>
      </c>
      <c r="D152" s="271">
        <v>3766113.0935625634</v>
      </c>
      <c r="E152" s="285">
        <v>828651.66873172438</v>
      </c>
      <c r="F152" s="271">
        <v>672307.854224824</v>
      </c>
      <c r="G152" s="271">
        <v>861995.57896066597</v>
      </c>
      <c r="H152" s="271">
        <v>785193.09428628033</v>
      </c>
      <c r="I152" s="272">
        <v>901933.69825480564</v>
      </c>
    </row>
    <row r="153" spans="1:9" outlineLevel="2" x14ac:dyDescent="0.25">
      <c r="A153" s="253"/>
      <c r="B153" s="1196" t="s">
        <v>109</v>
      </c>
      <c r="C153" s="285">
        <v>353895.33444022253</v>
      </c>
      <c r="D153" s="271">
        <v>521917.46620175225</v>
      </c>
      <c r="E153" s="285">
        <v>0</v>
      </c>
      <c r="F153" s="271">
        <v>159963.55971235983</v>
      </c>
      <c r="G153" s="271">
        <v>0</v>
      </c>
      <c r="H153" s="271">
        <v>108977.82925650819</v>
      </c>
      <c r="I153" s="272">
        <v>0</v>
      </c>
    </row>
    <row r="154" spans="1:9" outlineLevel="2" x14ac:dyDescent="0.25">
      <c r="A154" s="253"/>
      <c r="B154" s="1196" t="s">
        <v>110</v>
      </c>
      <c r="C154" s="285">
        <v>41964.68150686533</v>
      </c>
      <c r="D154" s="271">
        <v>69809.218059853723</v>
      </c>
      <c r="E154" s="285">
        <v>60803.810091088679</v>
      </c>
      <c r="F154" s="271">
        <v>27854.42310848831</v>
      </c>
      <c r="G154" s="271">
        <v>32758.409923895713</v>
      </c>
      <c r="H154" s="271">
        <v>28194.743208937682</v>
      </c>
      <c r="I154" s="272">
        <v>32743.376559839318</v>
      </c>
    </row>
    <row r="155" spans="1:9" outlineLevel="2" x14ac:dyDescent="0.25">
      <c r="A155" s="253"/>
      <c r="B155" s="1196" t="s">
        <v>111</v>
      </c>
      <c r="C155" s="285">
        <v>512237.24492291996</v>
      </c>
      <c r="D155" s="271">
        <v>821965.10057388304</v>
      </c>
      <c r="E155" s="285">
        <v>411823.23646104656</v>
      </c>
      <c r="F155" s="271">
        <v>277813.94744842028</v>
      </c>
      <c r="G155" s="271">
        <v>334905.60886690515</v>
      </c>
      <c r="H155" s="271">
        <v>356713.94463760598</v>
      </c>
      <c r="I155" s="272">
        <v>455721.15199768404</v>
      </c>
    </row>
    <row r="156" spans="1:9" outlineLevel="2" x14ac:dyDescent="0.25">
      <c r="A156" s="253"/>
      <c r="B156" s="1196" t="s">
        <v>112</v>
      </c>
      <c r="C156" s="285">
        <v>0</v>
      </c>
      <c r="D156" s="271">
        <v>0</v>
      </c>
      <c r="E156" s="285">
        <v>585944.65148180712</v>
      </c>
      <c r="F156" s="271">
        <v>1526362.3841243319</v>
      </c>
      <c r="G156" s="271">
        <v>608425.85622794938</v>
      </c>
      <c r="H156" s="271">
        <v>980108.00773030508</v>
      </c>
      <c r="I156" s="272">
        <v>469856.60418346932</v>
      </c>
    </row>
    <row r="157" spans="1:9" outlineLevel="2" x14ac:dyDescent="0.25">
      <c r="A157" s="253"/>
      <c r="B157" s="1201" t="s">
        <v>115</v>
      </c>
      <c r="C157" s="298">
        <v>1282829.6743076565</v>
      </c>
      <c r="D157" s="301">
        <v>2300125.5251480574</v>
      </c>
      <c r="E157" s="298">
        <v>1024549.9531340392</v>
      </c>
      <c r="F157" s="301">
        <v>798789.73726480408</v>
      </c>
      <c r="G157" s="301">
        <v>993501.55238501995</v>
      </c>
      <c r="H157" s="301">
        <v>950489.49771216908</v>
      </c>
      <c r="I157" s="302">
        <v>972494.86107300979</v>
      </c>
    </row>
    <row r="158" spans="1:9" ht="15.75" outlineLevel="2" thickBot="1" x14ac:dyDescent="0.3">
      <c r="A158" s="253"/>
      <c r="B158" s="1199" t="s">
        <v>130</v>
      </c>
      <c r="C158" s="622">
        <v>0</v>
      </c>
      <c r="D158" s="623">
        <v>0</v>
      </c>
      <c r="E158" s="622">
        <v>0</v>
      </c>
      <c r="F158" s="623">
        <v>0</v>
      </c>
      <c r="G158" s="623">
        <v>0</v>
      </c>
      <c r="H158" s="623">
        <v>0</v>
      </c>
      <c r="I158" s="624">
        <v>0</v>
      </c>
    </row>
    <row r="159" spans="1:9" ht="15.75" outlineLevel="2" thickBot="1" x14ac:dyDescent="0.3">
      <c r="A159" s="253"/>
      <c r="B159" s="659" t="s">
        <v>117</v>
      </c>
      <c r="C159" s="296">
        <f t="shared" ref="C159:I159" si="6">SUM(C151:C157)-C158</f>
        <v>11781390.280404247</v>
      </c>
      <c r="D159" s="296">
        <f t="shared" si="6"/>
        <v>11799374.714149028</v>
      </c>
      <c r="E159" s="296">
        <f t="shared" si="6"/>
        <v>4411035.8938242383</v>
      </c>
      <c r="F159" s="296">
        <f t="shared" si="6"/>
        <v>4873030.4635531381</v>
      </c>
      <c r="G159" s="296">
        <f t="shared" si="6"/>
        <v>4392264.4209009632</v>
      </c>
      <c r="H159" s="296">
        <f t="shared" si="6"/>
        <v>4586069.360955989</v>
      </c>
      <c r="I159" s="297">
        <f t="shared" si="6"/>
        <v>4330200.7759946091</v>
      </c>
    </row>
    <row r="160" spans="1:9" x14ac:dyDescent="0.25">
      <c r="B160" s="42"/>
    </row>
    <row r="161" spans="1:9" ht="15.75" thickBot="1" x14ac:dyDescent="0.3">
      <c r="B161" s="42"/>
    </row>
    <row r="162" spans="1:9" s="42" customFormat="1" ht="24.75" customHeight="1" outlineLevel="1" thickBot="1" x14ac:dyDescent="0.25">
      <c r="A162" s="291"/>
      <c r="B162" s="247" t="s">
        <v>131</v>
      </c>
      <c r="C162" s="248"/>
      <c r="D162" s="248"/>
      <c r="E162" s="248"/>
      <c r="F162" s="248"/>
      <c r="G162" s="248"/>
      <c r="H162" s="248"/>
      <c r="I162" s="249"/>
    </row>
    <row r="163" spans="1:9" s="290" customFormat="1" ht="17.25" customHeight="1" outlineLevel="2" x14ac:dyDescent="0.25">
      <c r="A163" s="289"/>
      <c r="B163" s="304"/>
      <c r="C163" s="1378" t="s">
        <v>24</v>
      </c>
      <c r="D163" s="1378"/>
      <c r="E163" s="1378"/>
      <c r="F163" s="1378"/>
      <c r="G163" s="1378"/>
      <c r="H163" s="1378"/>
      <c r="I163" s="1378"/>
    </row>
    <row r="164" spans="1:9" s="290" customFormat="1" ht="17.25" customHeight="1" outlineLevel="2" x14ac:dyDescent="0.25">
      <c r="A164" s="289"/>
      <c r="B164"/>
      <c r="C164" s="1378" t="str">
        <f ca="1">CONCATENATE("$, real ",dms_DollarReal)</f>
        <v>$, real June 2026</v>
      </c>
      <c r="D164" s="1378"/>
      <c r="E164" s="1378"/>
      <c r="F164" s="1378"/>
      <c r="G164" s="1378"/>
      <c r="H164" s="1378"/>
      <c r="I164" s="1378"/>
    </row>
    <row r="165" spans="1:9" s="290" customFormat="1" ht="17.25" customHeight="1" outlineLevel="2" thickBot="1" x14ac:dyDescent="0.3">
      <c r="A165" s="289"/>
      <c r="B165" s="319"/>
      <c r="C165" s="314" t="str">
        <f ca="1">dms_y1</f>
        <v>2024-25</v>
      </c>
      <c r="D165" s="314" t="str">
        <f ca="1">dms_y2</f>
        <v>2025-26</v>
      </c>
      <c r="E165" s="314" t="str">
        <f ca="1">dms_y3</f>
        <v>2026-27</v>
      </c>
      <c r="F165" s="314" t="str">
        <f ca="1">dms_y4</f>
        <v>2027-28</v>
      </c>
      <c r="G165" s="314" t="str">
        <f ca="1">dms_y5</f>
        <v>2028-29</v>
      </c>
      <c r="H165" s="314" t="str">
        <f ca="1">dms_y6</f>
        <v>2029-30</v>
      </c>
      <c r="I165" s="314" t="str">
        <f ca="1">dms_y7</f>
        <v>2030-31</v>
      </c>
    </row>
    <row r="166" spans="1:9" outlineLevel="2" x14ac:dyDescent="0.25">
      <c r="A166" s="253"/>
      <c r="B166" s="585"/>
      <c r="C166" s="276"/>
      <c r="D166" s="277"/>
      <c r="E166" s="276"/>
      <c r="F166" s="277"/>
      <c r="G166" s="277"/>
      <c r="H166" s="277"/>
      <c r="I166" s="280"/>
    </row>
    <row r="167" spans="1:9" outlineLevel="2" x14ac:dyDescent="0.25">
      <c r="A167" s="253"/>
      <c r="B167" s="584"/>
      <c r="C167" s="281"/>
      <c r="D167" s="282"/>
      <c r="E167" s="281"/>
      <c r="F167" s="282"/>
      <c r="G167" s="282"/>
      <c r="H167" s="282"/>
      <c r="I167" s="284"/>
    </row>
    <row r="168" spans="1:9" outlineLevel="2" x14ac:dyDescent="0.25">
      <c r="A168" s="253"/>
      <c r="B168" s="584"/>
      <c r="C168" s="281"/>
      <c r="D168" s="282"/>
      <c r="E168" s="281"/>
      <c r="F168" s="282"/>
      <c r="G168" s="282"/>
      <c r="H168" s="282"/>
      <c r="I168" s="284"/>
    </row>
    <row r="169" spans="1:9" outlineLevel="2" x14ac:dyDescent="0.25">
      <c r="A169" s="253"/>
      <c r="B169" s="584"/>
      <c r="C169" s="281"/>
      <c r="D169" s="282"/>
      <c r="E169" s="281"/>
      <c r="F169" s="282"/>
      <c r="G169" s="282"/>
      <c r="H169" s="282"/>
      <c r="I169" s="284"/>
    </row>
    <row r="170" spans="1:9" outlineLevel="2" x14ac:dyDescent="0.25">
      <c r="A170" s="253"/>
      <c r="B170" s="584"/>
      <c r="C170" s="281"/>
      <c r="D170" s="282"/>
      <c r="E170" s="281"/>
      <c r="F170" s="282"/>
      <c r="G170" s="282"/>
      <c r="H170" s="282"/>
      <c r="I170" s="284"/>
    </row>
    <row r="171" spans="1:9" outlineLevel="2" x14ac:dyDescent="0.25">
      <c r="A171" s="253"/>
      <c r="B171" s="584"/>
      <c r="C171" s="281"/>
      <c r="D171" s="282"/>
      <c r="E171" s="281"/>
      <c r="F171" s="282"/>
      <c r="G171" s="282"/>
      <c r="H171" s="282"/>
      <c r="I171" s="284"/>
    </row>
    <row r="172" spans="1:9" outlineLevel="2" x14ac:dyDescent="0.25">
      <c r="A172" s="253"/>
      <c r="B172" s="584"/>
      <c r="C172" s="281"/>
      <c r="D172" s="282"/>
      <c r="E172" s="281"/>
      <c r="F172" s="282"/>
      <c r="G172" s="282"/>
      <c r="H172" s="282"/>
      <c r="I172" s="284"/>
    </row>
    <row r="173" spans="1:9" outlineLevel="2" x14ac:dyDescent="0.25">
      <c r="A173" s="253"/>
      <c r="B173" s="584"/>
      <c r="C173" s="281"/>
      <c r="D173" s="282"/>
      <c r="E173" s="281"/>
      <c r="F173" s="282"/>
      <c r="G173" s="282"/>
      <c r="H173" s="282"/>
      <c r="I173" s="284"/>
    </row>
    <row r="174" spans="1:9" outlineLevel="2" x14ac:dyDescent="0.25">
      <c r="A174" s="253"/>
      <c r="B174" s="584"/>
      <c r="C174" s="281"/>
      <c r="D174" s="282"/>
      <c r="E174" s="281"/>
      <c r="F174" s="282"/>
      <c r="G174" s="282"/>
      <c r="H174" s="282"/>
      <c r="I174" s="284"/>
    </row>
    <row r="175" spans="1:9" outlineLevel="2" x14ac:dyDescent="0.25">
      <c r="A175" s="253"/>
      <c r="B175" s="584"/>
      <c r="C175" s="281"/>
      <c r="D175" s="282"/>
      <c r="E175" s="281"/>
      <c r="F175" s="282"/>
      <c r="G175" s="282"/>
      <c r="H175" s="282"/>
      <c r="I175" s="284"/>
    </row>
    <row r="176" spans="1:9" outlineLevel="2" x14ac:dyDescent="0.25">
      <c r="A176" s="253"/>
      <c r="B176" s="584"/>
      <c r="C176" s="281"/>
      <c r="D176" s="282"/>
      <c r="E176" s="281"/>
      <c r="F176" s="282"/>
      <c r="G176" s="282"/>
      <c r="H176" s="282"/>
      <c r="I176" s="284"/>
    </row>
    <row r="177" spans="1:9" outlineLevel="2" x14ac:dyDescent="0.25">
      <c r="A177" s="253"/>
      <c r="B177" s="584"/>
      <c r="C177" s="281"/>
      <c r="D177" s="282"/>
      <c r="E177" s="281"/>
      <c r="F177" s="282"/>
      <c r="G177" s="282"/>
      <c r="H177" s="282"/>
      <c r="I177" s="284"/>
    </row>
    <row r="178" spans="1:9" outlineLevel="2" x14ac:dyDescent="0.25">
      <c r="A178" s="253"/>
      <c r="B178" s="584"/>
      <c r="C178" s="281"/>
      <c r="D178" s="282"/>
      <c r="E178" s="281"/>
      <c r="F178" s="282"/>
      <c r="G178" s="282"/>
      <c r="H178" s="282"/>
      <c r="I178" s="284"/>
    </row>
    <row r="179" spans="1:9" outlineLevel="2" x14ac:dyDescent="0.25">
      <c r="A179" s="253"/>
      <c r="B179" s="584"/>
      <c r="C179" s="281"/>
      <c r="D179" s="282"/>
      <c r="E179" s="281"/>
      <c r="F179" s="282"/>
      <c r="G179" s="282"/>
      <c r="H179" s="282"/>
      <c r="I179" s="284"/>
    </row>
    <row r="180" spans="1:9" outlineLevel="2" x14ac:dyDescent="0.25">
      <c r="A180" s="253"/>
      <c r="B180" s="584"/>
      <c r="C180" s="281"/>
      <c r="D180" s="282"/>
      <c r="E180" s="281"/>
      <c r="F180" s="282"/>
      <c r="G180" s="282"/>
      <c r="H180" s="282"/>
      <c r="I180" s="284"/>
    </row>
    <row r="181" spans="1:9" outlineLevel="2" x14ac:dyDescent="0.25">
      <c r="A181" s="253"/>
      <c r="B181" s="584"/>
      <c r="C181" s="281"/>
      <c r="D181" s="282"/>
      <c r="E181" s="281"/>
      <c r="F181" s="282"/>
      <c r="G181" s="282"/>
      <c r="H181" s="282"/>
      <c r="I181" s="284"/>
    </row>
    <row r="182" spans="1:9" outlineLevel="2" x14ac:dyDescent="0.25">
      <c r="A182" s="253"/>
      <c r="B182" s="584"/>
      <c r="C182" s="285"/>
      <c r="D182" s="271"/>
      <c r="E182" s="285"/>
      <c r="F182" s="271"/>
      <c r="G182" s="271"/>
      <c r="H182" s="271"/>
      <c r="I182" s="272"/>
    </row>
    <row r="183" spans="1:9" outlineLevel="2" x14ac:dyDescent="0.25">
      <c r="A183" s="253"/>
      <c r="B183" s="584"/>
      <c r="C183" s="285"/>
      <c r="D183" s="271"/>
      <c r="E183" s="285"/>
      <c r="F183" s="271"/>
      <c r="G183" s="271"/>
      <c r="H183" s="271"/>
      <c r="I183" s="272"/>
    </row>
    <row r="184" spans="1:9" outlineLevel="2" x14ac:dyDescent="0.25">
      <c r="A184" s="253"/>
      <c r="B184" s="584"/>
      <c r="C184" s="285"/>
      <c r="D184" s="271"/>
      <c r="E184" s="285"/>
      <c r="F184" s="271"/>
      <c r="G184" s="271"/>
      <c r="H184" s="271"/>
      <c r="I184" s="272"/>
    </row>
    <row r="185" spans="1:9" outlineLevel="2" x14ac:dyDescent="0.25">
      <c r="A185" s="253"/>
      <c r="B185" s="584"/>
      <c r="C185" s="285"/>
      <c r="D185" s="271"/>
      <c r="E185" s="285"/>
      <c r="F185" s="271"/>
      <c r="G185" s="271"/>
      <c r="H185" s="271"/>
      <c r="I185" s="272"/>
    </row>
    <row r="186" spans="1:9" outlineLevel="2" x14ac:dyDescent="0.25">
      <c r="A186" s="253"/>
      <c r="B186" s="584"/>
      <c r="C186" s="285"/>
      <c r="D186" s="271"/>
      <c r="E186" s="285"/>
      <c r="F186" s="271"/>
      <c r="G186" s="271"/>
      <c r="H186" s="271"/>
      <c r="I186" s="272"/>
    </row>
    <row r="187" spans="1:9" outlineLevel="2" x14ac:dyDescent="0.25">
      <c r="A187" s="253"/>
      <c r="B187" s="1200"/>
      <c r="C187" s="298"/>
      <c r="D187" s="301"/>
      <c r="E187" s="298"/>
      <c r="F187" s="301"/>
      <c r="G187" s="301"/>
      <c r="H187" s="301"/>
      <c r="I187" s="302"/>
    </row>
    <row r="188" spans="1:9" ht="15.75" outlineLevel="2" thickBot="1" x14ac:dyDescent="0.3">
      <c r="A188" s="253"/>
      <c r="B188" s="1199" t="s">
        <v>130</v>
      </c>
      <c r="C188" s="622"/>
      <c r="D188" s="623"/>
      <c r="E188" s="622"/>
      <c r="F188" s="623"/>
      <c r="G188" s="623"/>
      <c r="H188" s="623"/>
      <c r="I188" s="624"/>
    </row>
    <row r="189" spans="1:9" ht="15.75" outlineLevel="2" thickBot="1" x14ac:dyDescent="0.3">
      <c r="A189" s="253"/>
      <c r="B189" s="659" t="s">
        <v>117</v>
      </c>
      <c r="C189" s="296">
        <f t="shared" ref="C189:I189" si="7">SUM(C166:C187)-C188</f>
        <v>0</v>
      </c>
      <c r="D189" s="296">
        <f t="shared" si="7"/>
        <v>0</v>
      </c>
      <c r="E189" s="296">
        <f t="shared" si="7"/>
        <v>0</v>
      </c>
      <c r="F189" s="296">
        <f t="shared" si="7"/>
        <v>0</v>
      </c>
      <c r="G189" s="296">
        <f t="shared" si="7"/>
        <v>0</v>
      </c>
      <c r="H189" s="296">
        <f t="shared" si="7"/>
        <v>0</v>
      </c>
      <c r="I189" s="297">
        <f t="shared" si="7"/>
        <v>0</v>
      </c>
    </row>
    <row r="190" spans="1:9" x14ac:dyDescent="0.25">
      <c r="B190" s="4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249977111117893"/>
  </sheetPr>
  <dimension ref="A1:K749"/>
  <sheetViews>
    <sheetView showGridLines="0" topLeftCell="A66" zoomScale="85" zoomScaleNormal="85" workbookViewId="0"/>
  </sheetViews>
  <sheetFormatPr defaultColWidth="9.140625" defaultRowHeight="15" outlineLevelRow="4" x14ac:dyDescent="0.25"/>
  <cols>
    <col min="1" max="1" width="22.7109375" customWidth="1"/>
    <col min="2" max="2" width="61" customWidth="1"/>
    <col min="3" max="3" width="30.5703125" customWidth="1"/>
    <col min="4" max="10" width="20.7109375" customWidth="1"/>
  </cols>
  <sheetData>
    <row r="1" spans="1:10" ht="30" customHeight="1" x14ac:dyDescent="0.25">
      <c r="A1" s="1112"/>
      <c r="B1" s="1112" t="str">
        <f>INDEX(dms_Worksheet_List,MATCH(dms_Model,dms_Model_List))</f>
        <v>REGULATORY REPORTING STATEMENT</v>
      </c>
      <c r="C1" s="26"/>
      <c r="D1" s="26"/>
      <c r="E1" s="26"/>
      <c r="F1" s="26"/>
      <c r="G1" s="1502" t="s">
        <v>96</v>
      </c>
      <c r="H1" s="1503" t="s">
        <v>97</v>
      </c>
      <c r="I1" s="26"/>
      <c r="J1" s="26"/>
    </row>
    <row r="2" spans="1:10" ht="30" customHeight="1" x14ac:dyDescent="0.25">
      <c r="A2" s="1113"/>
      <c r="B2" s="1113" t="str">
        <f>dms_TradingNameFull</f>
        <v>Australian Gas Networks Limited (reporting data for SA)</v>
      </c>
      <c r="C2" s="26"/>
      <c r="D2" s="26"/>
      <c r="E2" s="26"/>
      <c r="F2" s="26"/>
      <c r="G2" s="1504" t="s">
        <v>98</v>
      </c>
      <c r="H2" s="1505" t="s">
        <v>92</v>
      </c>
      <c r="I2" s="26"/>
      <c r="J2" s="26"/>
    </row>
    <row r="3" spans="1:10" ht="30" customHeight="1" x14ac:dyDescent="0.25">
      <c r="A3" s="1115"/>
      <c r="B3" s="1115" t="str">
        <f ca="1">dms_Header_Span</f>
        <v>2024-25 to 2030-31</v>
      </c>
      <c r="C3" s="26"/>
      <c r="D3" s="26"/>
      <c r="E3" s="26"/>
      <c r="F3" s="26"/>
      <c r="G3" s="1506" t="s">
        <v>99</v>
      </c>
      <c r="H3" s="1507" t="s">
        <v>100</v>
      </c>
      <c r="I3" s="26"/>
      <c r="J3" s="26"/>
    </row>
    <row r="4" spans="1:10" ht="30" customHeight="1" x14ac:dyDescent="0.25">
      <c r="A4" s="621"/>
      <c r="B4" s="621" t="s">
        <v>132</v>
      </c>
      <c r="C4" s="621"/>
      <c r="D4" s="621"/>
      <c r="E4" s="621"/>
      <c r="F4" s="621"/>
      <c r="G4" s="1508" t="s">
        <v>102</v>
      </c>
      <c r="H4" s="1509" t="s">
        <v>103</v>
      </c>
      <c r="I4" s="621"/>
      <c r="J4" s="621"/>
    </row>
    <row r="5" spans="1:10" ht="30" customHeight="1" x14ac:dyDescent="0.25">
      <c r="B5" s="1492" t="s">
        <v>104</v>
      </c>
      <c r="C5" s="1492"/>
      <c r="D5" s="1492"/>
      <c r="E5" s="1492"/>
      <c r="F5" s="1492"/>
      <c r="G5" s="1492"/>
      <c r="H5" s="1492"/>
      <c r="I5" s="1492"/>
      <c r="J5" s="1492"/>
    </row>
    <row r="6" spans="1:10" s="317" customFormat="1" ht="12.75" x14ac:dyDescent="0.2"/>
    <row r="7" spans="1:10" ht="12" customHeight="1" x14ac:dyDescent="0.25"/>
    <row r="8" spans="1:10" ht="19.5" thickBot="1" x14ac:dyDescent="0.35">
      <c r="B8" s="523" t="s">
        <v>133</v>
      </c>
    </row>
    <row r="9" spans="1:10" x14ac:dyDescent="0.25">
      <c r="B9" s="524" t="s">
        <v>1411</v>
      </c>
      <c r="C9" s="525"/>
    </row>
    <row r="10" spans="1:10" x14ac:dyDescent="0.25">
      <c r="B10" s="526" t="s">
        <v>1412</v>
      </c>
      <c r="C10" s="527"/>
    </row>
    <row r="11" spans="1:10" x14ac:dyDescent="0.25">
      <c r="B11" s="528" t="s">
        <v>1413</v>
      </c>
      <c r="C11" s="529"/>
    </row>
    <row r="12" spans="1:10" x14ac:dyDescent="0.25">
      <c r="B12" s="526" t="s">
        <v>1414</v>
      </c>
      <c r="C12" s="527"/>
    </row>
    <row r="13" spans="1:10" x14ac:dyDescent="0.25">
      <c r="B13" s="528" t="s">
        <v>1415</v>
      </c>
      <c r="C13" s="529"/>
    </row>
    <row r="14" spans="1:10" x14ac:dyDescent="0.25">
      <c r="B14" s="526" t="s">
        <v>1416</v>
      </c>
      <c r="C14" s="527"/>
    </row>
    <row r="15" spans="1:10" x14ac:dyDescent="0.25">
      <c r="B15" s="528" t="s">
        <v>1417</v>
      </c>
      <c r="C15" s="529"/>
    </row>
    <row r="16" spans="1:10" outlineLevel="1" x14ac:dyDescent="0.25">
      <c r="B16" s="526" t="s">
        <v>1418</v>
      </c>
      <c r="C16" s="527"/>
    </row>
    <row r="17" spans="2:3" outlineLevel="1" x14ac:dyDescent="0.25">
      <c r="B17" s="528" t="s">
        <v>1419</v>
      </c>
      <c r="C17" s="529"/>
    </row>
    <row r="18" spans="2:3" outlineLevel="1" x14ac:dyDescent="0.25">
      <c r="B18" s="526" t="s">
        <v>1420</v>
      </c>
      <c r="C18" s="527"/>
    </row>
    <row r="19" spans="2:3" outlineLevel="1" x14ac:dyDescent="0.25">
      <c r="B19" s="528" t="s">
        <v>1421</v>
      </c>
      <c r="C19" s="529"/>
    </row>
    <row r="20" spans="2:3" outlineLevel="1" x14ac:dyDescent="0.25">
      <c r="B20" s="526" t="s">
        <v>1422</v>
      </c>
      <c r="C20" s="527"/>
    </row>
    <row r="21" spans="2:3" outlineLevel="1" x14ac:dyDescent="0.25">
      <c r="B21" s="528" t="s">
        <v>1423</v>
      </c>
      <c r="C21" s="529"/>
    </row>
    <row r="22" spans="2:3" outlineLevel="1" x14ac:dyDescent="0.25">
      <c r="B22" s="526" t="s">
        <v>1424</v>
      </c>
      <c r="C22" s="527"/>
    </row>
    <row r="23" spans="2:3" outlineLevel="1" x14ac:dyDescent="0.25">
      <c r="B23" s="528" t="s">
        <v>1425</v>
      </c>
      <c r="C23" s="530"/>
    </row>
    <row r="24" spans="2:3" outlineLevel="2" x14ac:dyDescent="0.25">
      <c r="B24" s="526" t="s">
        <v>1426</v>
      </c>
      <c r="C24" s="531"/>
    </row>
    <row r="25" spans="2:3" outlineLevel="2" x14ac:dyDescent="0.25">
      <c r="B25" s="528" t="s">
        <v>1427</v>
      </c>
      <c r="C25" s="530"/>
    </row>
    <row r="26" spans="2:3" outlineLevel="2" x14ac:dyDescent="0.25">
      <c r="B26" s="526" t="s">
        <v>1428</v>
      </c>
      <c r="C26" s="531"/>
    </row>
    <row r="27" spans="2:3" outlineLevel="2" x14ac:dyDescent="0.25">
      <c r="B27" s="528" t="s">
        <v>1429</v>
      </c>
      <c r="C27" s="530"/>
    </row>
    <row r="28" spans="2:3" outlineLevel="2" x14ac:dyDescent="0.25">
      <c r="B28" s="526" t="s">
        <v>1430</v>
      </c>
      <c r="C28" s="531"/>
    </row>
    <row r="29" spans="2:3" outlineLevel="2" x14ac:dyDescent="0.25">
      <c r="B29" s="528" t="s">
        <v>1431</v>
      </c>
      <c r="C29" s="530"/>
    </row>
    <row r="30" spans="2:3" outlineLevel="2" x14ac:dyDescent="0.25">
      <c r="B30" s="526" t="s">
        <v>1432</v>
      </c>
      <c r="C30" s="531"/>
    </row>
    <row r="31" spans="2:3" outlineLevel="2" x14ac:dyDescent="0.25">
      <c r="B31" s="528" t="s">
        <v>1433</v>
      </c>
      <c r="C31" s="530"/>
    </row>
    <row r="32" spans="2:3" outlineLevel="2" x14ac:dyDescent="0.25">
      <c r="B32" s="526" t="s">
        <v>1434</v>
      </c>
      <c r="C32" s="531"/>
    </row>
    <row r="33" spans="2:3" outlineLevel="2" x14ac:dyDescent="0.25">
      <c r="B33" s="528" t="s">
        <v>1435</v>
      </c>
      <c r="C33" s="530"/>
    </row>
    <row r="34" spans="2:3" outlineLevel="2" x14ac:dyDescent="0.25">
      <c r="B34" s="526" t="s">
        <v>1436</v>
      </c>
      <c r="C34" s="531"/>
    </row>
    <row r="35" spans="2:3" outlineLevel="2" x14ac:dyDescent="0.25">
      <c r="B35" s="528" t="s">
        <v>1437</v>
      </c>
      <c r="C35" s="530"/>
    </row>
    <row r="36" spans="2:3" outlineLevel="2" x14ac:dyDescent="0.25">
      <c r="B36" s="526" t="s">
        <v>1438</v>
      </c>
      <c r="C36" s="531"/>
    </row>
    <row r="37" spans="2:3" outlineLevel="2" x14ac:dyDescent="0.25">
      <c r="B37" s="528"/>
      <c r="C37" s="530"/>
    </row>
    <row r="38" spans="2:3" outlineLevel="2" x14ac:dyDescent="0.25">
      <c r="B38" s="526"/>
      <c r="C38" s="531"/>
    </row>
    <row r="39" spans="2:3" outlineLevel="2" x14ac:dyDescent="0.25">
      <c r="B39" s="528"/>
      <c r="C39" s="530"/>
    </row>
    <row r="40" spans="2:3" outlineLevel="2" x14ac:dyDescent="0.25">
      <c r="B40" s="526"/>
      <c r="C40" s="531"/>
    </row>
    <row r="41" spans="2:3" outlineLevel="2" x14ac:dyDescent="0.25">
      <c r="B41" s="528"/>
      <c r="C41" s="530"/>
    </row>
    <row r="42" spans="2:3" outlineLevel="2" x14ac:dyDescent="0.25">
      <c r="B42" s="526"/>
      <c r="C42" s="531"/>
    </row>
    <row r="43" spans="2:3" outlineLevel="2" x14ac:dyDescent="0.25">
      <c r="B43" s="528"/>
      <c r="C43" s="530"/>
    </row>
    <row r="44" spans="2:3" outlineLevel="2" x14ac:dyDescent="0.25">
      <c r="B44" s="526"/>
      <c r="C44" s="531"/>
    </row>
    <row r="45" spans="2:3" outlineLevel="2" x14ac:dyDescent="0.25">
      <c r="B45" s="528"/>
      <c r="C45" s="530"/>
    </row>
    <row r="46" spans="2:3" outlineLevel="2" x14ac:dyDescent="0.25">
      <c r="B46" s="526"/>
      <c r="C46" s="531"/>
    </row>
    <row r="47" spans="2:3" outlineLevel="2" x14ac:dyDescent="0.25">
      <c r="B47" s="528"/>
      <c r="C47" s="530"/>
    </row>
    <row r="48" spans="2:3" outlineLevel="2" x14ac:dyDescent="0.25">
      <c r="B48" s="526"/>
      <c r="C48" s="531"/>
    </row>
    <row r="49" spans="1:10" outlineLevel="2" x14ac:dyDescent="0.25">
      <c r="B49" s="528"/>
      <c r="C49" s="530"/>
    </row>
    <row r="50" spans="1:10" outlineLevel="2" x14ac:dyDescent="0.25">
      <c r="B50" s="526"/>
      <c r="C50" s="531"/>
    </row>
    <row r="51" spans="1:10" outlineLevel="2" x14ac:dyDescent="0.25">
      <c r="B51" s="532"/>
      <c r="C51" s="530"/>
    </row>
    <row r="52" spans="1:10" outlineLevel="2" x14ac:dyDescent="0.25">
      <c r="B52" s="533"/>
      <c r="C52" s="531"/>
    </row>
    <row r="53" spans="1:10" outlineLevel="2" x14ac:dyDescent="0.25">
      <c r="B53" s="532"/>
      <c r="C53" s="530"/>
    </row>
    <row r="54" spans="1:10" outlineLevel="2" x14ac:dyDescent="0.25">
      <c r="B54" s="533"/>
      <c r="C54" s="531"/>
    </row>
    <row r="55" spans="1:10" outlineLevel="2" x14ac:dyDescent="0.25">
      <c r="B55" s="532"/>
      <c r="C55" s="530"/>
    </row>
    <row r="56" spans="1:10" outlineLevel="2" x14ac:dyDescent="0.25">
      <c r="B56" s="533"/>
      <c r="C56" s="531"/>
    </row>
    <row r="57" spans="1:10" outlineLevel="2" x14ac:dyDescent="0.25">
      <c r="B57" s="532"/>
      <c r="C57" s="530"/>
    </row>
    <row r="58" spans="1:10" ht="15.75" outlineLevel="2" thickBot="1" x14ac:dyDescent="0.3">
      <c r="B58" s="534"/>
      <c r="C58" s="535"/>
    </row>
    <row r="59" spans="1:10" x14ac:dyDescent="0.25">
      <c r="B59" s="75"/>
    </row>
    <row r="60" spans="1:10" ht="15.75" thickBot="1" x14ac:dyDescent="0.3">
      <c r="B60" s="75"/>
    </row>
    <row r="61" spans="1:10" s="318" customFormat="1" ht="24" customHeight="1" thickBot="1" x14ac:dyDescent="0.3">
      <c r="B61" s="32" t="s">
        <v>134</v>
      </c>
      <c r="C61" s="32"/>
      <c r="D61" s="32"/>
      <c r="E61" s="32"/>
      <c r="F61" s="32"/>
      <c r="G61" s="32"/>
      <c r="H61" s="32"/>
      <c r="I61" s="32"/>
      <c r="J61" s="32"/>
    </row>
    <row r="62" spans="1:10" s="318" customFormat="1" ht="24" customHeight="1" outlineLevel="1" thickBot="1" x14ac:dyDescent="0.3">
      <c r="B62" s="247" t="s">
        <v>135</v>
      </c>
      <c r="C62" s="248"/>
      <c r="D62" s="248"/>
      <c r="E62" s="248"/>
      <c r="F62" s="248"/>
      <c r="G62" s="248"/>
      <c r="H62" s="248"/>
      <c r="I62" s="248"/>
      <c r="J62" s="248"/>
    </row>
    <row r="63" spans="1:10" s="42" customFormat="1" ht="15" customHeight="1" outlineLevel="2" x14ac:dyDescent="0.25">
      <c r="A63" s="291"/>
      <c r="B63"/>
      <c r="C63"/>
      <c r="D63" s="1378" t="s">
        <v>24</v>
      </c>
      <c r="E63" s="1378"/>
      <c r="F63" s="1378"/>
      <c r="G63" s="1378"/>
      <c r="H63" s="1378"/>
      <c r="I63" s="1378"/>
      <c r="J63" s="1378"/>
    </row>
    <row r="64" spans="1:10" s="42" customFormat="1" ht="15" customHeight="1" outlineLevel="2" x14ac:dyDescent="0.25">
      <c r="A64" s="291"/>
      <c r="B64"/>
      <c r="C64"/>
      <c r="D64" s="1378" t="str">
        <f ca="1">CONCATENATE("$, real ",dms_DollarReal)</f>
        <v>$, real June 2026</v>
      </c>
      <c r="E64" s="1378"/>
      <c r="F64" s="1378"/>
      <c r="G64" s="1378"/>
      <c r="H64" s="1378"/>
      <c r="I64" s="1378"/>
      <c r="J64" s="1378"/>
    </row>
    <row r="65" spans="1:10" s="42" customFormat="1" ht="15.75" customHeight="1" outlineLevel="2" thickBot="1" x14ac:dyDescent="0.3">
      <c r="A65" s="291"/>
      <c r="B65" s="78"/>
      <c r="C65" s="319"/>
      <c r="D65" s="314" t="str">
        <f ca="1">dms_y1</f>
        <v>2024-25</v>
      </c>
      <c r="E65" s="314" t="str">
        <f ca="1">dms_y2</f>
        <v>2025-26</v>
      </c>
      <c r="F65" s="314" t="str">
        <f ca="1">dms_y3</f>
        <v>2026-27</v>
      </c>
      <c r="G65" s="314" t="str">
        <f ca="1">dms_y4</f>
        <v>2027-28</v>
      </c>
      <c r="H65" s="314" t="str">
        <f ca="1">dms_y5</f>
        <v>2028-29</v>
      </c>
      <c r="I65" s="314" t="str">
        <f ca="1">dms_y6</f>
        <v>2029-30</v>
      </c>
      <c r="J65" s="314" t="str">
        <f ca="1">dms_y7</f>
        <v>2030-31</v>
      </c>
    </row>
    <row r="66" spans="1:10" ht="21.75" customHeight="1" outlineLevel="2" thickBot="1" x14ac:dyDescent="0.3">
      <c r="B66" s="250" t="s">
        <v>136</v>
      </c>
      <c r="C66" s="251"/>
      <c r="D66" s="251"/>
      <c r="E66" s="251"/>
      <c r="F66" s="251"/>
      <c r="G66" s="251"/>
      <c r="H66" s="251"/>
      <c r="I66" s="251"/>
      <c r="J66" s="251"/>
    </row>
    <row r="67" spans="1:10" ht="15.75" customHeight="1" outlineLevel="4" x14ac:dyDescent="0.25">
      <c r="B67" s="536" t="str">
        <f>IF(ISBLANK(dms_E2_Projects_01),"",dms_E2_Projects_01)</f>
        <v>S_MRH575_CY23 North West</v>
      </c>
      <c r="C67" s="537"/>
      <c r="D67" s="285"/>
      <c r="E67" s="278"/>
      <c r="F67" s="310"/>
      <c r="G67" s="271"/>
      <c r="H67" s="271"/>
      <c r="I67" s="271"/>
      <c r="J67" s="271"/>
    </row>
    <row r="68" spans="1:10" ht="15.75" customHeight="1" outlineLevel="4" x14ac:dyDescent="0.25">
      <c r="B68" s="536" t="str">
        <f>IF(ISBLANK(dms_E2_Projects_02),"",dms_E2_Projects_02)</f>
        <v>S_MRH575_CY24 HDPE575 South</v>
      </c>
      <c r="C68" s="538"/>
      <c r="D68" s="539"/>
      <c r="E68" s="575"/>
      <c r="F68" s="576"/>
      <c r="G68" s="540"/>
      <c r="H68" s="540"/>
      <c r="I68" s="540"/>
      <c r="J68" s="540"/>
    </row>
    <row r="69" spans="1:10" ht="15.75" customHeight="1" outlineLevel="4" x14ac:dyDescent="0.25">
      <c r="B69" s="536" t="str">
        <f>IF(ISBLANK(dms_E2_Projects_03),"",dms_E2_Projects_03)</f>
        <v>S_MRH575_CY24 GoldenGroveB</v>
      </c>
      <c r="C69" s="538"/>
      <c r="D69" s="285"/>
      <c r="E69" s="286"/>
      <c r="F69" s="311"/>
      <c r="G69" s="271"/>
      <c r="H69" s="271"/>
      <c r="I69" s="271"/>
      <c r="J69" s="271"/>
    </row>
    <row r="70" spans="1:10" ht="15.75" customHeight="1" outlineLevel="4" x14ac:dyDescent="0.25">
      <c r="B70" s="536" t="str">
        <f>IF(ISBLANK(dms_E2_Projects_04),"",dms_E2_Projects_04)</f>
        <v>S_MRH575_CY24_PortPirie_1</v>
      </c>
      <c r="C70" s="538"/>
      <c r="D70" s="539"/>
      <c r="E70" s="575"/>
      <c r="F70" s="576"/>
      <c r="G70" s="540"/>
      <c r="H70" s="540"/>
      <c r="I70" s="540"/>
      <c r="J70" s="540"/>
    </row>
    <row r="71" spans="1:10" ht="15.75" customHeight="1" outlineLevel="4" x14ac:dyDescent="0.25">
      <c r="B71" s="536" t="str">
        <f>IF(ISBLANK(dms_E2_Projects_05),"",dms_E2_Projects_05)</f>
        <v>S_MRH575_CY24_SHEIDOW_PARK</v>
      </c>
      <c r="C71" s="538"/>
      <c r="D71" s="285"/>
      <c r="E71" s="286"/>
      <c r="F71" s="311"/>
      <c r="G71" s="271"/>
      <c r="H71" s="271"/>
      <c r="I71" s="271"/>
      <c r="J71" s="271"/>
    </row>
    <row r="72" spans="1:10" ht="15.75" customHeight="1" outlineLevel="4" x14ac:dyDescent="0.25">
      <c r="B72" s="536" t="str">
        <f>IF(ISBLANK(dms_E2_Projects_06),"",dms_E2_Projects_06)</f>
        <v>S_MRH575_CY24_ONKAPARINGAHILLS</v>
      </c>
      <c r="C72" s="538"/>
      <c r="D72" s="539"/>
      <c r="E72" s="575"/>
      <c r="F72" s="576"/>
      <c r="G72" s="540"/>
      <c r="H72" s="540"/>
      <c r="I72" s="540"/>
      <c r="J72" s="540"/>
    </row>
    <row r="73" spans="1:10" ht="15.75" customHeight="1" outlineLevel="4" x14ac:dyDescent="0.25">
      <c r="B73" s="536" t="str">
        <f>IF(ISBLANK(dms_E2_Projects_07),"",dms_E2_Projects_07)</f>
        <v>S_MRH575_CY25_Aberfoyle Park</v>
      </c>
      <c r="C73" s="538"/>
      <c r="D73" s="285"/>
      <c r="E73" s="286"/>
      <c r="F73" s="311"/>
      <c r="G73" s="271"/>
      <c r="H73" s="271"/>
      <c r="I73" s="271"/>
      <c r="J73" s="271"/>
    </row>
    <row r="74" spans="1:10" ht="15.75" customHeight="1" outlineLevel="4" x14ac:dyDescent="0.25">
      <c r="B74" s="536" t="str">
        <f>IF(ISBLANK(dms_E2_Projects_08),"",dms_E2_Projects_08)</f>
        <v>2362_MAINS RENEWAL - HDPE 575</v>
      </c>
      <c r="C74" s="538"/>
      <c r="D74" s="539"/>
      <c r="E74" s="575"/>
      <c r="F74" s="576"/>
      <c r="G74" s="540"/>
      <c r="H74" s="540"/>
      <c r="I74" s="540"/>
      <c r="J74" s="540"/>
    </row>
    <row r="75" spans="1:10" ht="15.75" customHeight="1" outlineLevel="4" x14ac:dyDescent="0.25">
      <c r="B75" s="536" t="str">
        <f>IF(ISBLANK(dms_E2_Projects_09),"",dms_E2_Projects_09)</f>
        <v>S_MRB_CY21 Semaphore</v>
      </c>
      <c r="C75" s="538"/>
      <c r="D75" s="285"/>
      <c r="E75" s="286"/>
      <c r="F75" s="311"/>
      <c r="G75" s="271"/>
      <c r="H75" s="271"/>
      <c r="I75" s="271"/>
      <c r="J75" s="271"/>
    </row>
    <row r="76" spans="1:10" ht="15.75" customHeight="1" outlineLevel="4" x14ac:dyDescent="0.25">
      <c r="B76" s="536" t="str">
        <f>IF(ISBLANK(dms_E2_Projects_10),"",dms_E2_Projects_10)</f>
        <v>2366_S_MRB_CY24_North Adelaide_C</v>
      </c>
      <c r="C76" s="538"/>
      <c r="D76" s="539"/>
      <c r="E76" s="575"/>
      <c r="F76" s="576"/>
      <c r="G76" s="540"/>
      <c r="H76" s="540"/>
      <c r="I76" s="540"/>
      <c r="J76" s="540"/>
    </row>
    <row r="77" spans="1:10" ht="15.75" customHeight="1" outlineLevel="4" x14ac:dyDescent="0.25">
      <c r="B77" s="536" t="str">
        <f>IF(ISBLANK(dms_E2_Projects_11),"",dms_E2_Projects_11)</f>
        <v>S_MRB_CY24_Semaphore_Sth</v>
      </c>
      <c r="C77" s="538"/>
      <c r="D77" s="285"/>
      <c r="E77" s="286"/>
      <c r="F77" s="311"/>
      <c r="G77" s="271"/>
      <c r="H77" s="271"/>
      <c r="I77" s="271"/>
      <c r="J77" s="271"/>
    </row>
    <row r="78" spans="1:10" ht="15.75" customHeight="1" outlineLevel="4" x14ac:dyDescent="0.25">
      <c r="B78" s="536" t="str">
        <f>IF(ISBLANK(dms_E2_Projects_12),"",dms_E2_Projects_12)</f>
        <v>S_MRB_CY24_Millswood</v>
      </c>
      <c r="C78" s="538"/>
      <c r="D78" s="539"/>
      <c r="E78" s="575"/>
      <c r="F78" s="576"/>
      <c r="G78" s="540"/>
      <c r="H78" s="540"/>
      <c r="I78" s="540"/>
      <c r="J78" s="540"/>
    </row>
    <row r="79" spans="1:10" ht="15.75" customHeight="1" outlineLevel="4" x14ac:dyDescent="0.25">
      <c r="B79" s="536" t="str">
        <f>IF(ISBLANK(dms_E2_Projects_13),"",dms_E2_Projects_13)</f>
        <v>S_MRB_CY24_PASADENA</v>
      </c>
      <c r="C79" s="538"/>
      <c r="D79" s="285"/>
      <c r="E79" s="286"/>
      <c r="F79" s="311"/>
      <c r="G79" s="271"/>
      <c r="H79" s="271"/>
      <c r="I79" s="271"/>
      <c r="J79" s="271"/>
    </row>
    <row r="80" spans="1:10" ht="15.75" customHeight="1" outlineLevel="4" x14ac:dyDescent="0.25">
      <c r="B80" s="536" t="str">
        <f>IF(ISBLANK(dms_E2_Projects_14),"",dms_E2_Projects_14)</f>
        <v>S_MRB_CY24_ROSTREVOR</v>
      </c>
      <c r="C80" s="538"/>
      <c r="D80" s="539"/>
      <c r="E80" s="575"/>
      <c r="F80" s="576"/>
      <c r="G80" s="540"/>
      <c r="H80" s="540"/>
      <c r="I80" s="540"/>
      <c r="J80" s="540"/>
    </row>
    <row r="81" spans="2:10" ht="15.75" customHeight="1" outlineLevel="4" x14ac:dyDescent="0.25">
      <c r="B81" s="536" t="str">
        <f>IF(ISBLANK(dms_E2_Projects_15),"",dms_E2_Projects_15)</f>
        <v>S_MRB_CY24_WOODVILLE_PARK</v>
      </c>
      <c r="C81" s="538"/>
      <c r="D81" s="285"/>
      <c r="E81" s="286"/>
      <c r="F81" s="311"/>
      <c r="G81" s="271"/>
      <c r="H81" s="271"/>
      <c r="I81" s="271"/>
      <c r="J81" s="271"/>
    </row>
    <row r="82" spans="2:10" ht="15.75" customHeight="1" outlineLevel="4" x14ac:dyDescent="0.25">
      <c r="B82" s="536" t="str">
        <f>IF(ISBLANK(dms_E2_Projects_16),"",dms_E2_Projects_16)</f>
        <v>S_MRB_CY24_PORT_ADELAIDE_A</v>
      </c>
      <c r="C82" s="538"/>
      <c r="D82" s="539"/>
      <c r="E82" s="575"/>
      <c r="F82" s="576"/>
      <c r="G82" s="540"/>
      <c r="H82" s="540"/>
      <c r="I82" s="540"/>
      <c r="J82" s="540"/>
    </row>
    <row r="83" spans="2:10" ht="15.75" customHeight="1" outlineLevel="4" x14ac:dyDescent="0.25">
      <c r="B83" s="541" t="str">
        <f>IF(ISBLANK(dms_E2_Projects_17),"",dms_E2_Projects_17)</f>
        <v>S_MRB_CY25_Edwardstown A</v>
      </c>
      <c r="C83" s="538"/>
      <c r="D83" s="285"/>
      <c r="E83" s="286"/>
      <c r="F83" s="311"/>
      <c r="G83" s="271"/>
      <c r="H83" s="271"/>
      <c r="I83" s="271"/>
      <c r="J83" s="271"/>
    </row>
    <row r="84" spans="2:10" ht="15.75" customHeight="1" outlineLevel="4" x14ac:dyDescent="0.25">
      <c r="B84" s="541" t="str">
        <f>IF(ISBLANK(dms_E2_Projects_18),"",dms_E2_Projects_18)</f>
        <v>S_MRB_CY25_Burnside A</v>
      </c>
      <c r="C84" s="538"/>
      <c r="D84" s="539"/>
      <c r="E84" s="575"/>
      <c r="F84" s="576"/>
      <c r="G84" s="540"/>
      <c r="H84" s="540"/>
      <c r="I84" s="540"/>
      <c r="J84" s="540"/>
    </row>
    <row r="85" spans="2:10" ht="15.75" customHeight="1" outlineLevel="4" x14ac:dyDescent="0.25">
      <c r="B85" s="541" t="str">
        <f>IF(ISBLANK(dms_E2_Projects_19),"",dms_E2_Projects_19)</f>
        <v>S_MRB_CY25_Auldana_A</v>
      </c>
      <c r="C85" s="538"/>
      <c r="D85" s="285"/>
      <c r="E85" s="286"/>
      <c r="F85" s="311"/>
      <c r="G85" s="271"/>
      <c r="H85" s="271"/>
      <c r="I85" s="271"/>
      <c r="J85" s="271"/>
    </row>
    <row r="86" spans="2:10" ht="15.75" customHeight="1" outlineLevel="4" x14ac:dyDescent="0.25">
      <c r="B86" s="541" t="str">
        <f>IF(ISBLANK(dms_E2_Projects_20),"",dms_E2_Projects_20)</f>
        <v>S_MRB_CY25_Devon Park</v>
      </c>
      <c r="C86" s="538"/>
      <c r="D86" s="539"/>
      <c r="E86" s="575"/>
      <c r="F86" s="576"/>
      <c r="G86" s="540"/>
      <c r="H86" s="540"/>
      <c r="I86" s="540"/>
      <c r="J86" s="540"/>
    </row>
    <row r="87" spans="2:10" ht="15.75" customHeight="1" outlineLevel="4" x14ac:dyDescent="0.25">
      <c r="B87" s="541" t="str">
        <f>IF(ISBLANK(dms_E2_Projects_21),"",dms_E2_Projects_21)</f>
        <v>S_MRB_CY25_Gilles Plains</v>
      </c>
      <c r="C87" s="538"/>
      <c r="D87" s="285"/>
      <c r="E87" s="286"/>
      <c r="F87" s="311"/>
      <c r="G87" s="271"/>
      <c r="H87" s="271"/>
      <c r="I87" s="271"/>
      <c r="J87" s="271"/>
    </row>
    <row r="88" spans="2:10" ht="15.75" customHeight="1" outlineLevel="4" x14ac:dyDescent="0.25">
      <c r="B88" s="541" t="str">
        <f>IF(ISBLANK(dms_E2_Projects_22),"",dms_E2_Projects_22)</f>
        <v>S_MRB_CY25_Ingle Farm A</v>
      </c>
      <c r="C88" s="538"/>
      <c r="D88" s="539"/>
      <c r="E88" s="575"/>
      <c r="F88" s="576"/>
      <c r="G88" s="540"/>
      <c r="H88" s="540"/>
      <c r="I88" s="540"/>
      <c r="J88" s="540"/>
    </row>
    <row r="89" spans="2:10" ht="15.75" customHeight="1" outlineLevel="4" x14ac:dyDescent="0.25">
      <c r="B89" s="541" t="str">
        <f>IF(ISBLANK(dms_E2_Projects_23),"",dms_E2_Projects_23)</f>
        <v>S_MRB_CY25_Ingle Farm B</v>
      </c>
      <c r="C89" s="538"/>
      <c r="D89" s="285"/>
      <c r="E89" s="286"/>
      <c r="F89" s="311"/>
      <c r="G89" s="271"/>
      <c r="H89" s="271"/>
      <c r="I89" s="271"/>
      <c r="J89" s="271"/>
    </row>
    <row r="90" spans="2:10" ht="15.75" customHeight="1" outlineLevel="4" x14ac:dyDescent="0.25">
      <c r="B90" s="541" t="str">
        <f>IF(ISBLANK(dms_E2_Projects_24),"",dms_E2_Projects_24)</f>
        <v>S_MRB_CY25_Para Hills West</v>
      </c>
      <c r="C90" s="538"/>
      <c r="D90" s="539"/>
      <c r="E90" s="575"/>
      <c r="F90" s="576"/>
      <c r="G90" s="540"/>
      <c r="H90" s="540"/>
      <c r="I90" s="540"/>
      <c r="J90" s="540"/>
    </row>
    <row r="91" spans="2:10" ht="15.75" customHeight="1" outlineLevel="4" x14ac:dyDescent="0.25">
      <c r="B91" s="541" t="str">
        <f>IF(ISBLANK(dms_E2_Projects_25),"",dms_E2_Projects_25)</f>
        <v>S_MRB_CY25_Para Vista A</v>
      </c>
      <c r="C91" s="538"/>
      <c r="D91" s="285"/>
      <c r="E91" s="286"/>
      <c r="F91" s="311"/>
      <c r="G91" s="271"/>
      <c r="H91" s="271"/>
      <c r="I91" s="271"/>
      <c r="J91" s="271"/>
    </row>
    <row r="92" spans="2:10" ht="15.75" customHeight="1" outlineLevel="4" x14ac:dyDescent="0.25">
      <c r="B92" s="541" t="str">
        <f>IF(ISBLANK(dms_E2_Projects_26),"",dms_E2_Projects_26)</f>
        <v>HDPE 575 Camera Inspection and sampling</v>
      </c>
      <c r="C92" s="538"/>
      <c r="D92" s="539"/>
      <c r="E92" s="575"/>
      <c r="F92" s="576"/>
      <c r="G92" s="540"/>
      <c r="H92" s="540"/>
      <c r="I92" s="540"/>
      <c r="J92" s="540"/>
    </row>
    <row r="93" spans="2:10" ht="15.75" customHeight="1" outlineLevel="4" x14ac:dyDescent="0.25">
      <c r="B93" s="541" t="str">
        <f>IF(ISBLANK(dms_E2_Projects_27),"",dms_E2_Projects_27)</f>
        <v>Steel Mains Replacement</v>
      </c>
      <c r="C93" s="538"/>
      <c r="D93" s="285"/>
      <c r="E93" s="286"/>
      <c r="F93" s="311"/>
      <c r="G93" s="271"/>
      <c r="H93" s="271"/>
      <c r="I93" s="271"/>
      <c r="J93" s="271"/>
    </row>
    <row r="94" spans="2:10" ht="15.75" customHeight="1" outlineLevel="4" x14ac:dyDescent="0.25">
      <c r="B94" s="541" t="str">
        <f>IF(ISBLANK(dms_E2_Projects_28),"",dms_E2_Projects_28)</f>
        <v>Multi User Sites (MUS) renewal</v>
      </c>
      <c r="C94" s="538"/>
      <c r="D94" s="539"/>
      <c r="E94" s="575"/>
      <c r="F94" s="576"/>
      <c r="G94" s="540"/>
      <c r="H94" s="540"/>
      <c r="I94" s="540"/>
      <c r="J94" s="540"/>
    </row>
    <row r="95" spans="2:10" ht="15.75" customHeight="1" outlineLevel="4" x14ac:dyDescent="0.25">
      <c r="B95" s="541" t="str">
        <f>IF(ISBLANK(dms_E2_Projects_29),"",dms_E2_Projects_29)</f>
        <v/>
      </c>
      <c r="C95" s="538"/>
      <c r="D95" s="285"/>
      <c r="E95" s="286"/>
      <c r="F95" s="311"/>
      <c r="G95" s="271"/>
      <c r="H95" s="271"/>
      <c r="I95" s="271"/>
      <c r="J95" s="271"/>
    </row>
    <row r="96" spans="2:10" ht="15.75" customHeight="1" outlineLevel="4" x14ac:dyDescent="0.25">
      <c r="B96" s="541" t="str">
        <f>IF(ISBLANK(dms_E2_Projects_30),"",dms_E2_Projects_30)</f>
        <v/>
      </c>
      <c r="C96" s="538"/>
      <c r="D96" s="539"/>
      <c r="E96" s="575"/>
      <c r="F96" s="576"/>
      <c r="G96" s="540"/>
      <c r="H96" s="540"/>
      <c r="I96" s="540"/>
      <c r="J96" s="540"/>
    </row>
    <row r="97" spans="2:10" ht="15.75" customHeight="1" outlineLevel="4" x14ac:dyDescent="0.25">
      <c r="B97" s="541" t="str">
        <f>IF(ISBLANK(dms_E2_Projects_31),"",dms_E2_Projects_31)</f>
        <v/>
      </c>
      <c r="C97" s="538"/>
      <c r="D97" s="285"/>
      <c r="E97" s="286"/>
      <c r="F97" s="311"/>
      <c r="G97" s="271"/>
      <c r="H97" s="271"/>
      <c r="I97" s="271"/>
      <c r="J97" s="271"/>
    </row>
    <row r="98" spans="2:10" ht="15.75" customHeight="1" outlineLevel="4" x14ac:dyDescent="0.25">
      <c r="B98" s="541" t="str">
        <f>IF(ISBLANK(dms_E2_Projects_32),"",dms_E2_Projects_32)</f>
        <v/>
      </c>
      <c r="C98" s="538"/>
      <c r="D98" s="539"/>
      <c r="E98" s="575"/>
      <c r="F98" s="576"/>
      <c r="G98" s="540"/>
      <c r="H98" s="540"/>
      <c r="I98" s="540"/>
      <c r="J98" s="540"/>
    </row>
    <row r="99" spans="2:10" ht="15.75" customHeight="1" outlineLevel="4" x14ac:dyDescent="0.25">
      <c r="B99" s="541" t="str">
        <f>IF(ISBLANK(dms_E2_Projects_33),"",dms_E2_Projects_33)</f>
        <v/>
      </c>
      <c r="C99" s="538"/>
      <c r="D99" s="285"/>
      <c r="E99" s="286"/>
      <c r="F99" s="311"/>
      <c r="G99" s="271"/>
      <c r="H99" s="271"/>
      <c r="I99" s="271"/>
      <c r="J99" s="271"/>
    </row>
    <row r="100" spans="2:10" ht="15.75" customHeight="1" outlineLevel="4" x14ac:dyDescent="0.25">
      <c r="B100" s="541" t="str">
        <f>IF(ISBLANK(dms_E2_Projects_34),"",dms_E2_Projects_34)</f>
        <v/>
      </c>
      <c r="C100" s="538"/>
      <c r="D100" s="539"/>
      <c r="E100" s="575"/>
      <c r="F100" s="576"/>
      <c r="G100" s="540"/>
      <c r="H100" s="540"/>
      <c r="I100" s="540"/>
      <c r="J100" s="540"/>
    </row>
    <row r="101" spans="2:10" ht="15.75" customHeight="1" outlineLevel="4" x14ac:dyDescent="0.25">
      <c r="B101" s="541" t="str">
        <f>IF(ISBLANK(dms_E2_Projects_35),"",dms_E2_Projects_35)</f>
        <v/>
      </c>
      <c r="C101" s="538"/>
      <c r="D101" s="285"/>
      <c r="E101" s="286"/>
      <c r="F101" s="311"/>
      <c r="G101" s="271"/>
      <c r="H101" s="271"/>
      <c r="I101" s="271"/>
      <c r="J101" s="271"/>
    </row>
    <row r="102" spans="2:10" ht="15.75" customHeight="1" outlineLevel="4" x14ac:dyDescent="0.25">
      <c r="B102" s="541" t="str">
        <f>IF(ISBLANK(dms_E2_Projects_36),"",dms_E2_Projects_36)</f>
        <v/>
      </c>
      <c r="C102" s="538"/>
      <c r="D102" s="539"/>
      <c r="E102" s="575"/>
      <c r="F102" s="576"/>
      <c r="G102" s="540"/>
      <c r="H102" s="540"/>
      <c r="I102" s="540"/>
      <c r="J102" s="540"/>
    </row>
    <row r="103" spans="2:10" ht="15.75" customHeight="1" outlineLevel="4" x14ac:dyDescent="0.25">
      <c r="B103" s="541" t="str">
        <f>IF(ISBLANK(dms_E2_Projects_37),"",dms_E2_Projects_37)</f>
        <v/>
      </c>
      <c r="C103" s="538"/>
      <c r="D103" s="285"/>
      <c r="E103" s="286"/>
      <c r="F103" s="311"/>
      <c r="G103" s="271"/>
      <c r="H103" s="271"/>
      <c r="I103" s="271"/>
      <c r="J103" s="271"/>
    </row>
    <row r="104" spans="2:10" ht="15.75" customHeight="1" outlineLevel="4" x14ac:dyDescent="0.25">
      <c r="B104" s="541" t="str">
        <f>IF(ISBLANK(dms_E2_Projects_38),"",dms_E2_Projects_38)</f>
        <v/>
      </c>
      <c r="C104" s="538"/>
      <c r="D104" s="539"/>
      <c r="E104" s="575"/>
      <c r="F104" s="576"/>
      <c r="G104" s="540"/>
      <c r="H104" s="540"/>
      <c r="I104" s="540"/>
      <c r="J104" s="540"/>
    </row>
    <row r="105" spans="2:10" ht="15.75" customHeight="1" outlineLevel="4" x14ac:dyDescent="0.25">
      <c r="B105" s="541" t="str">
        <f>IF(ISBLANK(dms_E2_Projects_39),"",dms_E2_Projects_39)</f>
        <v/>
      </c>
      <c r="C105" s="538"/>
      <c r="D105" s="285"/>
      <c r="E105" s="286"/>
      <c r="F105" s="311"/>
      <c r="G105" s="271"/>
      <c r="H105" s="271"/>
      <c r="I105" s="271"/>
      <c r="J105" s="271"/>
    </row>
    <row r="106" spans="2:10" ht="15.75" customHeight="1" outlineLevel="4" x14ac:dyDescent="0.25">
      <c r="B106" s="541" t="str">
        <f>IF(ISBLANK(dms_E2_Projects_40),"",dms_E2_Projects_40)</f>
        <v/>
      </c>
      <c r="C106" s="538"/>
      <c r="D106" s="539"/>
      <c r="E106" s="575"/>
      <c r="F106" s="576"/>
      <c r="G106" s="540"/>
      <c r="H106" s="540"/>
      <c r="I106" s="540"/>
      <c r="J106" s="540"/>
    </row>
    <row r="107" spans="2:10" ht="15.75" customHeight="1" outlineLevel="4" x14ac:dyDescent="0.25">
      <c r="B107" s="541" t="str">
        <f>IF(ISBLANK(dms_E2_Projects_41),"",dms_E2_Projects_41)</f>
        <v/>
      </c>
      <c r="C107" s="538"/>
      <c r="D107" s="285"/>
      <c r="E107" s="286"/>
      <c r="F107" s="311"/>
      <c r="G107" s="271"/>
      <c r="H107" s="271"/>
      <c r="I107" s="271"/>
      <c r="J107" s="271"/>
    </row>
    <row r="108" spans="2:10" ht="15.75" customHeight="1" outlineLevel="4" x14ac:dyDescent="0.25">
      <c r="B108" s="541" t="str">
        <f>IF(ISBLANK(dms_E2_Projects_42),"",dms_E2_Projects_42)</f>
        <v/>
      </c>
      <c r="C108" s="538"/>
      <c r="D108" s="539"/>
      <c r="E108" s="575"/>
      <c r="F108" s="576"/>
      <c r="G108" s="540"/>
      <c r="H108" s="540"/>
      <c r="I108" s="540"/>
      <c r="J108" s="540"/>
    </row>
    <row r="109" spans="2:10" ht="15.75" customHeight="1" outlineLevel="4" x14ac:dyDescent="0.25">
      <c r="B109" s="541" t="str">
        <f>IF(ISBLANK(dms_E2_Projects_43),"",dms_E2_Projects_43)</f>
        <v/>
      </c>
      <c r="C109" s="538"/>
      <c r="D109" s="285"/>
      <c r="E109" s="286"/>
      <c r="F109" s="311"/>
      <c r="G109" s="271"/>
      <c r="H109" s="271"/>
      <c r="I109" s="271"/>
      <c r="J109" s="271"/>
    </row>
    <row r="110" spans="2:10" ht="15.75" customHeight="1" outlineLevel="4" x14ac:dyDescent="0.25">
      <c r="B110" s="541" t="str">
        <f>IF(ISBLANK(dms_E2_Projects_44),"",dms_E2_Projects_44)</f>
        <v/>
      </c>
      <c r="C110" s="538"/>
      <c r="D110" s="539"/>
      <c r="E110" s="575"/>
      <c r="F110" s="576"/>
      <c r="G110" s="540"/>
      <c r="H110" s="540"/>
      <c r="I110" s="540"/>
      <c r="J110" s="540"/>
    </row>
    <row r="111" spans="2:10" ht="15.75" customHeight="1" outlineLevel="4" x14ac:dyDescent="0.25">
      <c r="B111" s="541" t="str">
        <f>IF(ISBLANK(dms_E2_Projects_45),"",dms_E2_Projects_45)</f>
        <v/>
      </c>
      <c r="C111" s="538"/>
      <c r="D111" s="285"/>
      <c r="E111" s="286"/>
      <c r="F111" s="311"/>
      <c r="G111" s="271"/>
      <c r="H111" s="271"/>
      <c r="I111" s="271"/>
      <c r="J111" s="271"/>
    </row>
    <row r="112" spans="2:10" ht="15.75" customHeight="1" outlineLevel="4" x14ac:dyDescent="0.25">
      <c r="B112" s="541" t="str">
        <f>IF(ISBLANK(dms_E2_Projects_46),"",dms_E2_Projects_46)</f>
        <v/>
      </c>
      <c r="C112" s="538"/>
      <c r="D112" s="539"/>
      <c r="E112" s="575"/>
      <c r="F112" s="576"/>
      <c r="G112" s="540"/>
      <c r="H112" s="540"/>
      <c r="I112" s="540"/>
      <c r="J112" s="540"/>
    </row>
    <row r="113" spans="1:10" ht="15.75" customHeight="1" outlineLevel="4" x14ac:dyDescent="0.25">
      <c r="B113" s="541" t="str">
        <f>IF(ISBLANK(dms_E2_Projects_47),"",dms_E2_Projects_47)</f>
        <v/>
      </c>
      <c r="C113" s="538"/>
      <c r="D113" s="285"/>
      <c r="E113" s="286"/>
      <c r="F113" s="311"/>
      <c r="G113" s="271"/>
      <c r="H113" s="271"/>
      <c r="I113" s="271"/>
      <c r="J113" s="271"/>
    </row>
    <row r="114" spans="1:10" ht="15.75" customHeight="1" outlineLevel="4" x14ac:dyDescent="0.25">
      <c r="B114" s="541" t="str">
        <f>IF(ISBLANK(dms_E2_Projects_48),"",dms_E2_Projects_48)</f>
        <v/>
      </c>
      <c r="C114" s="538"/>
      <c r="D114" s="539"/>
      <c r="E114" s="575"/>
      <c r="F114" s="576"/>
      <c r="G114" s="540"/>
      <c r="H114" s="540"/>
      <c r="I114" s="540"/>
      <c r="J114" s="540"/>
    </row>
    <row r="115" spans="1:10" ht="15.75" customHeight="1" outlineLevel="4" x14ac:dyDescent="0.25">
      <c r="B115" s="541" t="str">
        <f>IF(ISBLANK(dms_E2_Projects_49),"",dms_E2_Projects_49)</f>
        <v/>
      </c>
      <c r="C115" s="538"/>
      <c r="D115" s="285"/>
      <c r="E115" s="286"/>
      <c r="F115" s="311"/>
      <c r="G115" s="271"/>
      <c r="H115" s="271"/>
      <c r="I115" s="271"/>
      <c r="J115" s="271"/>
    </row>
    <row r="116" spans="1:10" ht="15.75" customHeight="1" outlineLevel="4" x14ac:dyDescent="0.25">
      <c r="B116" s="541" t="str">
        <f>IF(ISBLANK(dms_E2_Projects_50),"",dms_E2_Projects_50)</f>
        <v/>
      </c>
      <c r="C116" s="538"/>
      <c r="D116" s="539"/>
      <c r="E116" s="575"/>
      <c r="F116" s="576"/>
      <c r="G116" s="540"/>
      <c r="H116" s="540"/>
      <c r="I116" s="540"/>
      <c r="J116" s="540"/>
    </row>
    <row r="117" spans="1:10" ht="15.75" customHeight="1" outlineLevel="4" thickBot="1" x14ac:dyDescent="0.3">
      <c r="B117" s="542" t="s">
        <v>137</v>
      </c>
      <c r="C117" s="543"/>
      <c r="D117" s="287"/>
      <c r="E117" s="577"/>
      <c r="F117" s="312"/>
      <c r="G117" s="274"/>
      <c r="H117" s="274"/>
      <c r="I117" s="274"/>
      <c r="J117" s="274"/>
    </row>
    <row r="118" spans="1:10" ht="15.75" outlineLevel="4" collapsed="1" thickBot="1" x14ac:dyDescent="0.3">
      <c r="B118" s="295"/>
      <c r="C118" s="296" t="s">
        <v>120</v>
      </c>
      <c r="D118" s="296">
        <f>SUM(D67:D117)</f>
        <v>0</v>
      </c>
      <c r="E118" s="296">
        <f t="shared" ref="E118" si="0">SUM(E67:E117)</f>
        <v>0</v>
      </c>
      <c r="F118" s="296">
        <f t="shared" ref="F118" si="1">SUM(F67:F117)</f>
        <v>0</v>
      </c>
      <c r="G118" s="296">
        <f t="shared" ref="G118" si="2">SUM(G67:G117)</f>
        <v>0</v>
      </c>
      <c r="H118" s="296">
        <f t="shared" ref="H118" si="3">SUM(H67:H117)</f>
        <v>0</v>
      </c>
      <c r="I118" s="296">
        <f t="shared" ref="I118" si="4">SUM(I67:I117)</f>
        <v>0</v>
      </c>
      <c r="J118" s="297">
        <f t="shared" ref="J118" si="5">SUM(J67:J117)</f>
        <v>0</v>
      </c>
    </row>
    <row r="119" spans="1:10" ht="13.5" customHeight="1" outlineLevel="2" thickBot="1" x14ac:dyDescent="0.3"/>
    <row r="120" spans="1:10" ht="21.75" customHeight="1" outlineLevel="2" thickBot="1" x14ac:dyDescent="0.3">
      <c r="B120" s="250" t="s">
        <v>138</v>
      </c>
      <c r="C120" s="251"/>
      <c r="D120" s="251"/>
      <c r="E120" s="251"/>
      <c r="F120" s="251"/>
      <c r="G120" s="251"/>
      <c r="H120" s="251"/>
      <c r="I120" s="251"/>
      <c r="J120" s="251"/>
    </row>
    <row r="121" spans="1:10" s="42" customFormat="1" ht="15" customHeight="1" outlineLevel="4" x14ac:dyDescent="0.25">
      <c r="A121" s="291"/>
      <c r="B121"/>
      <c r="C121"/>
      <c r="D121" s="1378" t="s">
        <v>24</v>
      </c>
      <c r="E121" s="1378"/>
      <c r="F121" s="1378"/>
      <c r="G121" s="1378"/>
      <c r="H121" s="1378"/>
      <c r="I121" s="1378"/>
      <c r="J121" s="1378"/>
    </row>
    <row r="122" spans="1:10" s="42" customFormat="1" ht="15" customHeight="1" outlineLevel="4" x14ac:dyDescent="0.25">
      <c r="A122" s="291"/>
      <c r="B122"/>
      <c r="C122"/>
      <c r="D122" s="1378" t="str">
        <f ca="1">CONCATENATE("$, real ",dms_DollarReal)</f>
        <v>$, real June 2026</v>
      </c>
      <c r="E122" s="1378"/>
      <c r="F122" s="1378"/>
      <c r="G122" s="1378"/>
      <c r="H122" s="1378"/>
      <c r="I122" s="1378"/>
      <c r="J122" s="1378"/>
    </row>
    <row r="123" spans="1:10" s="42" customFormat="1" ht="15.75" customHeight="1" outlineLevel="4" thickBot="1" x14ac:dyDescent="0.3">
      <c r="A123" s="291"/>
      <c r="B123" s="78"/>
      <c r="C123" s="319"/>
      <c r="D123" s="314" t="str">
        <f ca="1">dms_y1</f>
        <v>2024-25</v>
      </c>
      <c r="E123" s="314" t="str">
        <f ca="1">dms_y2</f>
        <v>2025-26</v>
      </c>
      <c r="F123" s="314" t="str">
        <f ca="1">dms_y3</f>
        <v>2026-27</v>
      </c>
      <c r="G123" s="314" t="str">
        <f ca="1">dms_y4</f>
        <v>2027-28</v>
      </c>
      <c r="H123" s="314" t="str">
        <f ca="1">dms_y5</f>
        <v>2028-29</v>
      </c>
      <c r="I123" s="314" t="str">
        <f ca="1">dms_y6</f>
        <v>2029-30</v>
      </c>
      <c r="J123" s="314" t="str">
        <f ca="1">dms_y7</f>
        <v>2030-31</v>
      </c>
    </row>
    <row r="124" spans="1:10" ht="15.75" customHeight="1" outlineLevel="4" x14ac:dyDescent="0.25">
      <c r="B124" s="536" t="str">
        <f>IF(ISBLANK(dms_E2_Projects_01),"",dms_E2_Projects_01)</f>
        <v>S_MRH575_CY23 North West</v>
      </c>
      <c r="C124" s="537"/>
      <c r="D124" s="1510"/>
      <c r="E124" s="1511"/>
      <c r="F124" s="1512"/>
      <c r="G124" s="1513"/>
      <c r="H124" s="1513"/>
      <c r="I124" s="1513"/>
      <c r="J124" s="1513"/>
    </row>
    <row r="125" spans="1:10" ht="15.75" customHeight="1" outlineLevel="4" x14ac:dyDescent="0.25">
      <c r="B125" s="536" t="str">
        <f>IF(ISBLANK(dms_E2_Projects_02),"",dms_E2_Projects_02)</f>
        <v>S_MRH575_CY24 HDPE575 South</v>
      </c>
      <c r="C125" s="538"/>
      <c r="D125" s="1510"/>
      <c r="E125" s="1514"/>
      <c r="F125" s="1515"/>
      <c r="G125" s="1513"/>
      <c r="H125" s="1513"/>
      <c r="I125" s="1513"/>
      <c r="J125" s="1513"/>
    </row>
    <row r="126" spans="1:10" ht="15.75" customHeight="1" outlineLevel="4" x14ac:dyDescent="0.25">
      <c r="B126" s="536" t="str">
        <f>IF(ISBLANK(dms_E2_Projects_03),"",dms_E2_Projects_03)</f>
        <v>S_MRH575_CY24 GoldenGroveB</v>
      </c>
      <c r="C126" s="538"/>
      <c r="D126" s="1510"/>
      <c r="E126" s="1514"/>
      <c r="F126" s="1515"/>
      <c r="G126" s="1513"/>
      <c r="H126" s="1513"/>
      <c r="I126" s="1513"/>
      <c r="J126" s="1513"/>
    </row>
    <row r="127" spans="1:10" ht="15.75" customHeight="1" outlineLevel="4" x14ac:dyDescent="0.25">
      <c r="B127" s="536" t="str">
        <f>IF(ISBLANK(dms_E2_Projects_04),"",dms_E2_Projects_04)</f>
        <v>S_MRH575_CY24_PortPirie_1</v>
      </c>
      <c r="C127" s="538"/>
      <c r="D127" s="1510"/>
      <c r="E127" s="1514"/>
      <c r="F127" s="1515"/>
      <c r="G127" s="1513"/>
      <c r="H127" s="1513"/>
      <c r="I127" s="1513"/>
      <c r="J127" s="1513"/>
    </row>
    <row r="128" spans="1:10" ht="15.75" customHeight="1" outlineLevel="4" x14ac:dyDescent="0.25">
      <c r="B128" s="536" t="str">
        <f>IF(ISBLANK(dms_E2_Projects_05),"",dms_E2_Projects_05)</f>
        <v>S_MRH575_CY24_SHEIDOW_PARK</v>
      </c>
      <c r="C128" s="538"/>
      <c r="D128" s="1510"/>
      <c r="E128" s="1514"/>
      <c r="F128" s="1515"/>
      <c r="G128" s="1513"/>
      <c r="H128" s="1513"/>
      <c r="I128" s="1513"/>
      <c r="J128" s="1513"/>
    </row>
    <row r="129" spans="2:10" ht="15.75" customHeight="1" outlineLevel="4" x14ac:dyDescent="0.25">
      <c r="B129" s="536" t="str">
        <f>IF(ISBLANK(dms_E2_Projects_06),"",dms_E2_Projects_06)</f>
        <v>S_MRH575_CY24_ONKAPARINGAHILLS</v>
      </c>
      <c r="C129" s="538"/>
      <c r="D129" s="1510"/>
      <c r="E129" s="1514"/>
      <c r="F129" s="1515"/>
      <c r="G129" s="1513"/>
      <c r="H129" s="1513"/>
      <c r="I129" s="1513"/>
      <c r="J129" s="1513"/>
    </row>
    <row r="130" spans="2:10" ht="15.75" customHeight="1" outlineLevel="4" x14ac:dyDescent="0.25">
      <c r="B130" s="536" t="str">
        <f>IF(ISBLANK(dms_E2_Projects_07),"",dms_E2_Projects_07)</f>
        <v>S_MRH575_CY25_Aberfoyle Park</v>
      </c>
      <c r="C130" s="538"/>
      <c r="D130" s="1510"/>
      <c r="E130" s="1514"/>
      <c r="F130" s="1515"/>
      <c r="G130" s="1513"/>
      <c r="H130" s="1513"/>
      <c r="I130" s="1513"/>
      <c r="J130" s="1513"/>
    </row>
    <row r="131" spans="2:10" ht="15.75" customHeight="1" outlineLevel="4" x14ac:dyDescent="0.25">
      <c r="B131" s="536" t="str">
        <f>IF(ISBLANK(dms_E2_Projects_08),"",dms_E2_Projects_08)</f>
        <v>2362_MAINS RENEWAL - HDPE 575</v>
      </c>
      <c r="C131" s="538"/>
      <c r="D131" s="1510"/>
      <c r="E131" s="1514"/>
      <c r="F131" s="1515"/>
      <c r="G131" s="1513"/>
      <c r="H131" s="1513"/>
      <c r="I131" s="1513"/>
      <c r="J131" s="1513"/>
    </row>
    <row r="132" spans="2:10" ht="15.75" customHeight="1" outlineLevel="4" x14ac:dyDescent="0.25">
      <c r="B132" s="536" t="str">
        <f>IF(ISBLANK(dms_E2_Projects_09),"",dms_E2_Projects_09)</f>
        <v>S_MRB_CY21 Semaphore</v>
      </c>
      <c r="C132" s="538"/>
      <c r="D132" s="1510"/>
      <c r="E132" s="1514"/>
      <c r="F132" s="1515"/>
      <c r="G132" s="1513"/>
      <c r="H132" s="1513"/>
      <c r="I132" s="1513"/>
      <c r="J132" s="1513"/>
    </row>
    <row r="133" spans="2:10" ht="15.75" customHeight="1" outlineLevel="4" x14ac:dyDescent="0.25">
      <c r="B133" s="536" t="str">
        <f>IF(ISBLANK(dms_E2_Projects_10),"",dms_E2_Projects_10)</f>
        <v>2366_S_MRB_CY24_North Adelaide_C</v>
      </c>
      <c r="C133" s="538"/>
      <c r="D133" s="1510"/>
      <c r="E133" s="1514"/>
      <c r="F133" s="1515"/>
      <c r="G133" s="1513"/>
      <c r="H133" s="1513"/>
      <c r="I133" s="1513"/>
      <c r="J133" s="1513"/>
    </row>
    <row r="134" spans="2:10" ht="15.75" customHeight="1" outlineLevel="4" x14ac:dyDescent="0.25">
      <c r="B134" s="536" t="str">
        <f>IF(ISBLANK(dms_E2_Projects_11),"",dms_E2_Projects_11)</f>
        <v>S_MRB_CY24_Semaphore_Sth</v>
      </c>
      <c r="C134" s="538"/>
      <c r="D134" s="1510"/>
      <c r="E134" s="1514"/>
      <c r="F134" s="1515"/>
      <c r="G134" s="1513"/>
      <c r="H134" s="1513"/>
      <c r="I134" s="1513"/>
      <c r="J134" s="1513"/>
    </row>
    <row r="135" spans="2:10" ht="15.75" customHeight="1" outlineLevel="4" x14ac:dyDescent="0.25">
      <c r="B135" s="536" t="str">
        <f>IF(ISBLANK(dms_E2_Projects_12),"",dms_E2_Projects_12)</f>
        <v>S_MRB_CY24_Millswood</v>
      </c>
      <c r="C135" s="538"/>
      <c r="D135" s="1510"/>
      <c r="E135" s="1514"/>
      <c r="F135" s="1515"/>
      <c r="G135" s="1513"/>
      <c r="H135" s="1513"/>
      <c r="I135" s="1513"/>
      <c r="J135" s="1513"/>
    </row>
    <row r="136" spans="2:10" ht="15.75" customHeight="1" outlineLevel="4" x14ac:dyDescent="0.25">
      <c r="B136" s="536" t="str">
        <f>IF(ISBLANK(dms_E2_Projects_13),"",dms_E2_Projects_13)</f>
        <v>S_MRB_CY24_PASADENA</v>
      </c>
      <c r="C136" s="538"/>
      <c r="D136" s="1510"/>
      <c r="E136" s="1514"/>
      <c r="F136" s="1515"/>
      <c r="G136" s="1513"/>
      <c r="H136" s="1513"/>
      <c r="I136" s="1513"/>
      <c r="J136" s="1513"/>
    </row>
    <row r="137" spans="2:10" ht="15.75" customHeight="1" outlineLevel="4" x14ac:dyDescent="0.25">
      <c r="B137" s="536" t="str">
        <f>IF(ISBLANK(dms_E2_Projects_14),"",dms_E2_Projects_14)</f>
        <v>S_MRB_CY24_ROSTREVOR</v>
      </c>
      <c r="C137" s="538"/>
      <c r="D137" s="1510"/>
      <c r="E137" s="1514"/>
      <c r="F137" s="1515"/>
      <c r="G137" s="1513"/>
      <c r="H137" s="1513"/>
      <c r="I137" s="1513"/>
      <c r="J137" s="1513"/>
    </row>
    <row r="138" spans="2:10" ht="15.75" customHeight="1" outlineLevel="4" x14ac:dyDescent="0.25">
      <c r="B138" s="536" t="str">
        <f>IF(ISBLANK(dms_E2_Projects_15),"",dms_E2_Projects_15)</f>
        <v>S_MRB_CY24_WOODVILLE_PARK</v>
      </c>
      <c r="C138" s="538"/>
      <c r="D138" s="1510"/>
      <c r="E138" s="1514"/>
      <c r="F138" s="1515"/>
      <c r="G138" s="1513"/>
      <c r="H138" s="1513"/>
      <c r="I138" s="1513"/>
      <c r="J138" s="1513"/>
    </row>
    <row r="139" spans="2:10" ht="15.75" customHeight="1" outlineLevel="4" x14ac:dyDescent="0.25">
      <c r="B139" s="536" t="str">
        <f>IF(ISBLANK(dms_E2_Projects_16),"",dms_E2_Projects_16)</f>
        <v>S_MRB_CY24_PORT_ADELAIDE_A</v>
      </c>
      <c r="C139" s="538"/>
      <c r="D139" s="1510"/>
      <c r="E139" s="1514"/>
      <c r="F139" s="1515"/>
      <c r="G139" s="1513"/>
      <c r="H139" s="1513"/>
      <c r="I139" s="1513"/>
      <c r="J139" s="1513"/>
    </row>
    <row r="140" spans="2:10" ht="15.75" customHeight="1" outlineLevel="4" x14ac:dyDescent="0.25">
      <c r="B140" s="541" t="str">
        <f>IF(ISBLANK(dms_E2_Projects_17),"",dms_E2_Projects_17)</f>
        <v>S_MRB_CY25_Edwardstown A</v>
      </c>
      <c r="C140" s="538"/>
      <c r="D140" s="1510"/>
      <c r="E140" s="1514"/>
      <c r="F140" s="1515"/>
      <c r="G140" s="1513"/>
      <c r="H140" s="1513"/>
      <c r="I140" s="1513"/>
      <c r="J140" s="1513"/>
    </row>
    <row r="141" spans="2:10" ht="15.75" customHeight="1" outlineLevel="4" x14ac:dyDescent="0.25">
      <c r="B141" s="541" t="str">
        <f>IF(ISBLANK(dms_E2_Projects_18),"",dms_E2_Projects_18)</f>
        <v>S_MRB_CY25_Burnside A</v>
      </c>
      <c r="C141" s="538"/>
      <c r="D141" s="1510"/>
      <c r="E141" s="1514"/>
      <c r="F141" s="1515"/>
      <c r="G141" s="1513"/>
      <c r="H141" s="1513"/>
      <c r="I141" s="1513"/>
      <c r="J141" s="1513"/>
    </row>
    <row r="142" spans="2:10" ht="15.75" customHeight="1" outlineLevel="4" x14ac:dyDescent="0.25">
      <c r="B142" s="541" t="str">
        <f>IF(ISBLANK(dms_E2_Projects_19),"",dms_E2_Projects_19)</f>
        <v>S_MRB_CY25_Auldana_A</v>
      </c>
      <c r="C142" s="538"/>
      <c r="D142" s="1510"/>
      <c r="E142" s="1514"/>
      <c r="F142" s="1515"/>
      <c r="G142" s="1513"/>
      <c r="H142" s="1513"/>
      <c r="I142" s="1513"/>
      <c r="J142" s="1513"/>
    </row>
    <row r="143" spans="2:10" ht="15.75" customHeight="1" outlineLevel="4" x14ac:dyDescent="0.25">
      <c r="B143" s="541" t="str">
        <f>IF(ISBLANK(dms_E2_Projects_20),"",dms_E2_Projects_20)</f>
        <v>S_MRB_CY25_Devon Park</v>
      </c>
      <c r="C143" s="538"/>
      <c r="D143" s="1510"/>
      <c r="E143" s="1514"/>
      <c r="F143" s="1515"/>
      <c r="G143" s="1513"/>
      <c r="H143" s="1513"/>
      <c r="I143" s="1513"/>
      <c r="J143" s="1513"/>
    </row>
    <row r="144" spans="2:10" ht="15.75" customHeight="1" outlineLevel="4" x14ac:dyDescent="0.25">
      <c r="B144" s="541" t="str">
        <f>IF(ISBLANK(dms_E2_Projects_21),"",dms_E2_Projects_21)</f>
        <v>S_MRB_CY25_Gilles Plains</v>
      </c>
      <c r="C144" s="538"/>
      <c r="D144" s="1510"/>
      <c r="E144" s="1514"/>
      <c r="F144" s="1515"/>
      <c r="G144" s="1513"/>
      <c r="H144" s="1513"/>
      <c r="I144" s="1513"/>
      <c r="J144" s="1513"/>
    </row>
    <row r="145" spans="2:10" ht="15.75" customHeight="1" outlineLevel="4" x14ac:dyDescent="0.25">
      <c r="B145" s="541" t="str">
        <f>IF(ISBLANK(dms_E2_Projects_22),"",dms_E2_Projects_22)</f>
        <v>S_MRB_CY25_Ingle Farm A</v>
      </c>
      <c r="C145" s="538"/>
      <c r="D145" s="1510"/>
      <c r="E145" s="1514"/>
      <c r="F145" s="1515"/>
      <c r="G145" s="1513"/>
      <c r="H145" s="1513"/>
      <c r="I145" s="1513"/>
      <c r="J145" s="1513"/>
    </row>
    <row r="146" spans="2:10" ht="15.75" customHeight="1" outlineLevel="4" x14ac:dyDescent="0.25">
      <c r="B146" s="541" t="str">
        <f>IF(ISBLANK(dms_E2_Projects_23),"",dms_E2_Projects_23)</f>
        <v>S_MRB_CY25_Ingle Farm B</v>
      </c>
      <c r="C146" s="538"/>
      <c r="D146" s="1510"/>
      <c r="E146" s="1514"/>
      <c r="F146" s="1515"/>
      <c r="G146" s="1513"/>
      <c r="H146" s="1513"/>
      <c r="I146" s="1513"/>
      <c r="J146" s="1513"/>
    </row>
    <row r="147" spans="2:10" ht="15.75" customHeight="1" outlineLevel="4" x14ac:dyDescent="0.25">
      <c r="B147" s="541" t="str">
        <f>IF(ISBLANK(dms_E2_Projects_24),"",dms_E2_Projects_24)</f>
        <v>S_MRB_CY25_Para Hills West</v>
      </c>
      <c r="C147" s="538"/>
      <c r="D147" s="1510"/>
      <c r="E147" s="1514"/>
      <c r="F147" s="1515"/>
      <c r="G147" s="1513"/>
      <c r="H147" s="1513"/>
      <c r="I147" s="1513"/>
      <c r="J147" s="1513"/>
    </row>
    <row r="148" spans="2:10" ht="15.75" customHeight="1" outlineLevel="4" x14ac:dyDescent="0.25">
      <c r="B148" s="541" t="str">
        <f>IF(ISBLANK(dms_E2_Projects_25),"",dms_E2_Projects_25)</f>
        <v>S_MRB_CY25_Para Vista A</v>
      </c>
      <c r="C148" s="538"/>
      <c r="D148" s="1510"/>
      <c r="E148" s="1514"/>
      <c r="F148" s="1515"/>
      <c r="G148" s="1513"/>
      <c r="H148" s="1513"/>
      <c r="I148" s="1513"/>
      <c r="J148" s="1513"/>
    </row>
    <row r="149" spans="2:10" ht="15.75" customHeight="1" outlineLevel="4" x14ac:dyDescent="0.25">
      <c r="B149" s="541" t="str">
        <f>IF(ISBLANK(dms_E2_Projects_26),"",dms_E2_Projects_26)</f>
        <v>HDPE 575 Camera Inspection and sampling</v>
      </c>
      <c r="C149" s="538"/>
      <c r="D149" s="1510"/>
      <c r="E149" s="1514"/>
      <c r="F149" s="1515"/>
      <c r="G149" s="1513"/>
      <c r="H149" s="1513"/>
      <c r="I149" s="1513"/>
      <c r="J149" s="1513"/>
    </row>
    <row r="150" spans="2:10" ht="15.75" customHeight="1" outlineLevel="4" x14ac:dyDescent="0.25">
      <c r="B150" s="541" t="str">
        <f>IF(ISBLANK(dms_E2_Projects_27),"",dms_E2_Projects_27)</f>
        <v>Steel Mains Replacement</v>
      </c>
      <c r="C150" s="538"/>
      <c r="D150" s="1510"/>
      <c r="E150" s="1514"/>
      <c r="F150" s="1515"/>
      <c r="G150" s="1513"/>
      <c r="H150" s="1513"/>
      <c r="I150" s="1513"/>
      <c r="J150" s="1513"/>
    </row>
    <row r="151" spans="2:10" ht="15.75" customHeight="1" outlineLevel="4" x14ac:dyDescent="0.25">
      <c r="B151" s="541" t="str">
        <f>IF(ISBLANK(dms_E2_Projects_28),"",dms_E2_Projects_28)</f>
        <v>Multi User Sites (MUS) renewal</v>
      </c>
      <c r="C151" s="538"/>
      <c r="D151" s="1510"/>
      <c r="E151" s="1514"/>
      <c r="F151" s="1515"/>
      <c r="G151" s="1513"/>
      <c r="H151" s="1513"/>
      <c r="I151" s="1513"/>
      <c r="J151" s="1513"/>
    </row>
    <row r="152" spans="2:10" ht="15.75" customHeight="1" outlineLevel="4" x14ac:dyDescent="0.25">
      <c r="B152" s="541" t="str">
        <f>IF(ISBLANK(dms_E2_Projects_29),"",dms_E2_Projects_29)</f>
        <v/>
      </c>
      <c r="C152" s="538"/>
      <c r="D152" s="1510"/>
      <c r="E152" s="1514"/>
      <c r="F152" s="1515"/>
      <c r="G152" s="1513"/>
      <c r="H152" s="1513"/>
      <c r="I152" s="1513"/>
      <c r="J152" s="1513"/>
    </row>
    <row r="153" spans="2:10" ht="15.75" customHeight="1" outlineLevel="4" x14ac:dyDescent="0.25">
      <c r="B153" s="541" t="str">
        <f>IF(ISBLANK(dms_E2_Projects_30),"",dms_E2_Projects_30)</f>
        <v/>
      </c>
      <c r="C153" s="538"/>
      <c r="D153" s="1510"/>
      <c r="E153" s="1514"/>
      <c r="F153" s="1515"/>
      <c r="G153" s="1513"/>
      <c r="H153" s="1513"/>
      <c r="I153" s="1513"/>
      <c r="J153" s="1513"/>
    </row>
    <row r="154" spans="2:10" ht="15.75" customHeight="1" outlineLevel="4" x14ac:dyDescent="0.25">
      <c r="B154" s="541" t="str">
        <f>IF(ISBLANK(dms_E2_Projects_31),"",dms_E2_Projects_31)</f>
        <v/>
      </c>
      <c r="C154" s="538"/>
      <c r="D154" s="1510"/>
      <c r="E154" s="1514"/>
      <c r="F154" s="1515"/>
      <c r="G154" s="1513"/>
      <c r="H154" s="1513"/>
      <c r="I154" s="1513"/>
      <c r="J154" s="1513"/>
    </row>
    <row r="155" spans="2:10" ht="15.75" customHeight="1" outlineLevel="4" x14ac:dyDescent="0.25">
      <c r="B155" s="541" t="str">
        <f>IF(ISBLANK(dms_E2_Projects_32),"",dms_E2_Projects_32)</f>
        <v/>
      </c>
      <c r="C155" s="538"/>
      <c r="D155" s="1510"/>
      <c r="E155" s="1514"/>
      <c r="F155" s="1515"/>
      <c r="G155" s="1513"/>
      <c r="H155" s="1513"/>
      <c r="I155" s="1513"/>
      <c r="J155" s="1513"/>
    </row>
    <row r="156" spans="2:10" ht="15.75" customHeight="1" outlineLevel="4" x14ac:dyDescent="0.25">
      <c r="B156" s="541" t="str">
        <f>IF(ISBLANK(dms_E2_Projects_33),"",dms_E2_Projects_33)</f>
        <v/>
      </c>
      <c r="C156" s="538"/>
      <c r="D156" s="1510"/>
      <c r="E156" s="1514"/>
      <c r="F156" s="1515"/>
      <c r="G156" s="1513"/>
      <c r="H156" s="1513"/>
      <c r="I156" s="1513"/>
      <c r="J156" s="1513"/>
    </row>
    <row r="157" spans="2:10" ht="15.75" customHeight="1" outlineLevel="4" x14ac:dyDescent="0.25">
      <c r="B157" s="541" t="str">
        <f>IF(ISBLANK(dms_E2_Projects_34),"",dms_E2_Projects_34)</f>
        <v/>
      </c>
      <c r="C157" s="538"/>
      <c r="D157" s="1510"/>
      <c r="E157" s="1514"/>
      <c r="F157" s="1515"/>
      <c r="G157" s="1513"/>
      <c r="H157" s="1513"/>
      <c r="I157" s="1513"/>
      <c r="J157" s="1513"/>
    </row>
    <row r="158" spans="2:10" ht="15.75" customHeight="1" outlineLevel="4" x14ac:dyDescent="0.25">
      <c r="B158" s="541" t="str">
        <f>IF(ISBLANK(dms_E2_Projects_35),"",dms_E2_Projects_35)</f>
        <v/>
      </c>
      <c r="C158" s="538"/>
      <c r="D158" s="1510"/>
      <c r="E158" s="1514"/>
      <c r="F158" s="1515"/>
      <c r="G158" s="1513"/>
      <c r="H158" s="1513"/>
      <c r="I158" s="1513"/>
      <c r="J158" s="1513"/>
    </row>
    <row r="159" spans="2:10" ht="15.75" customHeight="1" outlineLevel="4" x14ac:dyDescent="0.25">
      <c r="B159" s="541" t="str">
        <f>IF(ISBLANK(dms_E2_Projects_36),"",dms_E2_Projects_36)</f>
        <v/>
      </c>
      <c r="C159" s="538"/>
      <c r="D159" s="1510"/>
      <c r="E159" s="1514"/>
      <c r="F159" s="1515"/>
      <c r="G159" s="1513"/>
      <c r="H159" s="1513"/>
      <c r="I159" s="1513"/>
      <c r="J159" s="1513"/>
    </row>
    <row r="160" spans="2:10" ht="15.75" customHeight="1" outlineLevel="4" x14ac:dyDescent="0.25">
      <c r="B160" s="541" t="str">
        <f>IF(ISBLANK(dms_E2_Projects_37),"",dms_E2_Projects_37)</f>
        <v/>
      </c>
      <c r="C160" s="538"/>
      <c r="D160" s="1510"/>
      <c r="E160" s="1514"/>
      <c r="F160" s="1515"/>
      <c r="G160" s="1513"/>
      <c r="H160" s="1513"/>
      <c r="I160" s="1513"/>
      <c r="J160" s="1513"/>
    </row>
    <row r="161" spans="2:10" ht="15.75" customHeight="1" outlineLevel="4" x14ac:dyDescent="0.25">
      <c r="B161" s="541" t="str">
        <f>IF(ISBLANK(dms_E2_Projects_38),"",dms_E2_Projects_38)</f>
        <v/>
      </c>
      <c r="C161" s="538"/>
      <c r="D161" s="1510"/>
      <c r="E161" s="1514"/>
      <c r="F161" s="1515"/>
      <c r="G161" s="1513"/>
      <c r="H161" s="1513"/>
      <c r="I161" s="1513"/>
      <c r="J161" s="1513"/>
    </row>
    <row r="162" spans="2:10" ht="15.75" customHeight="1" outlineLevel="4" x14ac:dyDescent="0.25">
      <c r="B162" s="541" t="str">
        <f>IF(ISBLANK(dms_E2_Projects_39),"",dms_E2_Projects_39)</f>
        <v/>
      </c>
      <c r="C162" s="538"/>
      <c r="D162" s="1510"/>
      <c r="E162" s="1514"/>
      <c r="F162" s="1515"/>
      <c r="G162" s="1513"/>
      <c r="H162" s="1513"/>
      <c r="I162" s="1513"/>
      <c r="J162" s="1513"/>
    </row>
    <row r="163" spans="2:10" ht="15.75" customHeight="1" outlineLevel="4" x14ac:dyDescent="0.25">
      <c r="B163" s="541" t="str">
        <f>IF(ISBLANK(dms_E2_Projects_40),"",dms_E2_Projects_40)</f>
        <v/>
      </c>
      <c r="C163" s="538"/>
      <c r="D163" s="1510"/>
      <c r="E163" s="1514"/>
      <c r="F163" s="1515"/>
      <c r="G163" s="1513"/>
      <c r="H163" s="1513"/>
      <c r="I163" s="1513"/>
      <c r="J163" s="1513"/>
    </row>
    <row r="164" spans="2:10" ht="15.75" customHeight="1" outlineLevel="4" x14ac:dyDescent="0.25">
      <c r="B164" s="541" t="str">
        <f>IF(ISBLANK(dms_E2_Projects_41),"",dms_E2_Projects_41)</f>
        <v/>
      </c>
      <c r="C164" s="538"/>
      <c r="D164" s="1510"/>
      <c r="E164" s="1514"/>
      <c r="F164" s="1515"/>
      <c r="G164" s="1513"/>
      <c r="H164" s="1513"/>
      <c r="I164" s="1513"/>
      <c r="J164" s="1513"/>
    </row>
    <row r="165" spans="2:10" ht="15.75" customHeight="1" outlineLevel="4" x14ac:dyDescent="0.25">
      <c r="B165" s="541" t="str">
        <f>IF(ISBLANK(dms_E2_Projects_42),"",dms_E2_Projects_42)</f>
        <v/>
      </c>
      <c r="C165" s="538"/>
      <c r="D165" s="1510"/>
      <c r="E165" s="1514"/>
      <c r="F165" s="1515"/>
      <c r="G165" s="1513"/>
      <c r="H165" s="1513"/>
      <c r="I165" s="1513"/>
      <c r="J165" s="1513"/>
    </row>
    <row r="166" spans="2:10" ht="15.75" customHeight="1" outlineLevel="4" x14ac:dyDescent="0.25">
      <c r="B166" s="541" t="str">
        <f>IF(ISBLANK(dms_E2_Projects_43),"",dms_E2_Projects_43)</f>
        <v/>
      </c>
      <c r="C166" s="538"/>
      <c r="D166" s="1510"/>
      <c r="E166" s="1514"/>
      <c r="F166" s="1515"/>
      <c r="G166" s="1513"/>
      <c r="H166" s="1513"/>
      <c r="I166" s="1513"/>
      <c r="J166" s="1513"/>
    </row>
    <row r="167" spans="2:10" ht="15.75" customHeight="1" outlineLevel="4" x14ac:dyDescent="0.25">
      <c r="B167" s="541" t="str">
        <f>IF(ISBLANK(dms_E2_Projects_44),"",dms_E2_Projects_44)</f>
        <v/>
      </c>
      <c r="C167" s="538"/>
      <c r="D167" s="1510"/>
      <c r="E167" s="1514"/>
      <c r="F167" s="1515"/>
      <c r="G167" s="1513"/>
      <c r="H167" s="1513"/>
      <c r="I167" s="1513"/>
      <c r="J167" s="1513"/>
    </row>
    <row r="168" spans="2:10" ht="15.75" customHeight="1" outlineLevel="4" x14ac:dyDescent="0.25">
      <c r="B168" s="541" t="str">
        <f>IF(ISBLANK(dms_E2_Projects_45),"",dms_E2_Projects_45)</f>
        <v/>
      </c>
      <c r="C168" s="538"/>
      <c r="D168" s="1510"/>
      <c r="E168" s="1514"/>
      <c r="F168" s="1515"/>
      <c r="G168" s="1513"/>
      <c r="H168" s="1513"/>
      <c r="I168" s="1513"/>
      <c r="J168" s="1513"/>
    </row>
    <row r="169" spans="2:10" ht="15.75" customHeight="1" outlineLevel="4" x14ac:dyDescent="0.25">
      <c r="B169" s="541" t="str">
        <f>IF(ISBLANK(dms_E2_Projects_46),"",dms_E2_Projects_46)</f>
        <v/>
      </c>
      <c r="C169" s="538"/>
      <c r="D169" s="1510"/>
      <c r="E169" s="1514"/>
      <c r="F169" s="1515"/>
      <c r="G169" s="1513"/>
      <c r="H169" s="1513"/>
      <c r="I169" s="1513"/>
      <c r="J169" s="1513"/>
    </row>
    <row r="170" spans="2:10" ht="15.75" customHeight="1" outlineLevel="4" x14ac:dyDescent="0.25">
      <c r="B170" s="541" t="str">
        <f>IF(ISBLANK(dms_E2_Projects_47),"",dms_E2_Projects_47)</f>
        <v/>
      </c>
      <c r="C170" s="538"/>
      <c r="D170" s="1510"/>
      <c r="E170" s="1514"/>
      <c r="F170" s="1515"/>
      <c r="G170" s="1513"/>
      <c r="H170" s="1513"/>
      <c r="I170" s="1513"/>
      <c r="J170" s="1513"/>
    </row>
    <row r="171" spans="2:10" ht="15.75" customHeight="1" outlineLevel="4" x14ac:dyDescent="0.25">
      <c r="B171" s="541" t="str">
        <f>IF(ISBLANK(dms_E2_Projects_48),"",dms_E2_Projects_48)</f>
        <v/>
      </c>
      <c r="C171" s="538"/>
      <c r="D171" s="1510"/>
      <c r="E171" s="1514"/>
      <c r="F171" s="1515"/>
      <c r="G171" s="1513"/>
      <c r="H171" s="1513"/>
      <c r="I171" s="1513"/>
      <c r="J171" s="1513"/>
    </row>
    <row r="172" spans="2:10" ht="15.75" customHeight="1" outlineLevel="4" x14ac:dyDescent="0.25">
      <c r="B172" s="541" t="str">
        <f>IF(ISBLANK(dms_E2_Projects_49),"",dms_E2_Projects_49)</f>
        <v/>
      </c>
      <c r="C172" s="538"/>
      <c r="D172" s="1510"/>
      <c r="E172" s="1514"/>
      <c r="F172" s="1515"/>
      <c r="G172" s="1513"/>
      <c r="H172" s="1513"/>
      <c r="I172" s="1513"/>
      <c r="J172" s="1513"/>
    </row>
    <row r="173" spans="2:10" ht="15.75" customHeight="1" outlineLevel="4" x14ac:dyDescent="0.25">
      <c r="B173" s="541" t="str">
        <f>IF(ISBLANK(dms_E2_Projects_50),"",dms_E2_Projects_50)</f>
        <v/>
      </c>
      <c r="C173" s="538"/>
      <c r="D173" s="1510"/>
      <c r="E173" s="1514"/>
      <c r="F173" s="1515"/>
      <c r="G173" s="1513"/>
      <c r="H173" s="1513"/>
      <c r="I173" s="1513"/>
      <c r="J173" s="1513"/>
    </row>
    <row r="174" spans="2:10" ht="15.75" customHeight="1" outlineLevel="4" thickBot="1" x14ac:dyDescent="0.3">
      <c r="B174" s="542" t="s">
        <v>137</v>
      </c>
      <c r="C174" s="543"/>
      <c r="D174" s="1516"/>
      <c r="E174" s="1517"/>
      <c r="F174" s="1518"/>
      <c r="G174" s="1519"/>
      <c r="H174" s="1519"/>
      <c r="I174" s="1519"/>
      <c r="J174" s="1519"/>
    </row>
    <row r="175" spans="2:10" ht="15.75" customHeight="1" outlineLevel="4" collapsed="1" thickBot="1" x14ac:dyDescent="0.3">
      <c r="B175" s="544"/>
      <c r="C175" s="545" t="s">
        <v>120</v>
      </c>
      <c r="D175" s="545">
        <f>SUM(D124:D174)</f>
        <v>0</v>
      </c>
      <c r="E175" s="545">
        <f t="shared" ref="E175:J175" si="6">SUM(E124:E174)</f>
        <v>0</v>
      </c>
      <c r="F175" s="545">
        <f t="shared" si="6"/>
        <v>0</v>
      </c>
      <c r="G175" s="545">
        <f t="shared" si="6"/>
        <v>0</v>
      </c>
      <c r="H175" s="545">
        <f t="shared" si="6"/>
        <v>0</v>
      </c>
      <c r="I175" s="545">
        <f t="shared" si="6"/>
        <v>0</v>
      </c>
      <c r="J175" s="545">
        <f t="shared" si="6"/>
        <v>0</v>
      </c>
    </row>
    <row r="176" spans="2:10" ht="15.75" customHeight="1" outlineLevel="2" thickBot="1" x14ac:dyDescent="0.3"/>
    <row r="177" spans="1:10" ht="21.75" customHeight="1" outlineLevel="2" thickBot="1" x14ac:dyDescent="0.3">
      <c r="B177" s="250" t="s">
        <v>139</v>
      </c>
      <c r="C177" s="251"/>
      <c r="D177" s="251"/>
      <c r="E177" s="251"/>
      <c r="F177" s="251"/>
      <c r="G177" s="251"/>
      <c r="H177" s="251"/>
      <c r="I177" s="251"/>
      <c r="J177" s="251"/>
    </row>
    <row r="178" spans="1:10" s="42" customFormat="1" ht="15" customHeight="1" outlineLevel="4" x14ac:dyDescent="0.25">
      <c r="A178" s="291"/>
      <c r="B178"/>
      <c r="C178"/>
      <c r="D178" s="1378" t="s">
        <v>24</v>
      </c>
      <c r="E178" s="1378"/>
      <c r="F178" s="1378"/>
      <c r="G178" s="1378"/>
      <c r="H178" s="1378"/>
      <c r="I178" s="1378"/>
      <c r="J178" s="1378"/>
    </row>
    <row r="179" spans="1:10" s="42" customFormat="1" ht="15" customHeight="1" outlineLevel="4" x14ac:dyDescent="0.25">
      <c r="A179" s="291"/>
      <c r="B179"/>
      <c r="C179"/>
      <c r="D179" s="1378" t="str">
        <f ca="1">CONCATENATE("$, real ",dms_DollarReal)</f>
        <v>$, real June 2026</v>
      </c>
      <c r="E179" s="1378"/>
      <c r="F179" s="1378"/>
      <c r="G179" s="1378"/>
      <c r="H179" s="1378"/>
      <c r="I179" s="1378"/>
      <c r="J179" s="1378"/>
    </row>
    <row r="180" spans="1:10" s="42" customFormat="1" ht="15.75" customHeight="1" outlineLevel="4" thickBot="1" x14ac:dyDescent="0.3">
      <c r="A180" s="291"/>
      <c r="B180" s="78"/>
      <c r="C180" s="319"/>
      <c r="D180" s="314" t="str">
        <f ca="1">dms_y1</f>
        <v>2024-25</v>
      </c>
      <c r="E180" s="314" t="str">
        <f ca="1">dms_y2</f>
        <v>2025-26</v>
      </c>
      <c r="F180" s="314" t="str">
        <f ca="1">dms_y3</f>
        <v>2026-27</v>
      </c>
      <c r="G180" s="314" t="str">
        <f ca="1">dms_y4</f>
        <v>2027-28</v>
      </c>
      <c r="H180" s="314" t="str">
        <f ca="1">dms_y5</f>
        <v>2028-29</v>
      </c>
      <c r="I180" s="314" t="str">
        <f ca="1">dms_y6</f>
        <v>2029-30</v>
      </c>
      <c r="J180" s="314" t="str">
        <f ca="1">dms_y7</f>
        <v>2030-31</v>
      </c>
    </row>
    <row r="181" spans="1:10" ht="15.75" customHeight="1" outlineLevel="4" x14ac:dyDescent="0.25">
      <c r="B181" s="536" t="str">
        <f>IF(ISBLANK(dms_E2_Projects_01),"",dms_E2_Projects_01)</f>
        <v>S_MRH575_CY23 North West</v>
      </c>
      <c r="C181" s="537"/>
      <c r="D181" s="285"/>
      <c r="E181" s="278"/>
      <c r="F181" s="310"/>
      <c r="G181" s="271"/>
      <c r="H181" s="271"/>
      <c r="I181" s="271"/>
      <c r="J181" s="271"/>
    </row>
    <row r="182" spans="1:10" ht="15.75" customHeight="1" outlineLevel="4" x14ac:dyDescent="0.25">
      <c r="B182" s="536" t="str">
        <f>IF(ISBLANK(dms_E2_Projects_02),"",dms_E2_Projects_02)</f>
        <v>S_MRH575_CY24 HDPE575 South</v>
      </c>
      <c r="C182" s="538"/>
      <c r="D182" s="539"/>
      <c r="E182" s="575"/>
      <c r="F182" s="576"/>
      <c r="G182" s="540"/>
      <c r="H182" s="540"/>
      <c r="I182" s="540"/>
      <c r="J182" s="540"/>
    </row>
    <row r="183" spans="1:10" ht="15.75" customHeight="1" outlineLevel="4" x14ac:dyDescent="0.25">
      <c r="B183" s="536" t="str">
        <f>IF(ISBLANK(dms_E2_Projects_03),"",dms_E2_Projects_03)</f>
        <v>S_MRH575_CY24 GoldenGroveB</v>
      </c>
      <c r="C183" s="538"/>
      <c r="D183" s="285"/>
      <c r="E183" s="286"/>
      <c r="F183" s="311"/>
      <c r="G183" s="271"/>
      <c r="H183" s="271"/>
      <c r="I183" s="271"/>
      <c r="J183" s="271"/>
    </row>
    <row r="184" spans="1:10" ht="15.75" customHeight="1" outlineLevel="4" x14ac:dyDescent="0.25">
      <c r="B184" s="536" t="str">
        <f>IF(ISBLANK(dms_E2_Projects_04),"",dms_E2_Projects_04)</f>
        <v>S_MRH575_CY24_PortPirie_1</v>
      </c>
      <c r="C184" s="538"/>
      <c r="D184" s="539"/>
      <c r="E184" s="575"/>
      <c r="F184" s="576"/>
      <c r="G184" s="540"/>
      <c r="H184" s="540"/>
      <c r="I184" s="540"/>
      <c r="J184" s="540"/>
    </row>
    <row r="185" spans="1:10" ht="15.75" customHeight="1" outlineLevel="4" x14ac:dyDescent="0.25">
      <c r="B185" s="536" t="str">
        <f>IF(ISBLANK(dms_E2_Projects_05),"",dms_E2_Projects_05)</f>
        <v>S_MRH575_CY24_SHEIDOW_PARK</v>
      </c>
      <c r="C185" s="538"/>
      <c r="D185" s="285"/>
      <c r="E185" s="286"/>
      <c r="F185" s="311"/>
      <c r="G185" s="271"/>
      <c r="H185" s="271"/>
      <c r="I185" s="271"/>
      <c r="J185" s="271"/>
    </row>
    <row r="186" spans="1:10" ht="15.75" customHeight="1" outlineLevel="4" x14ac:dyDescent="0.25">
      <c r="B186" s="536" t="str">
        <f>IF(ISBLANK(dms_E2_Projects_06),"",dms_E2_Projects_06)</f>
        <v>S_MRH575_CY24_ONKAPARINGAHILLS</v>
      </c>
      <c r="C186" s="538"/>
      <c r="D186" s="539"/>
      <c r="E186" s="575"/>
      <c r="F186" s="576"/>
      <c r="G186" s="540"/>
      <c r="H186" s="540"/>
      <c r="I186" s="540"/>
      <c r="J186" s="540"/>
    </row>
    <row r="187" spans="1:10" ht="15.75" customHeight="1" outlineLevel="4" x14ac:dyDescent="0.25">
      <c r="B187" s="536" t="str">
        <f>IF(ISBLANK(dms_E2_Projects_07),"",dms_E2_Projects_07)</f>
        <v>S_MRH575_CY25_Aberfoyle Park</v>
      </c>
      <c r="C187" s="538"/>
      <c r="D187" s="285"/>
      <c r="E187" s="286"/>
      <c r="F187" s="311"/>
      <c r="G187" s="271"/>
      <c r="H187" s="271"/>
      <c r="I187" s="271"/>
      <c r="J187" s="271"/>
    </row>
    <row r="188" spans="1:10" ht="15.75" customHeight="1" outlineLevel="4" x14ac:dyDescent="0.25">
      <c r="B188" s="536" t="str">
        <f>IF(ISBLANK(dms_E2_Projects_08),"",dms_E2_Projects_08)</f>
        <v>2362_MAINS RENEWAL - HDPE 575</v>
      </c>
      <c r="C188" s="538"/>
      <c r="D188" s="539"/>
      <c r="E188" s="575"/>
      <c r="F188" s="576"/>
      <c r="G188" s="540"/>
      <c r="H188" s="540"/>
      <c r="I188" s="540"/>
      <c r="J188" s="540"/>
    </row>
    <row r="189" spans="1:10" ht="15.75" customHeight="1" outlineLevel="4" x14ac:dyDescent="0.25">
      <c r="B189" s="536" t="str">
        <f>IF(ISBLANK(dms_E2_Projects_09),"",dms_E2_Projects_09)</f>
        <v>S_MRB_CY21 Semaphore</v>
      </c>
      <c r="C189" s="538"/>
      <c r="D189" s="285"/>
      <c r="E189" s="286"/>
      <c r="F189" s="311"/>
      <c r="G189" s="271"/>
      <c r="H189" s="271"/>
      <c r="I189" s="271"/>
      <c r="J189" s="271"/>
    </row>
    <row r="190" spans="1:10" ht="15.75" customHeight="1" outlineLevel="4" x14ac:dyDescent="0.25">
      <c r="B190" s="536" t="str">
        <f>IF(ISBLANK(dms_E2_Projects_10),"",dms_E2_Projects_10)</f>
        <v>2366_S_MRB_CY24_North Adelaide_C</v>
      </c>
      <c r="C190" s="538"/>
      <c r="D190" s="539"/>
      <c r="E190" s="575"/>
      <c r="F190" s="576"/>
      <c r="G190" s="540"/>
      <c r="H190" s="540"/>
      <c r="I190" s="540"/>
      <c r="J190" s="540"/>
    </row>
    <row r="191" spans="1:10" ht="15.75" customHeight="1" outlineLevel="4" x14ac:dyDescent="0.25">
      <c r="B191" s="536" t="str">
        <f>IF(ISBLANK(dms_E2_Projects_11),"",dms_E2_Projects_11)</f>
        <v>S_MRB_CY24_Semaphore_Sth</v>
      </c>
      <c r="C191" s="538"/>
      <c r="D191" s="285"/>
      <c r="E191" s="286"/>
      <c r="F191" s="311"/>
      <c r="G191" s="271"/>
      <c r="H191" s="271"/>
      <c r="I191" s="271"/>
      <c r="J191" s="271"/>
    </row>
    <row r="192" spans="1:10" ht="15.75" customHeight="1" outlineLevel="4" x14ac:dyDescent="0.25">
      <c r="B192" s="536" t="str">
        <f>IF(ISBLANK(dms_E2_Projects_12),"",dms_E2_Projects_12)</f>
        <v>S_MRB_CY24_Millswood</v>
      </c>
      <c r="C192" s="538"/>
      <c r="D192" s="539"/>
      <c r="E192" s="575"/>
      <c r="F192" s="576"/>
      <c r="G192" s="540"/>
      <c r="H192" s="540"/>
      <c r="I192" s="540"/>
      <c r="J192" s="540"/>
    </row>
    <row r="193" spans="2:10" ht="15.75" customHeight="1" outlineLevel="4" x14ac:dyDescent="0.25">
      <c r="B193" s="536" t="str">
        <f>IF(ISBLANK(dms_E2_Projects_13),"",dms_E2_Projects_13)</f>
        <v>S_MRB_CY24_PASADENA</v>
      </c>
      <c r="C193" s="538"/>
      <c r="D193" s="285"/>
      <c r="E193" s="286"/>
      <c r="F193" s="311"/>
      <c r="G193" s="271"/>
      <c r="H193" s="271"/>
      <c r="I193" s="271"/>
      <c r="J193" s="271"/>
    </row>
    <row r="194" spans="2:10" ht="15.75" customHeight="1" outlineLevel="4" x14ac:dyDescent="0.25">
      <c r="B194" s="536" t="str">
        <f>IF(ISBLANK(dms_E2_Projects_14),"",dms_E2_Projects_14)</f>
        <v>S_MRB_CY24_ROSTREVOR</v>
      </c>
      <c r="C194" s="538"/>
      <c r="D194" s="539"/>
      <c r="E194" s="575"/>
      <c r="F194" s="576"/>
      <c r="G194" s="540"/>
      <c r="H194" s="540"/>
      <c r="I194" s="540"/>
      <c r="J194" s="540"/>
    </row>
    <row r="195" spans="2:10" ht="15.75" customHeight="1" outlineLevel="4" x14ac:dyDescent="0.25">
      <c r="B195" s="536" t="str">
        <f>IF(ISBLANK(dms_E2_Projects_15),"",dms_E2_Projects_15)</f>
        <v>S_MRB_CY24_WOODVILLE_PARK</v>
      </c>
      <c r="C195" s="538"/>
      <c r="D195" s="285"/>
      <c r="E195" s="286"/>
      <c r="F195" s="311"/>
      <c r="G195" s="271"/>
      <c r="H195" s="271"/>
      <c r="I195" s="271"/>
      <c r="J195" s="271"/>
    </row>
    <row r="196" spans="2:10" ht="15.75" customHeight="1" outlineLevel="4" x14ac:dyDescent="0.25">
      <c r="B196" s="536" t="str">
        <f>IF(ISBLANK(dms_E2_Projects_16),"",dms_E2_Projects_16)</f>
        <v>S_MRB_CY24_PORT_ADELAIDE_A</v>
      </c>
      <c r="C196" s="538"/>
      <c r="D196" s="539"/>
      <c r="E196" s="575"/>
      <c r="F196" s="576"/>
      <c r="G196" s="540"/>
      <c r="H196" s="540"/>
      <c r="I196" s="540"/>
      <c r="J196" s="540"/>
    </row>
    <row r="197" spans="2:10" ht="15.75" customHeight="1" outlineLevel="4" x14ac:dyDescent="0.25">
      <c r="B197" s="541" t="str">
        <f>IF(ISBLANK(dms_E2_Projects_17),"",dms_E2_Projects_17)</f>
        <v>S_MRB_CY25_Edwardstown A</v>
      </c>
      <c r="C197" s="538"/>
      <c r="D197" s="285"/>
      <c r="E197" s="286"/>
      <c r="F197" s="311"/>
      <c r="G197" s="271"/>
      <c r="H197" s="271"/>
      <c r="I197" s="271"/>
      <c r="J197" s="271"/>
    </row>
    <row r="198" spans="2:10" ht="15.75" customHeight="1" outlineLevel="4" x14ac:dyDescent="0.25">
      <c r="B198" s="541" t="str">
        <f>IF(ISBLANK(dms_E2_Projects_18),"",dms_E2_Projects_18)</f>
        <v>S_MRB_CY25_Burnside A</v>
      </c>
      <c r="C198" s="538"/>
      <c r="D198" s="539"/>
      <c r="E198" s="575"/>
      <c r="F198" s="576"/>
      <c r="G198" s="540"/>
      <c r="H198" s="540"/>
      <c r="I198" s="540"/>
      <c r="J198" s="540"/>
    </row>
    <row r="199" spans="2:10" ht="15.75" customHeight="1" outlineLevel="4" x14ac:dyDescent="0.25">
      <c r="B199" s="541" t="str">
        <f>IF(ISBLANK(dms_E2_Projects_19),"",dms_E2_Projects_19)</f>
        <v>S_MRB_CY25_Auldana_A</v>
      </c>
      <c r="C199" s="538"/>
      <c r="D199" s="285"/>
      <c r="E199" s="286"/>
      <c r="F199" s="311"/>
      <c r="G199" s="271"/>
      <c r="H199" s="271"/>
      <c r="I199" s="271"/>
      <c r="J199" s="271"/>
    </row>
    <row r="200" spans="2:10" ht="15.75" customHeight="1" outlineLevel="4" x14ac:dyDescent="0.25">
      <c r="B200" s="541" t="str">
        <f>IF(ISBLANK(dms_E2_Projects_20),"",dms_E2_Projects_20)</f>
        <v>S_MRB_CY25_Devon Park</v>
      </c>
      <c r="C200" s="538"/>
      <c r="D200" s="539"/>
      <c r="E200" s="575"/>
      <c r="F200" s="576"/>
      <c r="G200" s="540"/>
      <c r="H200" s="540"/>
      <c r="I200" s="540"/>
      <c r="J200" s="540"/>
    </row>
    <row r="201" spans="2:10" ht="15.75" customHeight="1" outlineLevel="4" x14ac:dyDescent="0.25">
      <c r="B201" s="541" t="str">
        <f>IF(ISBLANK(dms_E2_Projects_21),"",dms_E2_Projects_21)</f>
        <v>S_MRB_CY25_Gilles Plains</v>
      </c>
      <c r="C201" s="538"/>
      <c r="D201" s="285"/>
      <c r="E201" s="286"/>
      <c r="F201" s="311"/>
      <c r="G201" s="271"/>
      <c r="H201" s="271"/>
      <c r="I201" s="271"/>
      <c r="J201" s="271"/>
    </row>
    <row r="202" spans="2:10" ht="15.75" customHeight="1" outlineLevel="4" x14ac:dyDescent="0.25">
      <c r="B202" s="541" t="str">
        <f>IF(ISBLANK(dms_E2_Projects_22),"",dms_E2_Projects_22)</f>
        <v>S_MRB_CY25_Ingle Farm A</v>
      </c>
      <c r="C202" s="538"/>
      <c r="D202" s="539"/>
      <c r="E202" s="575"/>
      <c r="F202" s="576"/>
      <c r="G202" s="540"/>
      <c r="H202" s="540"/>
      <c r="I202" s="540"/>
      <c r="J202" s="540"/>
    </row>
    <row r="203" spans="2:10" ht="15.75" customHeight="1" outlineLevel="4" x14ac:dyDescent="0.25">
      <c r="B203" s="541" t="str">
        <f>IF(ISBLANK(dms_E2_Projects_23),"",dms_E2_Projects_23)</f>
        <v>S_MRB_CY25_Ingle Farm B</v>
      </c>
      <c r="C203" s="538"/>
      <c r="D203" s="285"/>
      <c r="E203" s="286"/>
      <c r="F203" s="311"/>
      <c r="G203" s="271"/>
      <c r="H203" s="271"/>
      <c r="I203" s="271"/>
      <c r="J203" s="271"/>
    </row>
    <row r="204" spans="2:10" ht="15.75" customHeight="1" outlineLevel="4" x14ac:dyDescent="0.25">
      <c r="B204" s="541" t="str">
        <f>IF(ISBLANK(dms_E2_Projects_24),"",dms_E2_Projects_24)</f>
        <v>S_MRB_CY25_Para Hills West</v>
      </c>
      <c r="C204" s="538"/>
      <c r="D204" s="539"/>
      <c r="E204" s="575"/>
      <c r="F204" s="576"/>
      <c r="G204" s="540"/>
      <c r="H204" s="540"/>
      <c r="I204" s="540"/>
      <c r="J204" s="540"/>
    </row>
    <row r="205" spans="2:10" ht="15.75" customHeight="1" outlineLevel="4" x14ac:dyDescent="0.25">
      <c r="B205" s="541" t="str">
        <f>IF(ISBLANK(dms_E2_Projects_25),"",dms_E2_Projects_25)</f>
        <v>S_MRB_CY25_Para Vista A</v>
      </c>
      <c r="C205" s="538"/>
      <c r="D205" s="285"/>
      <c r="E205" s="286"/>
      <c r="F205" s="311"/>
      <c r="G205" s="271"/>
      <c r="H205" s="271"/>
      <c r="I205" s="271"/>
      <c r="J205" s="271"/>
    </row>
    <row r="206" spans="2:10" ht="15.75" customHeight="1" outlineLevel="4" x14ac:dyDescent="0.25">
      <c r="B206" s="541" t="str">
        <f>IF(ISBLANK(dms_E2_Projects_26),"",dms_E2_Projects_26)</f>
        <v>HDPE 575 Camera Inspection and sampling</v>
      </c>
      <c r="C206" s="538"/>
      <c r="D206" s="539"/>
      <c r="E206" s="575"/>
      <c r="F206" s="576"/>
      <c r="G206" s="540"/>
      <c r="H206" s="540"/>
      <c r="I206" s="540"/>
      <c r="J206" s="540"/>
    </row>
    <row r="207" spans="2:10" ht="15.75" customHeight="1" outlineLevel="4" x14ac:dyDescent="0.25">
      <c r="B207" s="541" t="str">
        <f>IF(ISBLANK(dms_E2_Projects_27),"",dms_E2_Projects_27)</f>
        <v>Steel Mains Replacement</v>
      </c>
      <c r="C207" s="538"/>
      <c r="D207" s="285"/>
      <c r="E207" s="286"/>
      <c r="F207" s="311"/>
      <c r="G207" s="271"/>
      <c r="H207" s="271"/>
      <c r="I207" s="271"/>
      <c r="J207" s="271"/>
    </row>
    <row r="208" spans="2:10" ht="15.75" customHeight="1" outlineLevel="4" x14ac:dyDescent="0.25">
      <c r="B208" s="541" t="str">
        <f>IF(ISBLANK(dms_E2_Projects_28),"",dms_E2_Projects_28)</f>
        <v>Multi User Sites (MUS) renewal</v>
      </c>
      <c r="C208" s="538"/>
      <c r="D208" s="539"/>
      <c r="E208" s="575"/>
      <c r="F208" s="576"/>
      <c r="G208" s="540"/>
      <c r="H208" s="540"/>
      <c r="I208" s="540"/>
      <c r="J208" s="540"/>
    </row>
    <row r="209" spans="2:10" ht="15.75" customHeight="1" outlineLevel="4" x14ac:dyDescent="0.25">
      <c r="B209" s="541" t="str">
        <f>IF(ISBLANK(dms_E2_Projects_29),"",dms_E2_Projects_29)</f>
        <v/>
      </c>
      <c r="C209" s="538"/>
      <c r="D209" s="285"/>
      <c r="E209" s="286"/>
      <c r="F209" s="311"/>
      <c r="G209" s="271"/>
      <c r="H209" s="271"/>
      <c r="I209" s="271"/>
      <c r="J209" s="271"/>
    </row>
    <row r="210" spans="2:10" ht="15.75" customHeight="1" outlineLevel="4" x14ac:dyDescent="0.25">
      <c r="B210" s="541" t="str">
        <f>IF(ISBLANK(dms_E2_Projects_30),"",dms_E2_Projects_30)</f>
        <v/>
      </c>
      <c r="C210" s="538"/>
      <c r="D210" s="539"/>
      <c r="E210" s="575"/>
      <c r="F210" s="576"/>
      <c r="G210" s="540"/>
      <c r="H210" s="540"/>
      <c r="I210" s="540"/>
      <c r="J210" s="540"/>
    </row>
    <row r="211" spans="2:10" ht="15.75" customHeight="1" outlineLevel="4" x14ac:dyDescent="0.25">
      <c r="B211" s="541" t="str">
        <f>IF(ISBLANK(dms_E2_Projects_31),"",dms_E2_Projects_31)</f>
        <v/>
      </c>
      <c r="C211" s="538"/>
      <c r="D211" s="285"/>
      <c r="E211" s="286"/>
      <c r="F211" s="311"/>
      <c r="G211" s="271"/>
      <c r="H211" s="271"/>
      <c r="I211" s="271"/>
      <c r="J211" s="271"/>
    </row>
    <row r="212" spans="2:10" ht="15.75" customHeight="1" outlineLevel="4" x14ac:dyDescent="0.25">
      <c r="B212" s="541" t="str">
        <f>IF(ISBLANK(dms_E2_Projects_32),"",dms_E2_Projects_32)</f>
        <v/>
      </c>
      <c r="C212" s="538"/>
      <c r="D212" s="539"/>
      <c r="E212" s="575"/>
      <c r="F212" s="576"/>
      <c r="G212" s="540"/>
      <c r="H212" s="540"/>
      <c r="I212" s="540"/>
      <c r="J212" s="540"/>
    </row>
    <row r="213" spans="2:10" ht="15.75" customHeight="1" outlineLevel="4" x14ac:dyDescent="0.25">
      <c r="B213" s="541" t="str">
        <f>IF(ISBLANK(dms_E2_Projects_33),"",dms_E2_Projects_33)</f>
        <v/>
      </c>
      <c r="C213" s="538"/>
      <c r="D213" s="285"/>
      <c r="E213" s="286"/>
      <c r="F213" s="311"/>
      <c r="G213" s="271"/>
      <c r="H213" s="271"/>
      <c r="I213" s="271"/>
      <c r="J213" s="271"/>
    </row>
    <row r="214" spans="2:10" ht="15.75" customHeight="1" outlineLevel="4" x14ac:dyDescent="0.25">
      <c r="B214" s="541" t="str">
        <f>IF(ISBLANK(dms_E2_Projects_34),"",dms_E2_Projects_34)</f>
        <v/>
      </c>
      <c r="C214" s="538"/>
      <c r="D214" s="539"/>
      <c r="E214" s="575"/>
      <c r="F214" s="576"/>
      <c r="G214" s="540"/>
      <c r="H214" s="540"/>
      <c r="I214" s="540"/>
      <c r="J214" s="540"/>
    </row>
    <row r="215" spans="2:10" ht="15.75" customHeight="1" outlineLevel="4" x14ac:dyDescent="0.25">
      <c r="B215" s="541" t="str">
        <f>IF(ISBLANK(dms_E2_Projects_35),"",dms_E2_Projects_35)</f>
        <v/>
      </c>
      <c r="C215" s="538"/>
      <c r="D215" s="285"/>
      <c r="E215" s="286"/>
      <c r="F215" s="311"/>
      <c r="G215" s="271"/>
      <c r="H215" s="271"/>
      <c r="I215" s="271"/>
      <c r="J215" s="271"/>
    </row>
    <row r="216" spans="2:10" ht="15.75" customHeight="1" outlineLevel="4" x14ac:dyDescent="0.25">
      <c r="B216" s="541" t="str">
        <f>IF(ISBLANK(dms_E2_Projects_36),"",dms_E2_Projects_36)</f>
        <v/>
      </c>
      <c r="C216" s="538"/>
      <c r="D216" s="539"/>
      <c r="E216" s="575"/>
      <c r="F216" s="576"/>
      <c r="G216" s="540"/>
      <c r="H216" s="540"/>
      <c r="I216" s="540"/>
      <c r="J216" s="540"/>
    </row>
    <row r="217" spans="2:10" ht="15.75" customHeight="1" outlineLevel="4" x14ac:dyDescent="0.25">
      <c r="B217" s="541" t="str">
        <f>IF(ISBLANK(dms_E2_Projects_37),"",dms_E2_Projects_37)</f>
        <v/>
      </c>
      <c r="C217" s="538"/>
      <c r="D217" s="285"/>
      <c r="E217" s="286"/>
      <c r="F217" s="311"/>
      <c r="G217" s="271"/>
      <c r="H217" s="271"/>
      <c r="I217" s="271"/>
      <c r="J217" s="271"/>
    </row>
    <row r="218" spans="2:10" ht="15.75" customHeight="1" outlineLevel="4" x14ac:dyDescent="0.25">
      <c r="B218" s="541" t="str">
        <f>IF(ISBLANK(dms_E2_Projects_38),"",dms_E2_Projects_38)</f>
        <v/>
      </c>
      <c r="C218" s="538"/>
      <c r="D218" s="539"/>
      <c r="E218" s="575"/>
      <c r="F218" s="576"/>
      <c r="G218" s="540"/>
      <c r="H218" s="540"/>
      <c r="I218" s="540"/>
      <c r="J218" s="540"/>
    </row>
    <row r="219" spans="2:10" ht="15.75" customHeight="1" outlineLevel="4" x14ac:dyDescent="0.25">
      <c r="B219" s="541" t="str">
        <f>IF(ISBLANK(dms_E2_Projects_39),"",dms_E2_Projects_39)</f>
        <v/>
      </c>
      <c r="C219" s="538"/>
      <c r="D219" s="285"/>
      <c r="E219" s="286"/>
      <c r="F219" s="311"/>
      <c r="G219" s="271"/>
      <c r="H219" s="271"/>
      <c r="I219" s="271"/>
      <c r="J219" s="271"/>
    </row>
    <row r="220" spans="2:10" ht="15.75" customHeight="1" outlineLevel="4" x14ac:dyDescent="0.25">
      <c r="B220" s="541" t="str">
        <f>IF(ISBLANK(dms_E2_Projects_40),"",dms_E2_Projects_40)</f>
        <v/>
      </c>
      <c r="C220" s="538"/>
      <c r="D220" s="539"/>
      <c r="E220" s="575"/>
      <c r="F220" s="576"/>
      <c r="G220" s="540"/>
      <c r="H220" s="540"/>
      <c r="I220" s="540"/>
      <c r="J220" s="540"/>
    </row>
    <row r="221" spans="2:10" ht="15.75" customHeight="1" outlineLevel="4" x14ac:dyDescent="0.25">
      <c r="B221" s="541" t="str">
        <f>IF(ISBLANK(dms_E2_Projects_41),"",dms_E2_Projects_41)</f>
        <v/>
      </c>
      <c r="C221" s="538"/>
      <c r="D221" s="285"/>
      <c r="E221" s="286"/>
      <c r="F221" s="311"/>
      <c r="G221" s="271"/>
      <c r="H221" s="271"/>
      <c r="I221" s="271"/>
      <c r="J221" s="271"/>
    </row>
    <row r="222" spans="2:10" ht="15.75" customHeight="1" outlineLevel="4" x14ac:dyDescent="0.25">
      <c r="B222" s="541" t="str">
        <f>IF(ISBLANK(dms_E2_Projects_42),"",dms_E2_Projects_42)</f>
        <v/>
      </c>
      <c r="C222" s="538"/>
      <c r="D222" s="539"/>
      <c r="E222" s="575"/>
      <c r="F222" s="576"/>
      <c r="G222" s="540"/>
      <c r="H222" s="540"/>
      <c r="I222" s="540"/>
      <c r="J222" s="540"/>
    </row>
    <row r="223" spans="2:10" ht="15.75" customHeight="1" outlineLevel="4" x14ac:dyDescent="0.25">
      <c r="B223" s="541" t="str">
        <f>IF(ISBLANK(dms_E2_Projects_43),"",dms_E2_Projects_43)</f>
        <v/>
      </c>
      <c r="C223" s="538"/>
      <c r="D223" s="285"/>
      <c r="E223" s="286"/>
      <c r="F223" s="311"/>
      <c r="G223" s="271"/>
      <c r="H223" s="271"/>
      <c r="I223" s="271"/>
      <c r="J223" s="271"/>
    </row>
    <row r="224" spans="2:10" ht="15.75" customHeight="1" outlineLevel="4" x14ac:dyDescent="0.25">
      <c r="B224" s="541" t="str">
        <f>IF(ISBLANK(dms_E2_Projects_44),"",dms_E2_Projects_44)</f>
        <v/>
      </c>
      <c r="C224" s="538"/>
      <c r="D224" s="539"/>
      <c r="E224" s="575"/>
      <c r="F224" s="576"/>
      <c r="G224" s="540"/>
      <c r="H224" s="540"/>
      <c r="I224" s="540"/>
      <c r="J224" s="540"/>
    </row>
    <row r="225" spans="1:10" ht="15.75" customHeight="1" outlineLevel="4" x14ac:dyDescent="0.25">
      <c r="B225" s="541" t="str">
        <f>IF(ISBLANK(dms_E2_Projects_45),"",dms_E2_Projects_45)</f>
        <v/>
      </c>
      <c r="C225" s="538"/>
      <c r="D225" s="285"/>
      <c r="E225" s="286"/>
      <c r="F225" s="311"/>
      <c r="G225" s="271"/>
      <c r="H225" s="271"/>
      <c r="I225" s="271"/>
      <c r="J225" s="271"/>
    </row>
    <row r="226" spans="1:10" ht="15.75" customHeight="1" outlineLevel="4" x14ac:dyDescent="0.25">
      <c r="B226" s="541" t="str">
        <f>IF(ISBLANK(dms_E2_Projects_46),"",dms_E2_Projects_46)</f>
        <v/>
      </c>
      <c r="C226" s="538"/>
      <c r="D226" s="539"/>
      <c r="E226" s="575"/>
      <c r="F226" s="576"/>
      <c r="G226" s="540"/>
      <c r="H226" s="540"/>
      <c r="I226" s="540"/>
      <c r="J226" s="540"/>
    </row>
    <row r="227" spans="1:10" ht="15.75" customHeight="1" outlineLevel="4" x14ac:dyDescent="0.25">
      <c r="B227" s="541" t="str">
        <f>IF(ISBLANK(dms_E2_Projects_47),"",dms_E2_Projects_47)</f>
        <v/>
      </c>
      <c r="C227" s="538"/>
      <c r="D227" s="285"/>
      <c r="E227" s="286"/>
      <c r="F227" s="311"/>
      <c r="G227" s="271"/>
      <c r="H227" s="271"/>
      <c r="I227" s="271"/>
      <c r="J227" s="271"/>
    </row>
    <row r="228" spans="1:10" ht="15.75" customHeight="1" outlineLevel="4" x14ac:dyDescent="0.25">
      <c r="B228" s="541" t="str">
        <f>IF(ISBLANK(dms_E2_Projects_48),"",dms_E2_Projects_48)</f>
        <v/>
      </c>
      <c r="C228" s="538"/>
      <c r="D228" s="539"/>
      <c r="E228" s="575"/>
      <c r="F228" s="576"/>
      <c r="G228" s="540"/>
      <c r="H228" s="540"/>
      <c r="I228" s="540"/>
      <c r="J228" s="540"/>
    </row>
    <row r="229" spans="1:10" ht="15.75" customHeight="1" outlineLevel="4" x14ac:dyDescent="0.25">
      <c r="B229" s="541" t="str">
        <f>IF(ISBLANK(dms_E2_Projects_49),"",dms_E2_Projects_49)</f>
        <v/>
      </c>
      <c r="C229" s="538"/>
      <c r="D229" s="285"/>
      <c r="E229" s="286"/>
      <c r="F229" s="311"/>
      <c r="G229" s="271"/>
      <c r="H229" s="271"/>
      <c r="I229" s="271"/>
      <c r="J229" s="271"/>
    </row>
    <row r="230" spans="1:10" ht="15.75" customHeight="1" outlineLevel="4" x14ac:dyDescent="0.25">
      <c r="B230" s="541" t="str">
        <f>IF(ISBLANK(dms_E2_Projects_50),"",dms_E2_Projects_50)</f>
        <v/>
      </c>
      <c r="C230" s="538"/>
      <c r="D230" s="539"/>
      <c r="E230" s="575"/>
      <c r="F230" s="576"/>
      <c r="G230" s="540"/>
      <c r="H230" s="540"/>
      <c r="I230" s="540"/>
      <c r="J230" s="540"/>
    </row>
    <row r="231" spans="1:10" ht="15.75" customHeight="1" outlineLevel="4" thickBot="1" x14ac:dyDescent="0.3">
      <c r="B231" s="542" t="s">
        <v>137</v>
      </c>
      <c r="C231" s="543"/>
      <c r="D231" s="287"/>
      <c r="E231" s="577"/>
      <c r="F231" s="312"/>
      <c r="G231" s="274"/>
      <c r="H231" s="274"/>
      <c r="I231" s="274"/>
      <c r="J231" s="274"/>
    </row>
    <row r="232" spans="1:10" ht="15.75" customHeight="1" outlineLevel="4" collapsed="1" thickBot="1" x14ac:dyDescent="0.3">
      <c r="B232" s="544"/>
      <c r="C232" s="545" t="s">
        <v>120</v>
      </c>
      <c r="D232" s="545">
        <f>SUM(D181:D231)</f>
        <v>0</v>
      </c>
      <c r="E232" s="545">
        <f t="shared" ref="E232:J232" si="7">SUM(E181:E231)</f>
        <v>0</v>
      </c>
      <c r="F232" s="545">
        <f t="shared" si="7"/>
        <v>0</v>
      </c>
      <c r="G232" s="545">
        <f t="shared" si="7"/>
        <v>0</v>
      </c>
      <c r="H232" s="545">
        <f t="shared" si="7"/>
        <v>0</v>
      </c>
      <c r="I232" s="545">
        <f t="shared" si="7"/>
        <v>0</v>
      </c>
      <c r="J232" s="545">
        <f t="shared" si="7"/>
        <v>0</v>
      </c>
    </row>
    <row r="233" spans="1:10" ht="15.75" customHeight="1" outlineLevel="2" thickBot="1" x14ac:dyDescent="0.3">
      <c r="B233" s="75"/>
    </row>
    <row r="234" spans="1:10" ht="21.75" customHeight="1" outlineLevel="2" thickBot="1" x14ac:dyDescent="0.3">
      <c r="B234" s="250" t="s">
        <v>140</v>
      </c>
      <c r="C234" s="251"/>
      <c r="D234" s="251"/>
      <c r="E234" s="251"/>
      <c r="F234" s="251"/>
      <c r="G234" s="251"/>
      <c r="H234" s="251"/>
      <c r="I234" s="251"/>
      <c r="J234" s="251"/>
    </row>
    <row r="235" spans="1:10" s="42" customFormat="1" ht="15" customHeight="1" outlineLevel="4" x14ac:dyDescent="0.25">
      <c r="A235" s="291"/>
      <c r="B235"/>
      <c r="C235"/>
      <c r="D235" s="1378" t="s">
        <v>24</v>
      </c>
      <c r="E235" s="1378"/>
      <c r="F235" s="1378"/>
      <c r="G235" s="1378"/>
      <c r="H235" s="1378"/>
      <c r="I235" s="1378"/>
      <c r="J235" s="1378"/>
    </row>
    <row r="236" spans="1:10" s="42" customFormat="1" ht="15" customHeight="1" outlineLevel="4" x14ac:dyDescent="0.25">
      <c r="A236" s="291"/>
      <c r="B236"/>
      <c r="C236"/>
      <c r="D236" s="1378" t="str">
        <f ca="1">CONCATENATE("$, real ",dms_DollarReal)</f>
        <v>$, real June 2026</v>
      </c>
      <c r="E236" s="1378"/>
      <c r="F236" s="1378"/>
      <c r="G236" s="1378"/>
      <c r="H236" s="1378"/>
      <c r="I236" s="1378"/>
      <c r="J236" s="1378"/>
    </row>
    <row r="237" spans="1:10" s="42" customFormat="1" ht="15.75" customHeight="1" outlineLevel="4" thickBot="1" x14ac:dyDescent="0.3">
      <c r="A237" s="291"/>
      <c r="B237" s="78"/>
      <c r="C237" s="319"/>
      <c r="D237" s="314" t="str">
        <f ca="1">dms_y1</f>
        <v>2024-25</v>
      </c>
      <c r="E237" s="314" t="str">
        <f ca="1">dms_y2</f>
        <v>2025-26</v>
      </c>
      <c r="F237" s="314" t="str">
        <f ca="1">dms_y3</f>
        <v>2026-27</v>
      </c>
      <c r="G237" s="314" t="str">
        <f ca="1">dms_y4</f>
        <v>2027-28</v>
      </c>
      <c r="H237" s="314" t="str">
        <f ca="1">dms_y5</f>
        <v>2028-29</v>
      </c>
      <c r="I237" s="314" t="str">
        <f ca="1">dms_y6</f>
        <v>2029-30</v>
      </c>
      <c r="J237" s="314" t="str">
        <f ca="1">dms_y7</f>
        <v>2030-31</v>
      </c>
    </row>
    <row r="238" spans="1:10" ht="15.75" customHeight="1" outlineLevel="4" x14ac:dyDescent="0.25">
      <c r="B238" s="536" t="str">
        <f>IF(ISBLANK(dms_E2_Projects_01),"",dms_E2_Projects_01)</f>
        <v>S_MRH575_CY23 North West</v>
      </c>
      <c r="C238" s="537"/>
      <c r="D238" s="285"/>
      <c r="E238" s="278"/>
      <c r="F238" s="310"/>
      <c r="G238" s="271"/>
      <c r="H238" s="271"/>
      <c r="I238" s="271"/>
      <c r="J238" s="271"/>
    </row>
    <row r="239" spans="1:10" ht="15.75" customHeight="1" outlineLevel="4" x14ac:dyDescent="0.25">
      <c r="B239" s="536" t="str">
        <f>IF(ISBLANK(dms_E2_Projects_02),"",dms_E2_Projects_02)</f>
        <v>S_MRH575_CY24 HDPE575 South</v>
      </c>
      <c r="C239" s="538"/>
      <c r="D239" s="539"/>
      <c r="E239" s="575"/>
      <c r="F239" s="576"/>
      <c r="G239" s="540"/>
      <c r="H239" s="540"/>
      <c r="I239" s="540"/>
      <c r="J239" s="540"/>
    </row>
    <row r="240" spans="1:10" ht="15.75" customHeight="1" outlineLevel="4" x14ac:dyDescent="0.25">
      <c r="B240" s="536" t="str">
        <f>IF(ISBLANK(dms_E2_Projects_03),"",dms_E2_Projects_03)</f>
        <v>S_MRH575_CY24 GoldenGroveB</v>
      </c>
      <c r="C240" s="538"/>
      <c r="D240" s="285"/>
      <c r="E240" s="286"/>
      <c r="F240" s="311"/>
      <c r="G240" s="271"/>
      <c r="H240" s="271"/>
      <c r="I240" s="271"/>
      <c r="J240" s="271"/>
    </row>
    <row r="241" spans="2:10" ht="15.75" customHeight="1" outlineLevel="4" x14ac:dyDescent="0.25">
      <c r="B241" s="536" t="str">
        <f>IF(ISBLANK(dms_E2_Projects_04),"",dms_E2_Projects_04)</f>
        <v>S_MRH575_CY24_PortPirie_1</v>
      </c>
      <c r="C241" s="538"/>
      <c r="D241" s="539"/>
      <c r="E241" s="575"/>
      <c r="F241" s="576"/>
      <c r="G241" s="540"/>
      <c r="H241" s="540"/>
      <c r="I241" s="540"/>
      <c r="J241" s="540"/>
    </row>
    <row r="242" spans="2:10" ht="15.75" customHeight="1" outlineLevel="4" x14ac:dyDescent="0.25">
      <c r="B242" s="536" t="str">
        <f>IF(ISBLANK(dms_E2_Projects_05),"",dms_E2_Projects_05)</f>
        <v>S_MRH575_CY24_SHEIDOW_PARK</v>
      </c>
      <c r="C242" s="538"/>
      <c r="D242" s="285"/>
      <c r="E242" s="286"/>
      <c r="F242" s="311"/>
      <c r="G242" s="271"/>
      <c r="H242" s="271"/>
      <c r="I242" s="271"/>
      <c r="J242" s="271"/>
    </row>
    <row r="243" spans="2:10" ht="15.75" customHeight="1" outlineLevel="4" x14ac:dyDescent="0.25">
      <c r="B243" s="536" t="str">
        <f>IF(ISBLANK(dms_E2_Projects_06),"",dms_E2_Projects_06)</f>
        <v>S_MRH575_CY24_ONKAPARINGAHILLS</v>
      </c>
      <c r="C243" s="538"/>
      <c r="D243" s="539"/>
      <c r="E243" s="575"/>
      <c r="F243" s="576"/>
      <c r="G243" s="540"/>
      <c r="H243" s="540"/>
      <c r="I243" s="540"/>
      <c r="J243" s="540"/>
    </row>
    <row r="244" spans="2:10" ht="15.75" customHeight="1" outlineLevel="4" x14ac:dyDescent="0.25">
      <c r="B244" s="536" t="str">
        <f>IF(ISBLANK(dms_E2_Projects_07),"",dms_E2_Projects_07)</f>
        <v>S_MRH575_CY25_Aberfoyle Park</v>
      </c>
      <c r="C244" s="538"/>
      <c r="D244" s="285"/>
      <c r="E244" s="286"/>
      <c r="F244" s="311"/>
      <c r="G244" s="271"/>
      <c r="H244" s="271"/>
      <c r="I244" s="271"/>
      <c r="J244" s="271"/>
    </row>
    <row r="245" spans="2:10" ht="15.75" customHeight="1" outlineLevel="4" x14ac:dyDescent="0.25">
      <c r="B245" s="536" t="str">
        <f>IF(ISBLANK(dms_E2_Projects_08),"",dms_E2_Projects_08)</f>
        <v>2362_MAINS RENEWAL - HDPE 575</v>
      </c>
      <c r="C245" s="538"/>
      <c r="D245" s="539"/>
      <c r="E245" s="575"/>
      <c r="F245" s="576"/>
      <c r="G245" s="540"/>
      <c r="H245" s="540"/>
      <c r="I245" s="540"/>
      <c r="J245" s="540"/>
    </row>
    <row r="246" spans="2:10" ht="15.75" customHeight="1" outlineLevel="4" x14ac:dyDescent="0.25">
      <c r="B246" s="536" t="str">
        <f>IF(ISBLANK(dms_E2_Projects_09),"",dms_E2_Projects_09)</f>
        <v>S_MRB_CY21 Semaphore</v>
      </c>
      <c r="C246" s="538"/>
      <c r="D246" s="285"/>
      <c r="E246" s="286"/>
      <c r="F246" s="311"/>
      <c r="G246" s="271"/>
      <c r="H246" s="271"/>
      <c r="I246" s="271"/>
      <c r="J246" s="271"/>
    </row>
    <row r="247" spans="2:10" ht="15.75" customHeight="1" outlineLevel="4" x14ac:dyDescent="0.25">
      <c r="B247" s="536" t="str">
        <f>IF(ISBLANK(dms_E2_Projects_10),"",dms_E2_Projects_10)</f>
        <v>2366_S_MRB_CY24_North Adelaide_C</v>
      </c>
      <c r="C247" s="538"/>
      <c r="D247" s="539"/>
      <c r="E247" s="575"/>
      <c r="F247" s="576"/>
      <c r="G247" s="540"/>
      <c r="H247" s="540"/>
      <c r="I247" s="540"/>
      <c r="J247" s="540"/>
    </row>
    <row r="248" spans="2:10" ht="15.75" customHeight="1" outlineLevel="4" x14ac:dyDescent="0.25">
      <c r="B248" s="536" t="str">
        <f>IF(ISBLANK(dms_E2_Projects_11),"",dms_E2_Projects_11)</f>
        <v>S_MRB_CY24_Semaphore_Sth</v>
      </c>
      <c r="C248" s="538"/>
      <c r="D248" s="285"/>
      <c r="E248" s="286"/>
      <c r="F248" s="311"/>
      <c r="G248" s="271"/>
      <c r="H248" s="271"/>
      <c r="I248" s="271"/>
      <c r="J248" s="271"/>
    </row>
    <row r="249" spans="2:10" ht="15.75" customHeight="1" outlineLevel="4" x14ac:dyDescent="0.25">
      <c r="B249" s="536" t="str">
        <f>IF(ISBLANK(dms_E2_Projects_12),"",dms_E2_Projects_12)</f>
        <v>S_MRB_CY24_Millswood</v>
      </c>
      <c r="C249" s="538"/>
      <c r="D249" s="539"/>
      <c r="E249" s="575"/>
      <c r="F249" s="576"/>
      <c r="G249" s="540"/>
      <c r="H249" s="540"/>
      <c r="I249" s="540"/>
      <c r="J249" s="540"/>
    </row>
    <row r="250" spans="2:10" ht="15.75" customHeight="1" outlineLevel="4" x14ac:dyDescent="0.25">
      <c r="B250" s="536" t="str">
        <f>IF(ISBLANK(dms_E2_Projects_13),"",dms_E2_Projects_13)</f>
        <v>S_MRB_CY24_PASADENA</v>
      </c>
      <c r="C250" s="538"/>
      <c r="D250" s="285"/>
      <c r="E250" s="286"/>
      <c r="F250" s="311"/>
      <c r="G250" s="271"/>
      <c r="H250" s="271"/>
      <c r="I250" s="271"/>
      <c r="J250" s="271"/>
    </row>
    <row r="251" spans="2:10" ht="15.75" customHeight="1" outlineLevel="4" x14ac:dyDescent="0.25">
      <c r="B251" s="536" t="str">
        <f>IF(ISBLANK(dms_E2_Projects_14),"",dms_E2_Projects_14)</f>
        <v>S_MRB_CY24_ROSTREVOR</v>
      </c>
      <c r="C251" s="538"/>
      <c r="D251" s="539"/>
      <c r="E251" s="575"/>
      <c r="F251" s="576"/>
      <c r="G251" s="540"/>
      <c r="H251" s="540"/>
      <c r="I251" s="540"/>
      <c r="J251" s="540"/>
    </row>
    <row r="252" spans="2:10" ht="15.75" customHeight="1" outlineLevel="4" x14ac:dyDescent="0.25">
      <c r="B252" s="536" t="str">
        <f>IF(ISBLANK(dms_E2_Projects_15),"",dms_E2_Projects_15)</f>
        <v>S_MRB_CY24_WOODVILLE_PARK</v>
      </c>
      <c r="C252" s="538"/>
      <c r="D252" s="285"/>
      <c r="E252" s="286"/>
      <c r="F252" s="311"/>
      <c r="G252" s="271"/>
      <c r="H252" s="271"/>
      <c r="I252" s="271"/>
      <c r="J252" s="271"/>
    </row>
    <row r="253" spans="2:10" ht="15.75" customHeight="1" outlineLevel="4" x14ac:dyDescent="0.25">
      <c r="B253" s="536" t="str">
        <f>IF(ISBLANK(dms_E2_Projects_16),"",dms_E2_Projects_16)</f>
        <v>S_MRB_CY24_PORT_ADELAIDE_A</v>
      </c>
      <c r="C253" s="538"/>
      <c r="D253" s="539"/>
      <c r="E253" s="575"/>
      <c r="F253" s="576"/>
      <c r="G253" s="540"/>
      <c r="H253" s="540"/>
      <c r="I253" s="540"/>
      <c r="J253" s="540"/>
    </row>
    <row r="254" spans="2:10" ht="15.75" customHeight="1" outlineLevel="4" x14ac:dyDescent="0.25">
      <c r="B254" s="541" t="str">
        <f>IF(ISBLANK(dms_E2_Projects_17),"",dms_E2_Projects_17)</f>
        <v>S_MRB_CY25_Edwardstown A</v>
      </c>
      <c r="C254" s="538"/>
      <c r="D254" s="285"/>
      <c r="E254" s="286"/>
      <c r="F254" s="311"/>
      <c r="G254" s="271"/>
      <c r="H254" s="271"/>
      <c r="I254" s="271"/>
      <c r="J254" s="271"/>
    </row>
    <row r="255" spans="2:10" ht="15.75" customHeight="1" outlineLevel="4" x14ac:dyDescent="0.25">
      <c r="B255" s="541" t="str">
        <f>IF(ISBLANK(dms_E2_Projects_18),"",dms_E2_Projects_18)</f>
        <v>S_MRB_CY25_Burnside A</v>
      </c>
      <c r="C255" s="538"/>
      <c r="D255" s="539"/>
      <c r="E255" s="575"/>
      <c r="F255" s="576"/>
      <c r="G255" s="540"/>
      <c r="H255" s="540"/>
      <c r="I255" s="540"/>
      <c r="J255" s="540"/>
    </row>
    <row r="256" spans="2:10" ht="15.75" customHeight="1" outlineLevel="4" x14ac:dyDescent="0.25">
      <c r="B256" s="541" t="str">
        <f>IF(ISBLANK(dms_E2_Projects_19),"",dms_E2_Projects_19)</f>
        <v>S_MRB_CY25_Auldana_A</v>
      </c>
      <c r="C256" s="538"/>
      <c r="D256" s="285"/>
      <c r="E256" s="286"/>
      <c r="F256" s="311"/>
      <c r="G256" s="271"/>
      <c r="H256" s="271"/>
      <c r="I256" s="271"/>
      <c r="J256" s="271"/>
    </row>
    <row r="257" spans="2:10" ht="15.75" customHeight="1" outlineLevel="4" x14ac:dyDescent="0.25">
      <c r="B257" s="541" t="str">
        <f>IF(ISBLANK(dms_E2_Projects_20),"",dms_E2_Projects_20)</f>
        <v>S_MRB_CY25_Devon Park</v>
      </c>
      <c r="C257" s="538"/>
      <c r="D257" s="539"/>
      <c r="E257" s="575"/>
      <c r="F257" s="576"/>
      <c r="G257" s="540"/>
      <c r="H257" s="540"/>
      <c r="I257" s="540"/>
      <c r="J257" s="540"/>
    </row>
    <row r="258" spans="2:10" ht="15.75" customHeight="1" outlineLevel="4" x14ac:dyDescent="0.25">
      <c r="B258" s="541" t="str">
        <f>IF(ISBLANK(dms_E2_Projects_21),"",dms_E2_Projects_21)</f>
        <v>S_MRB_CY25_Gilles Plains</v>
      </c>
      <c r="C258" s="538"/>
      <c r="D258" s="285"/>
      <c r="E258" s="286"/>
      <c r="F258" s="311"/>
      <c r="G258" s="271"/>
      <c r="H258" s="271"/>
      <c r="I258" s="271"/>
      <c r="J258" s="271"/>
    </row>
    <row r="259" spans="2:10" ht="15.75" customHeight="1" outlineLevel="4" x14ac:dyDescent="0.25">
      <c r="B259" s="541" t="str">
        <f>IF(ISBLANK(dms_E2_Projects_22),"",dms_E2_Projects_22)</f>
        <v>S_MRB_CY25_Ingle Farm A</v>
      </c>
      <c r="C259" s="538"/>
      <c r="D259" s="539"/>
      <c r="E259" s="575"/>
      <c r="F259" s="576"/>
      <c r="G259" s="540"/>
      <c r="H259" s="540"/>
      <c r="I259" s="540"/>
      <c r="J259" s="540"/>
    </row>
    <row r="260" spans="2:10" ht="15.75" customHeight="1" outlineLevel="4" x14ac:dyDescent="0.25">
      <c r="B260" s="541" t="str">
        <f>IF(ISBLANK(dms_E2_Projects_23),"",dms_E2_Projects_23)</f>
        <v>S_MRB_CY25_Ingle Farm B</v>
      </c>
      <c r="C260" s="538"/>
      <c r="D260" s="285"/>
      <c r="E260" s="286"/>
      <c r="F260" s="311"/>
      <c r="G260" s="271"/>
      <c r="H260" s="271"/>
      <c r="I260" s="271"/>
      <c r="J260" s="271"/>
    </row>
    <row r="261" spans="2:10" ht="15.75" customHeight="1" outlineLevel="4" x14ac:dyDescent="0.25">
      <c r="B261" s="541" t="str">
        <f>IF(ISBLANK(dms_E2_Projects_24),"",dms_E2_Projects_24)</f>
        <v>S_MRB_CY25_Para Hills West</v>
      </c>
      <c r="C261" s="538"/>
      <c r="D261" s="539"/>
      <c r="E261" s="575"/>
      <c r="F261" s="576"/>
      <c r="G261" s="540"/>
      <c r="H261" s="540"/>
      <c r="I261" s="540"/>
      <c r="J261" s="540"/>
    </row>
    <row r="262" spans="2:10" ht="15.75" customHeight="1" outlineLevel="4" x14ac:dyDescent="0.25">
      <c r="B262" s="541" t="str">
        <f>IF(ISBLANK(dms_E2_Projects_25),"",dms_E2_Projects_25)</f>
        <v>S_MRB_CY25_Para Vista A</v>
      </c>
      <c r="C262" s="538"/>
      <c r="D262" s="285"/>
      <c r="E262" s="286"/>
      <c r="F262" s="311"/>
      <c r="G262" s="271"/>
      <c r="H262" s="271"/>
      <c r="I262" s="271"/>
      <c r="J262" s="271"/>
    </row>
    <row r="263" spans="2:10" ht="15.75" customHeight="1" outlineLevel="4" x14ac:dyDescent="0.25">
      <c r="B263" s="541" t="str">
        <f>IF(ISBLANK(dms_E2_Projects_26),"",dms_E2_Projects_26)</f>
        <v>HDPE 575 Camera Inspection and sampling</v>
      </c>
      <c r="C263" s="538"/>
      <c r="D263" s="539"/>
      <c r="E263" s="575"/>
      <c r="F263" s="576"/>
      <c r="G263" s="540"/>
      <c r="H263" s="540"/>
      <c r="I263" s="540"/>
      <c r="J263" s="540"/>
    </row>
    <row r="264" spans="2:10" ht="15.75" customHeight="1" outlineLevel="4" x14ac:dyDescent="0.25">
      <c r="B264" s="541" t="str">
        <f>IF(ISBLANK(dms_E2_Projects_27),"",dms_E2_Projects_27)</f>
        <v>Steel Mains Replacement</v>
      </c>
      <c r="C264" s="538"/>
      <c r="D264" s="285"/>
      <c r="E264" s="286"/>
      <c r="F264" s="311"/>
      <c r="G264" s="271"/>
      <c r="H264" s="271"/>
      <c r="I264" s="271"/>
      <c r="J264" s="271"/>
    </row>
    <row r="265" spans="2:10" ht="15.75" customHeight="1" outlineLevel="4" x14ac:dyDescent="0.25">
      <c r="B265" s="541" t="str">
        <f>IF(ISBLANK(dms_E2_Projects_28),"",dms_E2_Projects_28)</f>
        <v>Multi User Sites (MUS) renewal</v>
      </c>
      <c r="C265" s="538"/>
      <c r="D265" s="539"/>
      <c r="E265" s="575"/>
      <c r="F265" s="576"/>
      <c r="G265" s="540"/>
      <c r="H265" s="540"/>
      <c r="I265" s="540"/>
      <c r="J265" s="540"/>
    </row>
    <row r="266" spans="2:10" ht="15.75" customHeight="1" outlineLevel="4" x14ac:dyDescent="0.25">
      <c r="B266" s="541" t="str">
        <f>IF(ISBLANK(dms_E2_Projects_29),"",dms_E2_Projects_29)</f>
        <v/>
      </c>
      <c r="C266" s="538"/>
      <c r="D266" s="285"/>
      <c r="E266" s="286"/>
      <c r="F266" s="311"/>
      <c r="G266" s="271"/>
      <c r="H266" s="271"/>
      <c r="I266" s="271"/>
      <c r="J266" s="271"/>
    </row>
    <row r="267" spans="2:10" ht="15.75" customHeight="1" outlineLevel="4" x14ac:dyDescent="0.25">
      <c r="B267" s="541" t="str">
        <f>IF(ISBLANK(dms_E2_Projects_30),"",dms_E2_Projects_30)</f>
        <v/>
      </c>
      <c r="C267" s="538"/>
      <c r="D267" s="539"/>
      <c r="E267" s="575"/>
      <c r="F267" s="576"/>
      <c r="G267" s="540"/>
      <c r="H267" s="540"/>
      <c r="I267" s="540"/>
      <c r="J267" s="540"/>
    </row>
    <row r="268" spans="2:10" ht="15.75" customHeight="1" outlineLevel="4" x14ac:dyDescent="0.25">
      <c r="B268" s="541" t="str">
        <f>IF(ISBLANK(dms_E2_Projects_31),"",dms_E2_Projects_31)</f>
        <v/>
      </c>
      <c r="C268" s="538"/>
      <c r="D268" s="285"/>
      <c r="E268" s="286"/>
      <c r="F268" s="311"/>
      <c r="G268" s="271"/>
      <c r="H268" s="271"/>
      <c r="I268" s="271"/>
      <c r="J268" s="271"/>
    </row>
    <row r="269" spans="2:10" ht="15.75" customHeight="1" outlineLevel="4" x14ac:dyDescent="0.25">
      <c r="B269" s="541" t="str">
        <f>IF(ISBLANK(dms_E2_Projects_32),"",dms_E2_Projects_32)</f>
        <v/>
      </c>
      <c r="C269" s="538"/>
      <c r="D269" s="539"/>
      <c r="E269" s="575"/>
      <c r="F269" s="576"/>
      <c r="G269" s="540"/>
      <c r="H269" s="540"/>
      <c r="I269" s="540"/>
      <c r="J269" s="540"/>
    </row>
    <row r="270" spans="2:10" ht="15.75" customHeight="1" outlineLevel="4" x14ac:dyDescent="0.25">
      <c r="B270" s="541" t="str">
        <f>IF(ISBLANK(dms_E2_Projects_33),"",dms_E2_Projects_33)</f>
        <v/>
      </c>
      <c r="C270" s="538"/>
      <c r="D270" s="285"/>
      <c r="E270" s="286"/>
      <c r="F270" s="311"/>
      <c r="G270" s="271"/>
      <c r="H270" s="271"/>
      <c r="I270" s="271"/>
      <c r="J270" s="271"/>
    </row>
    <row r="271" spans="2:10" ht="15.75" customHeight="1" outlineLevel="4" x14ac:dyDescent="0.25">
      <c r="B271" s="541" t="str">
        <f>IF(ISBLANK(dms_E2_Projects_34),"",dms_E2_Projects_34)</f>
        <v/>
      </c>
      <c r="C271" s="538"/>
      <c r="D271" s="539"/>
      <c r="E271" s="575"/>
      <c r="F271" s="576"/>
      <c r="G271" s="540"/>
      <c r="H271" s="540"/>
      <c r="I271" s="540"/>
      <c r="J271" s="540"/>
    </row>
    <row r="272" spans="2:10" ht="15.75" customHeight="1" outlineLevel="4" x14ac:dyDescent="0.25">
      <c r="B272" s="541" t="str">
        <f>IF(ISBLANK(dms_E2_Projects_35),"",dms_E2_Projects_35)</f>
        <v/>
      </c>
      <c r="C272" s="538"/>
      <c r="D272" s="285"/>
      <c r="E272" s="286"/>
      <c r="F272" s="311"/>
      <c r="G272" s="271"/>
      <c r="H272" s="271"/>
      <c r="I272" s="271"/>
      <c r="J272" s="271"/>
    </row>
    <row r="273" spans="2:10" ht="15.75" customHeight="1" outlineLevel="4" x14ac:dyDescent="0.25">
      <c r="B273" s="541" t="str">
        <f>IF(ISBLANK(dms_E2_Projects_36),"",dms_E2_Projects_36)</f>
        <v/>
      </c>
      <c r="C273" s="538"/>
      <c r="D273" s="539"/>
      <c r="E273" s="575"/>
      <c r="F273" s="576"/>
      <c r="G273" s="540"/>
      <c r="H273" s="540"/>
      <c r="I273" s="540"/>
      <c r="J273" s="540"/>
    </row>
    <row r="274" spans="2:10" ht="15.75" customHeight="1" outlineLevel="4" x14ac:dyDescent="0.25">
      <c r="B274" s="541" t="str">
        <f>IF(ISBLANK(dms_E2_Projects_37),"",dms_E2_Projects_37)</f>
        <v/>
      </c>
      <c r="C274" s="538"/>
      <c r="D274" s="285"/>
      <c r="E274" s="286"/>
      <c r="F274" s="311"/>
      <c r="G274" s="271"/>
      <c r="H274" s="271"/>
      <c r="I274" s="271"/>
      <c r="J274" s="271"/>
    </row>
    <row r="275" spans="2:10" ht="15.75" customHeight="1" outlineLevel="4" x14ac:dyDescent="0.25">
      <c r="B275" s="541" t="str">
        <f>IF(ISBLANK(dms_E2_Projects_38),"",dms_E2_Projects_38)</f>
        <v/>
      </c>
      <c r="C275" s="538"/>
      <c r="D275" s="539"/>
      <c r="E275" s="575"/>
      <c r="F275" s="576"/>
      <c r="G275" s="540"/>
      <c r="H275" s="540"/>
      <c r="I275" s="540"/>
      <c r="J275" s="540"/>
    </row>
    <row r="276" spans="2:10" ht="15.75" customHeight="1" outlineLevel="4" x14ac:dyDescent="0.25">
      <c r="B276" s="541" t="str">
        <f>IF(ISBLANK(dms_E2_Projects_39),"",dms_E2_Projects_39)</f>
        <v/>
      </c>
      <c r="C276" s="538"/>
      <c r="D276" s="285"/>
      <c r="E276" s="286"/>
      <c r="F276" s="311"/>
      <c r="G276" s="271"/>
      <c r="H276" s="271"/>
      <c r="I276" s="271"/>
      <c r="J276" s="271"/>
    </row>
    <row r="277" spans="2:10" ht="15.75" customHeight="1" outlineLevel="4" x14ac:dyDescent="0.25">
      <c r="B277" s="541" t="str">
        <f>IF(ISBLANK(dms_E2_Projects_40),"",dms_E2_Projects_40)</f>
        <v/>
      </c>
      <c r="C277" s="538"/>
      <c r="D277" s="539"/>
      <c r="E277" s="575"/>
      <c r="F277" s="576"/>
      <c r="G277" s="540"/>
      <c r="H277" s="540"/>
      <c r="I277" s="540"/>
      <c r="J277" s="540"/>
    </row>
    <row r="278" spans="2:10" ht="15.75" customHeight="1" outlineLevel="4" x14ac:dyDescent="0.25">
      <c r="B278" s="541" t="str">
        <f>IF(ISBLANK(dms_E2_Projects_41),"",dms_E2_Projects_41)</f>
        <v/>
      </c>
      <c r="C278" s="538"/>
      <c r="D278" s="285"/>
      <c r="E278" s="286"/>
      <c r="F278" s="311"/>
      <c r="G278" s="271"/>
      <c r="H278" s="271"/>
      <c r="I278" s="271"/>
      <c r="J278" s="271"/>
    </row>
    <row r="279" spans="2:10" ht="15.75" customHeight="1" outlineLevel="4" x14ac:dyDescent="0.25">
      <c r="B279" s="541" t="str">
        <f>IF(ISBLANK(dms_E2_Projects_42),"",dms_E2_Projects_42)</f>
        <v/>
      </c>
      <c r="C279" s="538"/>
      <c r="D279" s="539"/>
      <c r="E279" s="575"/>
      <c r="F279" s="576"/>
      <c r="G279" s="540"/>
      <c r="H279" s="540"/>
      <c r="I279" s="540"/>
      <c r="J279" s="540"/>
    </row>
    <row r="280" spans="2:10" ht="15.75" customHeight="1" outlineLevel="4" x14ac:dyDescent="0.25">
      <c r="B280" s="541" t="str">
        <f>IF(ISBLANK(dms_E2_Projects_43),"",dms_E2_Projects_43)</f>
        <v/>
      </c>
      <c r="C280" s="538"/>
      <c r="D280" s="285"/>
      <c r="E280" s="286"/>
      <c r="F280" s="311"/>
      <c r="G280" s="271"/>
      <c r="H280" s="271"/>
      <c r="I280" s="271"/>
      <c r="J280" s="271"/>
    </row>
    <row r="281" spans="2:10" ht="15.75" customHeight="1" outlineLevel="4" x14ac:dyDescent="0.25">
      <c r="B281" s="541" t="str">
        <f>IF(ISBLANK(dms_E2_Projects_44),"",dms_E2_Projects_44)</f>
        <v/>
      </c>
      <c r="C281" s="538"/>
      <c r="D281" s="539"/>
      <c r="E281" s="575"/>
      <c r="F281" s="576"/>
      <c r="G281" s="540"/>
      <c r="H281" s="540"/>
      <c r="I281" s="540"/>
      <c r="J281" s="540"/>
    </row>
    <row r="282" spans="2:10" ht="15.75" customHeight="1" outlineLevel="4" x14ac:dyDescent="0.25">
      <c r="B282" s="541" t="str">
        <f>IF(ISBLANK(dms_E2_Projects_45),"",dms_E2_Projects_45)</f>
        <v/>
      </c>
      <c r="C282" s="538"/>
      <c r="D282" s="285"/>
      <c r="E282" s="286"/>
      <c r="F282" s="311"/>
      <c r="G282" s="271"/>
      <c r="H282" s="271"/>
      <c r="I282" s="271"/>
      <c r="J282" s="271"/>
    </row>
    <row r="283" spans="2:10" ht="15.75" customHeight="1" outlineLevel="4" x14ac:dyDescent="0.25">
      <c r="B283" s="541" t="str">
        <f>IF(ISBLANK(dms_E2_Projects_46),"",dms_E2_Projects_46)</f>
        <v/>
      </c>
      <c r="C283" s="538"/>
      <c r="D283" s="539"/>
      <c r="E283" s="575"/>
      <c r="F283" s="576"/>
      <c r="G283" s="540"/>
      <c r="H283" s="540"/>
      <c r="I283" s="540"/>
      <c r="J283" s="540"/>
    </row>
    <row r="284" spans="2:10" ht="15.75" customHeight="1" outlineLevel="4" x14ac:dyDescent="0.25">
      <c r="B284" s="541" t="str">
        <f>IF(ISBLANK(dms_E2_Projects_47),"",dms_E2_Projects_47)</f>
        <v/>
      </c>
      <c r="C284" s="538"/>
      <c r="D284" s="285"/>
      <c r="E284" s="286"/>
      <c r="F284" s="311"/>
      <c r="G284" s="271"/>
      <c r="H284" s="271"/>
      <c r="I284" s="271"/>
      <c r="J284" s="271"/>
    </row>
    <row r="285" spans="2:10" ht="15.75" customHeight="1" outlineLevel="4" x14ac:dyDescent="0.25">
      <c r="B285" s="541" t="str">
        <f>IF(ISBLANK(dms_E2_Projects_48),"",dms_E2_Projects_48)</f>
        <v/>
      </c>
      <c r="C285" s="538"/>
      <c r="D285" s="539"/>
      <c r="E285" s="575"/>
      <c r="F285" s="576"/>
      <c r="G285" s="540"/>
      <c r="H285" s="540"/>
      <c r="I285" s="540"/>
      <c r="J285" s="540"/>
    </row>
    <row r="286" spans="2:10" ht="15.75" customHeight="1" outlineLevel="4" x14ac:dyDescent="0.25">
      <c r="B286" s="541" t="str">
        <f>IF(ISBLANK(dms_E2_Projects_49),"",dms_E2_Projects_49)</f>
        <v/>
      </c>
      <c r="C286" s="538"/>
      <c r="D286" s="285"/>
      <c r="E286" s="286"/>
      <c r="F286" s="311"/>
      <c r="G286" s="271"/>
      <c r="H286" s="271"/>
      <c r="I286" s="271"/>
      <c r="J286" s="271"/>
    </row>
    <row r="287" spans="2:10" ht="15.75" customHeight="1" outlineLevel="4" x14ac:dyDescent="0.25">
      <c r="B287" s="541" t="str">
        <f>IF(ISBLANK(dms_E2_Projects_50),"",dms_E2_Projects_50)</f>
        <v/>
      </c>
      <c r="C287" s="538"/>
      <c r="D287" s="539"/>
      <c r="E287" s="575"/>
      <c r="F287" s="576"/>
      <c r="G287" s="540"/>
      <c r="H287" s="540"/>
      <c r="I287" s="540"/>
      <c r="J287" s="540"/>
    </row>
    <row r="288" spans="2:10" ht="15.75" customHeight="1" outlineLevel="4" thickBot="1" x14ac:dyDescent="0.3">
      <c r="B288" s="542" t="s">
        <v>137</v>
      </c>
      <c r="C288" s="543"/>
      <c r="D288" s="287"/>
      <c r="E288" s="577"/>
      <c r="F288" s="312"/>
      <c r="G288" s="274"/>
      <c r="H288" s="274"/>
      <c r="I288" s="274"/>
      <c r="J288" s="274"/>
    </row>
    <row r="289" spans="1:10" ht="15.75" customHeight="1" outlineLevel="4" collapsed="1" thickBot="1" x14ac:dyDescent="0.3">
      <c r="B289" s="544"/>
      <c r="C289" s="545" t="s">
        <v>120</v>
      </c>
      <c r="D289" s="545">
        <f>SUM(D238:D288)</f>
        <v>0</v>
      </c>
      <c r="E289" s="545">
        <f t="shared" ref="E289:J289" si="8">SUM(E238:E288)</f>
        <v>0</v>
      </c>
      <c r="F289" s="545">
        <f t="shared" si="8"/>
        <v>0</v>
      </c>
      <c r="G289" s="545">
        <f t="shared" si="8"/>
        <v>0</v>
      </c>
      <c r="H289" s="545">
        <f t="shared" si="8"/>
        <v>0</v>
      </c>
      <c r="I289" s="545">
        <f t="shared" si="8"/>
        <v>0</v>
      </c>
      <c r="J289" s="545">
        <f t="shared" si="8"/>
        <v>0</v>
      </c>
    </row>
    <row r="290" spans="1:10" ht="15.75" customHeight="1" outlineLevel="2" thickBot="1" x14ac:dyDescent="0.3">
      <c r="B290" s="75"/>
    </row>
    <row r="291" spans="1:10" ht="21.75" customHeight="1" outlineLevel="2" thickBot="1" x14ac:dyDescent="0.3">
      <c r="B291" s="250" t="s">
        <v>141</v>
      </c>
      <c r="C291" s="251"/>
      <c r="D291" s="251"/>
      <c r="E291" s="251"/>
      <c r="F291" s="251"/>
      <c r="G291" s="251"/>
      <c r="H291" s="251"/>
      <c r="I291" s="251"/>
      <c r="J291" s="251"/>
    </row>
    <row r="292" spans="1:10" s="42" customFormat="1" ht="15" customHeight="1" outlineLevel="4" x14ac:dyDescent="0.25">
      <c r="A292" s="291"/>
      <c r="B292"/>
      <c r="C292"/>
      <c r="D292" s="1378" t="s">
        <v>24</v>
      </c>
      <c r="E292" s="1378"/>
      <c r="F292" s="1378"/>
      <c r="G292" s="1378"/>
      <c r="H292" s="1378"/>
      <c r="I292" s="1378"/>
      <c r="J292" s="1378"/>
    </row>
    <row r="293" spans="1:10" s="42" customFormat="1" ht="15" customHeight="1" outlineLevel="4" x14ac:dyDescent="0.25">
      <c r="A293" s="291"/>
      <c r="B293"/>
      <c r="C293"/>
      <c r="D293" s="1378" t="str">
        <f ca="1">CONCATENATE("$, real ",dms_DollarReal)</f>
        <v>$, real June 2026</v>
      </c>
      <c r="E293" s="1378"/>
      <c r="F293" s="1378"/>
      <c r="G293" s="1378"/>
      <c r="H293" s="1378"/>
      <c r="I293" s="1378"/>
      <c r="J293" s="1378"/>
    </row>
    <row r="294" spans="1:10" s="42" customFormat="1" ht="15.75" customHeight="1" outlineLevel="4" thickBot="1" x14ac:dyDescent="0.3">
      <c r="A294" s="291"/>
      <c r="B294" s="78"/>
      <c r="C294" s="319"/>
      <c r="D294" s="314" t="str">
        <f ca="1">dms_y1</f>
        <v>2024-25</v>
      </c>
      <c r="E294" s="314" t="str">
        <f ca="1">dms_y2</f>
        <v>2025-26</v>
      </c>
      <c r="F294" s="314" t="str">
        <f ca="1">dms_y3</f>
        <v>2026-27</v>
      </c>
      <c r="G294" s="314" t="str">
        <f ca="1">dms_y4</f>
        <v>2027-28</v>
      </c>
      <c r="H294" s="314" t="str">
        <f ca="1">dms_y5</f>
        <v>2028-29</v>
      </c>
      <c r="I294" s="314" t="str">
        <f ca="1">dms_y6</f>
        <v>2029-30</v>
      </c>
      <c r="J294" s="314" t="str">
        <f ca="1">dms_y7</f>
        <v>2030-31</v>
      </c>
    </row>
    <row r="295" spans="1:10" ht="15.75" customHeight="1" outlineLevel="4" thickBot="1" x14ac:dyDescent="0.3">
      <c r="B295" s="542" t="s">
        <v>120</v>
      </c>
      <c r="C295" s="543"/>
      <c r="D295" s="287"/>
      <c r="E295" s="577"/>
      <c r="F295" s="312"/>
      <c r="G295" s="274"/>
      <c r="H295" s="274"/>
      <c r="I295" s="274"/>
      <c r="J295" s="274"/>
    </row>
    <row r="296" spans="1:10" ht="15.75" customHeight="1" outlineLevel="4" collapsed="1" thickBot="1" x14ac:dyDescent="0.3">
      <c r="B296" s="544"/>
      <c r="C296" s="545" t="s">
        <v>120</v>
      </c>
      <c r="D296" s="545">
        <f t="shared" ref="D296:J296" si="9">SUM(D295:D295)</f>
        <v>0</v>
      </c>
      <c r="E296" s="545">
        <f t="shared" si="9"/>
        <v>0</v>
      </c>
      <c r="F296" s="545">
        <f t="shared" si="9"/>
        <v>0</v>
      </c>
      <c r="G296" s="545">
        <f t="shared" si="9"/>
        <v>0</v>
      </c>
      <c r="H296" s="545">
        <f t="shared" si="9"/>
        <v>0</v>
      </c>
      <c r="I296" s="545">
        <f t="shared" si="9"/>
        <v>0</v>
      </c>
      <c r="J296" s="545">
        <f t="shared" si="9"/>
        <v>0</v>
      </c>
    </row>
    <row r="297" spans="1:10" ht="15.75" customHeight="1" outlineLevel="2" thickBot="1" x14ac:dyDescent="0.3">
      <c r="B297" s="75"/>
    </row>
    <row r="298" spans="1:10" ht="21.75" customHeight="1" outlineLevel="2" thickBot="1" x14ac:dyDescent="0.3">
      <c r="B298" s="250" t="s">
        <v>142</v>
      </c>
      <c r="C298" s="251"/>
      <c r="D298" s="251"/>
      <c r="E298" s="251"/>
      <c r="F298" s="251"/>
      <c r="G298" s="251"/>
      <c r="H298" s="251"/>
      <c r="I298" s="251"/>
      <c r="J298" s="251"/>
    </row>
    <row r="299" spans="1:10" s="42" customFormat="1" ht="15" customHeight="1" outlineLevel="4" x14ac:dyDescent="0.25">
      <c r="A299" s="291"/>
      <c r="B299"/>
      <c r="C299"/>
      <c r="D299" s="1378" t="s">
        <v>24</v>
      </c>
      <c r="E299" s="1378"/>
      <c r="F299" s="1378"/>
      <c r="G299" s="1378"/>
      <c r="H299" s="1378"/>
      <c r="I299" s="1378"/>
      <c r="J299" s="1378"/>
    </row>
    <row r="300" spans="1:10" s="42" customFormat="1" ht="15" customHeight="1" outlineLevel="4" x14ac:dyDescent="0.25">
      <c r="A300" s="291"/>
      <c r="B300"/>
      <c r="C300"/>
      <c r="D300" s="1378" t="str">
        <f ca="1">CONCATENATE("$, real ",dms_DollarReal)</f>
        <v>$, real June 2026</v>
      </c>
      <c r="E300" s="1378"/>
      <c r="F300" s="1378"/>
      <c r="G300" s="1378"/>
      <c r="H300" s="1378"/>
      <c r="I300" s="1378"/>
      <c r="J300" s="1378"/>
    </row>
    <row r="301" spans="1:10" s="42" customFormat="1" ht="15.75" customHeight="1" outlineLevel="4" thickBot="1" x14ac:dyDescent="0.3">
      <c r="A301" s="291"/>
      <c r="B301" s="78"/>
      <c r="C301" s="319"/>
      <c r="D301" s="314" t="str">
        <f ca="1">dms_y1</f>
        <v>2024-25</v>
      </c>
      <c r="E301" s="314" t="str">
        <f ca="1">dms_y2</f>
        <v>2025-26</v>
      </c>
      <c r="F301" s="314" t="str">
        <f ca="1">dms_y3</f>
        <v>2026-27</v>
      </c>
      <c r="G301" s="314" t="str">
        <f ca="1">dms_y4</f>
        <v>2027-28</v>
      </c>
      <c r="H301" s="314" t="str">
        <f ca="1">dms_y5</f>
        <v>2028-29</v>
      </c>
      <c r="I301" s="314" t="str">
        <f ca="1">dms_y6</f>
        <v>2029-30</v>
      </c>
      <c r="J301" s="314" t="str">
        <f ca="1">dms_y7</f>
        <v>2030-31</v>
      </c>
    </row>
    <row r="302" spans="1:10" ht="15.75" customHeight="1" outlineLevel="4" x14ac:dyDescent="0.25">
      <c r="B302" s="536" t="str">
        <f>IF(ISBLANK(dms_E2_Projects_01),"",dms_E2_Projects_01)</f>
        <v>S_MRH575_CY23 North West</v>
      </c>
      <c r="C302" s="537"/>
      <c r="D302" s="285"/>
      <c r="E302" s="278"/>
      <c r="F302" s="310"/>
      <c r="G302" s="271"/>
      <c r="H302" s="271"/>
      <c r="I302" s="271"/>
      <c r="J302" s="271"/>
    </row>
    <row r="303" spans="1:10" ht="15.75" customHeight="1" outlineLevel="4" x14ac:dyDescent="0.25">
      <c r="B303" s="536" t="str">
        <f>IF(ISBLANK(dms_E2_Projects_02),"",dms_E2_Projects_02)</f>
        <v>S_MRH575_CY24 HDPE575 South</v>
      </c>
      <c r="C303" s="538"/>
      <c r="D303" s="539"/>
      <c r="E303" s="575"/>
      <c r="F303" s="576"/>
      <c r="G303" s="540"/>
      <c r="H303" s="540"/>
      <c r="I303" s="540"/>
      <c r="J303" s="540"/>
    </row>
    <row r="304" spans="1:10" ht="15.75" customHeight="1" outlineLevel="4" x14ac:dyDescent="0.25">
      <c r="B304" s="536" t="str">
        <f>IF(ISBLANK(dms_E2_Projects_03),"",dms_E2_Projects_03)</f>
        <v>S_MRH575_CY24 GoldenGroveB</v>
      </c>
      <c r="C304" s="538"/>
      <c r="D304" s="285"/>
      <c r="E304" s="286"/>
      <c r="F304" s="311"/>
      <c r="G304" s="271"/>
      <c r="H304" s="271"/>
      <c r="I304" s="271"/>
      <c r="J304" s="271"/>
    </row>
    <row r="305" spans="2:10" ht="15.75" customHeight="1" outlineLevel="4" x14ac:dyDescent="0.25">
      <c r="B305" s="536" t="str">
        <f>IF(ISBLANK(dms_E2_Projects_04),"",dms_E2_Projects_04)</f>
        <v>S_MRH575_CY24_PortPirie_1</v>
      </c>
      <c r="C305" s="538"/>
      <c r="D305" s="539"/>
      <c r="E305" s="575"/>
      <c r="F305" s="576"/>
      <c r="G305" s="540"/>
      <c r="H305" s="540"/>
      <c r="I305" s="540"/>
      <c r="J305" s="540"/>
    </row>
    <row r="306" spans="2:10" ht="15.75" customHeight="1" outlineLevel="4" x14ac:dyDescent="0.25">
      <c r="B306" s="536" t="str">
        <f>IF(ISBLANK(dms_E2_Projects_05),"",dms_E2_Projects_05)</f>
        <v>S_MRH575_CY24_SHEIDOW_PARK</v>
      </c>
      <c r="C306" s="538"/>
      <c r="D306" s="285"/>
      <c r="E306" s="286"/>
      <c r="F306" s="311"/>
      <c r="G306" s="271"/>
      <c r="H306" s="271"/>
      <c r="I306" s="271"/>
      <c r="J306" s="271"/>
    </row>
    <row r="307" spans="2:10" ht="15.75" customHeight="1" outlineLevel="4" x14ac:dyDescent="0.25">
      <c r="B307" s="536" t="str">
        <f>IF(ISBLANK(dms_E2_Projects_06),"",dms_E2_Projects_06)</f>
        <v>S_MRH575_CY24_ONKAPARINGAHILLS</v>
      </c>
      <c r="C307" s="538"/>
      <c r="D307" s="539"/>
      <c r="E307" s="575"/>
      <c r="F307" s="576"/>
      <c r="G307" s="540"/>
      <c r="H307" s="540"/>
      <c r="I307" s="540"/>
      <c r="J307" s="540"/>
    </row>
    <row r="308" spans="2:10" ht="15.75" customHeight="1" outlineLevel="4" x14ac:dyDescent="0.25">
      <c r="B308" s="536" t="str">
        <f>IF(ISBLANK(dms_E2_Projects_07),"",dms_E2_Projects_07)</f>
        <v>S_MRH575_CY25_Aberfoyle Park</v>
      </c>
      <c r="C308" s="538"/>
      <c r="D308" s="285"/>
      <c r="E308" s="286"/>
      <c r="F308" s="311"/>
      <c r="G308" s="271"/>
      <c r="H308" s="271"/>
      <c r="I308" s="271"/>
      <c r="J308" s="271"/>
    </row>
    <row r="309" spans="2:10" ht="15.75" customHeight="1" outlineLevel="4" x14ac:dyDescent="0.25">
      <c r="B309" s="536" t="str">
        <f>IF(ISBLANK(dms_E2_Projects_08),"",dms_E2_Projects_08)</f>
        <v>2362_MAINS RENEWAL - HDPE 575</v>
      </c>
      <c r="C309" s="538"/>
      <c r="D309" s="539"/>
      <c r="E309" s="575"/>
      <c r="F309" s="576"/>
      <c r="G309" s="540"/>
      <c r="H309" s="540"/>
      <c r="I309" s="540"/>
      <c r="J309" s="540"/>
    </row>
    <row r="310" spans="2:10" ht="15.75" customHeight="1" outlineLevel="4" x14ac:dyDescent="0.25">
      <c r="B310" s="536" t="str">
        <f>IF(ISBLANK(dms_E2_Projects_09),"",dms_E2_Projects_09)</f>
        <v>S_MRB_CY21 Semaphore</v>
      </c>
      <c r="C310" s="538"/>
      <c r="D310" s="285"/>
      <c r="E310" s="286"/>
      <c r="F310" s="311"/>
      <c r="G310" s="271"/>
      <c r="H310" s="271"/>
      <c r="I310" s="271"/>
      <c r="J310" s="271"/>
    </row>
    <row r="311" spans="2:10" ht="15.75" customHeight="1" outlineLevel="4" x14ac:dyDescent="0.25">
      <c r="B311" s="536" t="str">
        <f>IF(ISBLANK(dms_E2_Projects_10),"",dms_E2_Projects_10)</f>
        <v>2366_S_MRB_CY24_North Adelaide_C</v>
      </c>
      <c r="C311" s="538"/>
      <c r="D311" s="539"/>
      <c r="E311" s="575"/>
      <c r="F311" s="576"/>
      <c r="G311" s="540"/>
      <c r="H311" s="540"/>
      <c r="I311" s="540"/>
      <c r="J311" s="540"/>
    </row>
    <row r="312" spans="2:10" ht="15.75" customHeight="1" outlineLevel="4" x14ac:dyDescent="0.25">
      <c r="B312" s="536" t="str">
        <f>IF(ISBLANK(dms_E2_Projects_11),"",dms_E2_Projects_11)</f>
        <v>S_MRB_CY24_Semaphore_Sth</v>
      </c>
      <c r="C312" s="538"/>
      <c r="D312" s="285"/>
      <c r="E312" s="286"/>
      <c r="F312" s="311"/>
      <c r="G312" s="271"/>
      <c r="H312" s="271"/>
      <c r="I312" s="271"/>
      <c r="J312" s="271"/>
    </row>
    <row r="313" spans="2:10" ht="15.75" customHeight="1" outlineLevel="4" x14ac:dyDescent="0.25">
      <c r="B313" s="536" t="str">
        <f>IF(ISBLANK(dms_E2_Projects_12),"",dms_E2_Projects_12)</f>
        <v>S_MRB_CY24_Millswood</v>
      </c>
      <c r="C313" s="538"/>
      <c r="D313" s="539"/>
      <c r="E313" s="575"/>
      <c r="F313" s="576"/>
      <c r="G313" s="540"/>
      <c r="H313" s="540"/>
      <c r="I313" s="540"/>
      <c r="J313" s="540"/>
    </row>
    <row r="314" spans="2:10" ht="15.75" customHeight="1" outlineLevel="4" x14ac:dyDescent="0.25">
      <c r="B314" s="536" t="str">
        <f>IF(ISBLANK(dms_E2_Projects_13),"",dms_E2_Projects_13)</f>
        <v>S_MRB_CY24_PASADENA</v>
      </c>
      <c r="C314" s="538"/>
      <c r="D314" s="285"/>
      <c r="E314" s="286"/>
      <c r="F314" s="311"/>
      <c r="G314" s="271"/>
      <c r="H314" s="271"/>
      <c r="I314" s="271"/>
      <c r="J314" s="271"/>
    </row>
    <row r="315" spans="2:10" ht="15.75" customHeight="1" outlineLevel="4" x14ac:dyDescent="0.25">
      <c r="B315" s="536" t="str">
        <f>IF(ISBLANK(dms_E2_Projects_14),"",dms_E2_Projects_14)</f>
        <v>S_MRB_CY24_ROSTREVOR</v>
      </c>
      <c r="C315" s="538"/>
      <c r="D315" s="539"/>
      <c r="E315" s="575"/>
      <c r="F315" s="576"/>
      <c r="G315" s="540"/>
      <c r="H315" s="540"/>
      <c r="I315" s="540"/>
      <c r="J315" s="540"/>
    </row>
    <row r="316" spans="2:10" ht="15.75" customHeight="1" outlineLevel="4" x14ac:dyDescent="0.25">
      <c r="B316" s="536" t="str">
        <f>IF(ISBLANK(dms_E2_Projects_15),"",dms_E2_Projects_15)</f>
        <v>S_MRB_CY24_WOODVILLE_PARK</v>
      </c>
      <c r="C316" s="538"/>
      <c r="D316" s="285"/>
      <c r="E316" s="286"/>
      <c r="F316" s="311"/>
      <c r="G316" s="271"/>
      <c r="H316" s="271"/>
      <c r="I316" s="271"/>
      <c r="J316" s="271"/>
    </row>
    <row r="317" spans="2:10" ht="15.75" customHeight="1" outlineLevel="4" x14ac:dyDescent="0.25">
      <c r="B317" s="536" t="str">
        <f>IF(ISBLANK(dms_E2_Projects_16),"",dms_E2_Projects_16)</f>
        <v>S_MRB_CY24_PORT_ADELAIDE_A</v>
      </c>
      <c r="C317" s="538"/>
      <c r="D317" s="539"/>
      <c r="E317" s="575"/>
      <c r="F317" s="576"/>
      <c r="G317" s="540"/>
      <c r="H317" s="540"/>
      <c r="I317" s="540"/>
      <c r="J317" s="540"/>
    </row>
    <row r="318" spans="2:10" ht="15.75" customHeight="1" outlineLevel="4" x14ac:dyDescent="0.25">
      <c r="B318" s="541" t="str">
        <f>IF(ISBLANK(dms_E2_Projects_17),"",dms_E2_Projects_17)</f>
        <v>S_MRB_CY25_Edwardstown A</v>
      </c>
      <c r="C318" s="538"/>
      <c r="D318" s="285"/>
      <c r="E318" s="286"/>
      <c r="F318" s="311"/>
      <c r="G318" s="271"/>
      <c r="H318" s="271"/>
      <c r="I318" s="271"/>
      <c r="J318" s="271"/>
    </row>
    <row r="319" spans="2:10" ht="15.75" customHeight="1" outlineLevel="4" x14ac:dyDescent="0.25">
      <c r="B319" s="541" t="str">
        <f>IF(ISBLANK(dms_E2_Projects_18),"",dms_E2_Projects_18)</f>
        <v>S_MRB_CY25_Burnside A</v>
      </c>
      <c r="C319" s="538"/>
      <c r="D319" s="539"/>
      <c r="E319" s="575"/>
      <c r="F319" s="576"/>
      <c r="G319" s="540"/>
      <c r="H319" s="540"/>
      <c r="I319" s="540"/>
      <c r="J319" s="540"/>
    </row>
    <row r="320" spans="2:10" ht="15.75" customHeight="1" outlineLevel="4" x14ac:dyDescent="0.25">
      <c r="B320" s="541" t="str">
        <f>IF(ISBLANK(dms_E2_Projects_19),"",dms_E2_Projects_19)</f>
        <v>S_MRB_CY25_Auldana_A</v>
      </c>
      <c r="C320" s="538"/>
      <c r="D320" s="285"/>
      <c r="E320" s="286"/>
      <c r="F320" s="311"/>
      <c r="G320" s="271"/>
      <c r="H320" s="271"/>
      <c r="I320" s="271"/>
      <c r="J320" s="271"/>
    </row>
    <row r="321" spans="2:10" ht="15.75" customHeight="1" outlineLevel="4" x14ac:dyDescent="0.25">
      <c r="B321" s="541" t="str">
        <f>IF(ISBLANK(dms_E2_Projects_20),"",dms_E2_Projects_20)</f>
        <v>S_MRB_CY25_Devon Park</v>
      </c>
      <c r="C321" s="538"/>
      <c r="D321" s="539"/>
      <c r="E321" s="575"/>
      <c r="F321" s="576"/>
      <c r="G321" s="540"/>
      <c r="H321" s="540"/>
      <c r="I321" s="540"/>
      <c r="J321" s="540"/>
    </row>
    <row r="322" spans="2:10" ht="15.75" customHeight="1" outlineLevel="4" x14ac:dyDescent="0.25">
      <c r="B322" s="541" t="str">
        <f>IF(ISBLANK(dms_E2_Projects_21),"",dms_E2_Projects_21)</f>
        <v>S_MRB_CY25_Gilles Plains</v>
      </c>
      <c r="C322" s="538"/>
      <c r="D322" s="285"/>
      <c r="E322" s="286"/>
      <c r="F322" s="311"/>
      <c r="G322" s="271"/>
      <c r="H322" s="271"/>
      <c r="I322" s="271"/>
      <c r="J322" s="271"/>
    </row>
    <row r="323" spans="2:10" ht="15.75" customHeight="1" outlineLevel="4" x14ac:dyDescent="0.25">
      <c r="B323" s="541" t="str">
        <f>IF(ISBLANK(dms_E2_Projects_22),"",dms_E2_Projects_22)</f>
        <v>S_MRB_CY25_Ingle Farm A</v>
      </c>
      <c r="C323" s="538"/>
      <c r="D323" s="539"/>
      <c r="E323" s="575"/>
      <c r="F323" s="576"/>
      <c r="G323" s="540"/>
      <c r="H323" s="540"/>
      <c r="I323" s="540"/>
      <c r="J323" s="540"/>
    </row>
    <row r="324" spans="2:10" ht="15.75" customHeight="1" outlineLevel="4" x14ac:dyDescent="0.25">
      <c r="B324" s="541" t="str">
        <f>IF(ISBLANK(dms_E2_Projects_23),"",dms_E2_Projects_23)</f>
        <v>S_MRB_CY25_Ingle Farm B</v>
      </c>
      <c r="C324" s="538"/>
      <c r="D324" s="285"/>
      <c r="E324" s="286"/>
      <c r="F324" s="311"/>
      <c r="G324" s="271"/>
      <c r="H324" s="271"/>
      <c r="I324" s="271"/>
      <c r="J324" s="271"/>
    </row>
    <row r="325" spans="2:10" ht="15.75" customHeight="1" outlineLevel="4" x14ac:dyDescent="0.25">
      <c r="B325" s="541" t="str">
        <f>IF(ISBLANK(dms_E2_Projects_24),"",dms_E2_Projects_24)</f>
        <v>S_MRB_CY25_Para Hills West</v>
      </c>
      <c r="C325" s="538"/>
      <c r="D325" s="539"/>
      <c r="E325" s="575"/>
      <c r="F325" s="576"/>
      <c r="G325" s="540"/>
      <c r="H325" s="540"/>
      <c r="I325" s="540"/>
      <c r="J325" s="540"/>
    </row>
    <row r="326" spans="2:10" ht="15.75" customHeight="1" outlineLevel="4" x14ac:dyDescent="0.25">
      <c r="B326" s="541" t="str">
        <f>IF(ISBLANK(dms_E2_Projects_25),"",dms_E2_Projects_25)</f>
        <v>S_MRB_CY25_Para Vista A</v>
      </c>
      <c r="C326" s="538"/>
      <c r="D326" s="285"/>
      <c r="E326" s="286"/>
      <c r="F326" s="311"/>
      <c r="G326" s="271"/>
      <c r="H326" s="271"/>
      <c r="I326" s="271"/>
      <c r="J326" s="271"/>
    </row>
    <row r="327" spans="2:10" ht="15.75" customHeight="1" outlineLevel="4" x14ac:dyDescent="0.25">
      <c r="B327" s="541" t="str">
        <f>IF(ISBLANK(dms_E2_Projects_26),"",dms_E2_Projects_26)</f>
        <v>HDPE 575 Camera Inspection and sampling</v>
      </c>
      <c r="C327" s="538"/>
      <c r="D327" s="539"/>
      <c r="E327" s="575"/>
      <c r="F327" s="576"/>
      <c r="G327" s="540"/>
      <c r="H327" s="540"/>
      <c r="I327" s="540"/>
      <c r="J327" s="540"/>
    </row>
    <row r="328" spans="2:10" ht="15.75" customHeight="1" outlineLevel="4" x14ac:dyDescent="0.25">
      <c r="B328" s="541" t="str">
        <f>IF(ISBLANK(dms_E2_Projects_27),"",dms_E2_Projects_27)</f>
        <v>Steel Mains Replacement</v>
      </c>
      <c r="C328" s="538"/>
      <c r="D328" s="285"/>
      <c r="E328" s="286"/>
      <c r="F328" s="311"/>
      <c r="G328" s="271"/>
      <c r="H328" s="271"/>
      <c r="I328" s="271"/>
      <c r="J328" s="271"/>
    </row>
    <row r="329" spans="2:10" ht="15.75" customHeight="1" outlineLevel="4" x14ac:dyDescent="0.25">
      <c r="B329" s="541" t="str">
        <f>IF(ISBLANK(dms_E2_Projects_28),"",dms_E2_Projects_28)</f>
        <v>Multi User Sites (MUS) renewal</v>
      </c>
      <c r="C329" s="538"/>
      <c r="D329" s="539"/>
      <c r="E329" s="575"/>
      <c r="F329" s="576"/>
      <c r="G329" s="540"/>
      <c r="H329" s="540"/>
      <c r="I329" s="540"/>
      <c r="J329" s="540"/>
    </row>
    <row r="330" spans="2:10" ht="15.75" customHeight="1" outlineLevel="4" x14ac:dyDescent="0.25">
      <c r="B330" s="541" t="str">
        <f>IF(ISBLANK(dms_E2_Projects_29),"",dms_E2_Projects_29)</f>
        <v/>
      </c>
      <c r="C330" s="538"/>
      <c r="D330" s="285"/>
      <c r="E330" s="286"/>
      <c r="F330" s="311"/>
      <c r="G330" s="271"/>
      <c r="H330" s="271"/>
      <c r="I330" s="271"/>
      <c r="J330" s="271"/>
    </row>
    <row r="331" spans="2:10" ht="15.75" customHeight="1" outlineLevel="4" x14ac:dyDescent="0.25">
      <c r="B331" s="541" t="str">
        <f>IF(ISBLANK(dms_E2_Projects_30),"",dms_E2_Projects_30)</f>
        <v/>
      </c>
      <c r="C331" s="538"/>
      <c r="D331" s="539"/>
      <c r="E331" s="575"/>
      <c r="F331" s="576"/>
      <c r="G331" s="540"/>
      <c r="H331" s="540"/>
      <c r="I331" s="540"/>
      <c r="J331" s="540"/>
    </row>
    <row r="332" spans="2:10" ht="15.75" customHeight="1" outlineLevel="4" x14ac:dyDescent="0.25">
      <c r="B332" s="541" t="str">
        <f>IF(ISBLANK(dms_E2_Projects_31),"",dms_E2_Projects_31)</f>
        <v/>
      </c>
      <c r="C332" s="538"/>
      <c r="D332" s="285"/>
      <c r="E332" s="286"/>
      <c r="F332" s="311"/>
      <c r="G332" s="271"/>
      <c r="H332" s="271"/>
      <c r="I332" s="271"/>
      <c r="J332" s="271"/>
    </row>
    <row r="333" spans="2:10" ht="15.75" customHeight="1" outlineLevel="4" x14ac:dyDescent="0.25">
      <c r="B333" s="541" t="str">
        <f>IF(ISBLANK(dms_E2_Projects_32),"",dms_E2_Projects_32)</f>
        <v/>
      </c>
      <c r="C333" s="538"/>
      <c r="D333" s="539"/>
      <c r="E333" s="575"/>
      <c r="F333" s="576"/>
      <c r="G333" s="540"/>
      <c r="H333" s="540"/>
      <c r="I333" s="540"/>
      <c r="J333" s="540"/>
    </row>
    <row r="334" spans="2:10" ht="15.75" customHeight="1" outlineLevel="4" x14ac:dyDescent="0.25">
      <c r="B334" s="541" t="str">
        <f>IF(ISBLANK(dms_E2_Projects_33),"",dms_E2_Projects_33)</f>
        <v/>
      </c>
      <c r="C334" s="538"/>
      <c r="D334" s="285"/>
      <c r="E334" s="286"/>
      <c r="F334" s="311"/>
      <c r="G334" s="271"/>
      <c r="H334" s="271"/>
      <c r="I334" s="271"/>
      <c r="J334" s="271"/>
    </row>
    <row r="335" spans="2:10" ht="15.75" customHeight="1" outlineLevel="4" x14ac:dyDescent="0.25">
      <c r="B335" s="541" t="str">
        <f>IF(ISBLANK(dms_E2_Projects_34),"",dms_E2_Projects_34)</f>
        <v/>
      </c>
      <c r="C335" s="538"/>
      <c r="D335" s="539"/>
      <c r="E335" s="575"/>
      <c r="F335" s="576"/>
      <c r="G335" s="540"/>
      <c r="H335" s="540"/>
      <c r="I335" s="540"/>
      <c r="J335" s="540"/>
    </row>
    <row r="336" spans="2:10" ht="15.75" customHeight="1" outlineLevel="4" x14ac:dyDescent="0.25">
      <c r="B336" s="541" t="str">
        <f>IF(ISBLANK(dms_E2_Projects_35),"",dms_E2_Projects_35)</f>
        <v/>
      </c>
      <c r="C336" s="538"/>
      <c r="D336" s="285"/>
      <c r="E336" s="286"/>
      <c r="F336" s="311"/>
      <c r="G336" s="271"/>
      <c r="H336" s="271"/>
      <c r="I336" s="271"/>
      <c r="J336" s="271"/>
    </row>
    <row r="337" spans="2:10" ht="15.75" customHeight="1" outlineLevel="4" x14ac:dyDescent="0.25">
      <c r="B337" s="541" t="str">
        <f>IF(ISBLANK(dms_E2_Projects_36),"",dms_E2_Projects_36)</f>
        <v/>
      </c>
      <c r="C337" s="538"/>
      <c r="D337" s="539"/>
      <c r="E337" s="575"/>
      <c r="F337" s="576"/>
      <c r="G337" s="540"/>
      <c r="H337" s="540"/>
      <c r="I337" s="540"/>
      <c r="J337" s="540"/>
    </row>
    <row r="338" spans="2:10" ht="15.75" customHeight="1" outlineLevel="4" x14ac:dyDescent="0.25">
      <c r="B338" s="541" t="str">
        <f>IF(ISBLANK(dms_E2_Projects_37),"",dms_E2_Projects_37)</f>
        <v/>
      </c>
      <c r="C338" s="538"/>
      <c r="D338" s="285"/>
      <c r="E338" s="286"/>
      <c r="F338" s="311"/>
      <c r="G338" s="271"/>
      <c r="H338" s="271"/>
      <c r="I338" s="271"/>
      <c r="J338" s="271"/>
    </row>
    <row r="339" spans="2:10" ht="15.75" customHeight="1" outlineLevel="4" x14ac:dyDescent="0.25">
      <c r="B339" s="541" t="str">
        <f>IF(ISBLANK(dms_E2_Projects_38),"",dms_E2_Projects_38)</f>
        <v/>
      </c>
      <c r="C339" s="538"/>
      <c r="D339" s="539"/>
      <c r="E339" s="575"/>
      <c r="F339" s="576"/>
      <c r="G339" s="540"/>
      <c r="H339" s="540"/>
      <c r="I339" s="540"/>
      <c r="J339" s="540"/>
    </row>
    <row r="340" spans="2:10" ht="15.75" customHeight="1" outlineLevel="4" x14ac:dyDescent="0.25">
      <c r="B340" s="541" t="str">
        <f>IF(ISBLANK(dms_E2_Projects_39),"",dms_E2_Projects_39)</f>
        <v/>
      </c>
      <c r="C340" s="538"/>
      <c r="D340" s="285"/>
      <c r="E340" s="286"/>
      <c r="F340" s="311"/>
      <c r="G340" s="271"/>
      <c r="H340" s="271"/>
      <c r="I340" s="271"/>
      <c r="J340" s="271"/>
    </row>
    <row r="341" spans="2:10" ht="15.75" customHeight="1" outlineLevel="4" x14ac:dyDescent="0.25">
      <c r="B341" s="541" t="str">
        <f>IF(ISBLANK(dms_E2_Projects_40),"",dms_E2_Projects_40)</f>
        <v/>
      </c>
      <c r="C341" s="538"/>
      <c r="D341" s="539"/>
      <c r="E341" s="575"/>
      <c r="F341" s="576"/>
      <c r="G341" s="540"/>
      <c r="H341" s="540"/>
      <c r="I341" s="540"/>
      <c r="J341" s="540"/>
    </row>
    <row r="342" spans="2:10" ht="15.75" customHeight="1" outlineLevel="4" x14ac:dyDescent="0.25">
      <c r="B342" s="541" t="str">
        <f>IF(ISBLANK(dms_E2_Projects_41),"",dms_E2_Projects_41)</f>
        <v/>
      </c>
      <c r="C342" s="538"/>
      <c r="D342" s="285"/>
      <c r="E342" s="286"/>
      <c r="F342" s="311"/>
      <c r="G342" s="271"/>
      <c r="H342" s="271"/>
      <c r="I342" s="271"/>
      <c r="J342" s="271"/>
    </row>
    <row r="343" spans="2:10" ht="15.75" customHeight="1" outlineLevel="4" x14ac:dyDescent="0.25">
      <c r="B343" s="541" t="str">
        <f>IF(ISBLANK(dms_E2_Projects_42),"",dms_E2_Projects_42)</f>
        <v/>
      </c>
      <c r="C343" s="538"/>
      <c r="D343" s="539"/>
      <c r="E343" s="575"/>
      <c r="F343" s="576"/>
      <c r="G343" s="540"/>
      <c r="H343" s="540"/>
      <c r="I343" s="540"/>
      <c r="J343" s="540"/>
    </row>
    <row r="344" spans="2:10" ht="15.75" customHeight="1" outlineLevel="4" x14ac:dyDescent="0.25">
      <c r="B344" s="541" t="str">
        <f>IF(ISBLANK(dms_E2_Projects_43),"",dms_E2_Projects_43)</f>
        <v/>
      </c>
      <c r="C344" s="538"/>
      <c r="D344" s="285"/>
      <c r="E344" s="286"/>
      <c r="F344" s="311"/>
      <c r="G344" s="271"/>
      <c r="H344" s="271"/>
      <c r="I344" s="271"/>
      <c r="J344" s="271"/>
    </row>
    <row r="345" spans="2:10" ht="15.75" customHeight="1" outlineLevel="4" x14ac:dyDescent="0.25">
      <c r="B345" s="541" t="str">
        <f>IF(ISBLANK(dms_E2_Projects_44),"",dms_E2_Projects_44)</f>
        <v/>
      </c>
      <c r="C345" s="538"/>
      <c r="D345" s="539"/>
      <c r="E345" s="575"/>
      <c r="F345" s="576"/>
      <c r="G345" s="540"/>
      <c r="H345" s="540"/>
      <c r="I345" s="540"/>
      <c r="J345" s="540"/>
    </row>
    <row r="346" spans="2:10" ht="15.75" customHeight="1" outlineLevel="4" x14ac:dyDescent="0.25">
      <c r="B346" s="541" t="str">
        <f>IF(ISBLANK(dms_E2_Projects_45),"",dms_E2_Projects_45)</f>
        <v/>
      </c>
      <c r="C346" s="538"/>
      <c r="D346" s="285"/>
      <c r="E346" s="286"/>
      <c r="F346" s="311"/>
      <c r="G346" s="271"/>
      <c r="H346" s="271"/>
      <c r="I346" s="271"/>
      <c r="J346" s="271"/>
    </row>
    <row r="347" spans="2:10" ht="15.75" customHeight="1" outlineLevel="4" x14ac:dyDescent="0.25">
      <c r="B347" s="541" t="str">
        <f>IF(ISBLANK(dms_E2_Projects_46),"",dms_E2_Projects_46)</f>
        <v/>
      </c>
      <c r="C347" s="538"/>
      <c r="D347" s="539"/>
      <c r="E347" s="575"/>
      <c r="F347" s="576"/>
      <c r="G347" s="540"/>
      <c r="H347" s="540"/>
      <c r="I347" s="540"/>
      <c r="J347" s="540"/>
    </row>
    <row r="348" spans="2:10" ht="15.75" customHeight="1" outlineLevel="4" x14ac:dyDescent="0.25">
      <c r="B348" s="541" t="str">
        <f>IF(ISBLANK(dms_E2_Projects_47),"",dms_E2_Projects_47)</f>
        <v/>
      </c>
      <c r="C348" s="538"/>
      <c r="D348" s="285"/>
      <c r="E348" s="286"/>
      <c r="F348" s="311"/>
      <c r="G348" s="271"/>
      <c r="H348" s="271"/>
      <c r="I348" s="271"/>
      <c r="J348" s="271"/>
    </row>
    <row r="349" spans="2:10" ht="15.75" customHeight="1" outlineLevel="4" x14ac:dyDescent="0.25">
      <c r="B349" s="541" t="str">
        <f>IF(ISBLANK(dms_E2_Projects_48),"",dms_E2_Projects_48)</f>
        <v/>
      </c>
      <c r="C349" s="538"/>
      <c r="D349" s="539"/>
      <c r="E349" s="575"/>
      <c r="F349" s="576"/>
      <c r="G349" s="540"/>
      <c r="H349" s="540"/>
      <c r="I349" s="540"/>
      <c r="J349" s="540"/>
    </row>
    <row r="350" spans="2:10" ht="15.75" customHeight="1" outlineLevel="4" x14ac:dyDescent="0.25">
      <c r="B350" s="541" t="str">
        <f>IF(ISBLANK(dms_E2_Projects_49),"",dms_E2_Projects_49)</f>
        <v/>
      </c>
      <c r="C350" s="538"/>
      <c r="D350" s="285"/>
      <c r="E350" s="286"/>
      <c r="F350" s="311"/>
      <c r="G350" s="271"/>
      <c r="H350" s="271"/>
      <c r="I350" s="271"/>
      <c r="J350" s="271"/>
    </row>
    <row r="351" spans="2:10" ht="15.75" customHeight="1" outlineLevel="4" x14ac:dyDescent="0.25">
      <c r="B351" s="541" t="str">
        <f>IF(ISBLANK(dms_E2_Projects_50),"",dms_E2_Projects_50)</f>
        <v/>
      </c>
      <c r="C351" s="538"/>
      <c r="D351" s="539"/>
      <c r="E351" s="575"/>
      <c r="F351" s="576"/>
      <c r="G351" s="540"/>
      <c r="H351" s="540"/>
      <c r="I351" s="540"/>
      <c r="J351" s="540"/>
    </row>
    <row r="352" spans="2:10" ht="15.75" customHeight="1" outlineLevel="4" thickBot="1" x14ac:dyDescent="0.3">
      <c r="B352" s="542" t="s">
        <v>137</v>
      </c>
      <c r="C352" s="543"/>
      <c r="D352" s="287"/>
      <c r="E352" s="577"/>
      <c r="F352" s="312"/>
      <c r="G352" s="274"/>
      <c r="H352" s="274"/>
      <c r="I352" s="274"/>
      <c r="J352" s="274"/>
    </row>
    <row r="353" spans="1:10" ht="15.75" customHeight="1" outlineLevel="4" collapsed="1" thickBot="1" x14ac:dyDescent="0.3">
      <c r="B353" s="544"/>
      <c r="C353" s="545" t="s">
        <v>120</v>
      </c>
      <c r="D353" s="545">
        <f>SUM(D302:D352)</f>
        <v>0</v>
      </c>
      <c r="E353" s="545">
        <f t="shared" ref="E353:J353" si="10">SUM(E302:E352)</f>
        <v>0</v>
      </c>
      <c r="F353" s="545">
        <f t="shared" si="10"/>
        <v>0</v>
      </c>
      <c r="G353" s="545">
        <f t="shared" si="10"/>
        <v>0</v>
      </c>
      <c r="H353" s="545">
        <f t="shared" si="10"/>
        <v>0</v>
      </c>
      <c r="I353" s="545">
        <f t="shared" si="10"/>
        <v>0</v>
      </c>
      <c r="J353" s="545">
        <f t="shared" si="10"/>
        <v>0</v>
      </c>
    </row>
    <row r="354" spans="1:10" ht="15.75" customHeight="1" outlineLevel="2" x14ac:dyDescent="0.25">
      <c r="B354" s="75"/>
    </row>
    <row r="355" spans="1:10" outlineLevel="1" x14ac:dyDescent="0.25"/>
    <row r="356" spans="1:10" ht="15.75" outlineLevel="1" thickBot="1" x14ac:dyDescent="0.3"/>
    <row r="357" spans="1:10" s="318" customFormat="1" ht="24" customHeight="1" outlineLevel="1" thickBot="1" x14ac:dyDescent="0.3">
      <c r="B357" s="247" t="s">
        <v>143</v>
      </c>
      <c r="C357" s="248"/>
      <c r="D357" s="248"/>
      <c r="E357" s="248"/>
      <c r="F357" s="248"/>
      <c r="G357" s="248"/>
      <c r="H357" s="248"/>
      <c r="I357" s="248"/>
      <c r="J357" s="248"/>
    </row>
    <row r="358" spans="1:10" s="42" customFormat="1" ht="15" customHeight="1" outlineLevel="2" x14ac:dyDescent="0.25">
      <c r="A358" s="291"/>
      <c r="B358"/>
      <c r="C358"/>
      <c r="D358" s="1378" t="s">
        <v>24</v>
      </c>
      <c r="E358" s="1378"/>
      <c r="F358" s="1378"/>
      <c r="G358" s="1378"/>
      <c r="H358" s="1378"/>
      <c r="I358" s="1378"/>
      <c r="J358" s="1378"/>
    </row>
    <row r="359" spans="1:10" s="42" customFormat="1" ht="15" customHeight="1" outlineLevel="2" x14ac:dyDescent="0.25">
      <c r="A359" s="291"/>
      <c r="B359"/>
      <c r="C359"/>
      <c r="D359" s="1378" t="str">
        <f ca="1">CONCATENATE("$, real ",dms_DollarReal)</f>
        <v>$, real June 2026</v>
      </c>
      <c r="E359" s="1378"/>
      <c r="F359" s="1378"/>
      <c r="G359" s="1378"/>
      <c r="H359" s="1378"/>
      <c r="I359" s="1378"/>
      <c r="J359" s="1378"/>
    </row>
    <row r="360" spans="1:10" s="42" customFormat="1" ht="15.75" customHeight="1" outlineLevel="2" thickBot="1" x14ac:dyDescent="0.3">
      <c r="A360" s="291"/>
      <c r="B360" s="78"/>
      <c r="C360" s="319"/>
      <c r="D360" s="314" t="str">
        <f ca="1">dms_y1</f>
        <v>2024-25</v>
      </c>
      <c r="E360" s="314" t="str">
        <f ca="1">dms_y2</f>
        <v>2025-26</v>
      </c>
      <c r="F360" s="314" t="str">
        <f ca="1">dms_y3</f>
        <v>2026-27</v>
      </c>
      <c r="G360" s="314" t="str">
        <f ca="1">dms_y4</f>
        <v>2027-28</v>
      </c>
      <c r="H360" s="314" t="str">
        <f ca="1">dms_y5</f>
        <v>2028-29</v>
      </c>
      <c r="I360" s="314" t="str">
        <f ca="1">dms_y6</f>
        <v>2029-30</v>
      </c>
      <c r="J360" s="314" t="str">
        <f ca="1">dms_y7</f>
        <v>2030-31</v>
      </c>
    </row>
    <row r="361" spans="1:10" ht="21.75" customHeight="1" outlineLevel="2" thickBot="1" x14ac:dyDescent="0.3">
      <c r="B361" s="250" t="s">
        <v>136</v>
      </c>
      <c r="C361" s="251"/>
      <c r="D361" s="251"/>
      <c r="E361" s="251"/>
      <c r="F361" s="251"/>
      <c r="G361" s="251"/>
      <c r="H361" s="251"/>
      <c r="I361" s="251"/>
      <c r="J361" s="251"/>
    </row>
    <row r="362" spans="1:10" ht="15.75" customHeight="1" outlineLevel="3" x14ac:dyDescent="0.25">
      <c r="B362" s="558" t="s">
        <v>144</v>
      </c>
      <c r="C362" s="578"/>
      <c r="D362" s="276"/>
      <c r="E362" s="278"/>
      <c r="F362" s="310"/>
      <c r="G362" s="277"/>
      <c r="H362" s="277"/>
      <c r="I362" s="277"/>
      <c r="J362" s="280"/>
    </row>
    <row r="363" spans="1:10" ht="15.75" customHeight="1" outlineLevel="3" x14ac:dyDescent="0.25">
      <c r="B363" s="555" t="s">
        <v>145</v>
      </c>
      <c r="C363" s="548"/>
      <c r="D363" s="298"/>
      <c r="E363" s="299"/>
      <c r="F363" s="403"/>
      <c r="G363" s="301"/>
      <c r="H363" s="301"/>
      <c r="I363" s="301"/>
      <c r="J363" s="302"/>
    </row>
    <row r="364" spans="1:10" ht="15.75" outlineLevel="3" thickBot="1" x14ac:dyDescent="0.3">
      <c r="B364" s="552"/>
      <c r="C364" s="553" t="s">
        <v>120</v>
      </c>
      <c r="D364" s="553">
        <f>SUM(D362:D363)</f>
        <v>0</v>
      </c>
      <c r="E364" s="553">
        <f t="shared" ref="E364" si="11">SUM(E362:E363)</f>
        <v>0</v>
      </c>
      <c r="F364" s="553">
        <f t="shared" ref="F364" si="12">SUM(F362:F363)</f>
        <v>0</v>
      </c>
      <c r="G364" s="553">
        <f t="shared" ref="G364" si="13">SUM(G362:G363)</f>
        <v>0</v>
      </c>
      <c r="H364" s="553">
        <f t="shared" ref="H364" si="14">SUM(H362:H363)</f>
        <v>0</v>
      </c>
      <c r="I364" s="553">
        <f t="shared" ref="I364" si="15">SUM(I362:I363)</f>
        <v>0</v>
      </c>
      <c r="J364" s="554">
        <f t="shared" ref="J364" si="16">SUM(J362:J363)</f>
        <v>0</v>
      </c>
    </row>
    <row r="365" spans="1:10" ht="21.75" customHeight="1" outlineLevel="2" thickBot="1" x14ac:dyDescent="0.3">
      <c r="B365" s="250" t="s">
        <v>138</v>
      </c>
      <c r="C365" s="251"/>
      <c r="D365" s="251"/>
      <c r="E365" s="251"/>
      <c r="F365" s="251"/>
      <c r="G365" s="251"/>
      <c r="H365" s="251"/>
      <c r="I365" s="251"/>
      <c r="J365" s="251"/>
    </row>
    <row r="366" spans="1:10" ht="15.75" customHeight="1" outlineLevel="3" x14ac:dyDescent="0.25">
      <c r="B366" s="558" t="s">
        <v>144</v>
      </c>
      <c r="C366" s="578"/>
      <c r="D366" s="1520"/>
      <c r="E366" s="1511"/>
      <c r="F366" s="1512"/>
      <c r="G366" s="1521"/>
      <c r="H366" s="1521"/>
      <c r="I366" s="1521"/>
      <c r="J366" s="1522"/>
    </row>
    <row r="367" spans="1:10" ht="15.75" customHeight="1" outlineLevel="3" x14ac:dyDescent="0.25">
      <c r="B367" s="555" t="s">
        <v>145</v>
      </c>
      <c r="C367" s="548"/>
      <c r="D367" s="1523"/>
      <c r="E367" s="1524"/>
      <c r="F367" s="1525"/>
      <c r="G367" s="1526"/>
      <c r="H367" s="1526"/>
      <c r="I367" s="1526"/>
      <c r="J367" s="1527"/>
    </row>
    <row r="368" spans="1:10" ht="15.75" outlineLevel="3" thickBot="1" x14ac:dyDescent="0.3">
      <c r="B368" s="552"/>
      <c r="C368" s="553" t="s">
        <v>120</v>
      </c>
      <c r="D368" s="553">
        <f>SUM(D366:D367)</f>
        <v>0</v>
      </c>
      <c r="E368" s="553">
        <f t="shared" ref="E368" si="17">SUM(E366:E367)</f>
        <v>0</v>
      </c>
      <c r="F368" s="553">
        <f t="shared" ref="F368" si="18">SUM(F366:F367)</f>
        <v>0</v>
      </c>
      <c r="G368" s="553">
        <f t="shared" ref="G368" si="19">SUM(G366:G367)</f>
        <v>0</v>
      </c>
      <c r="H368" s="553">
        <f t="shared" ref="H368" si="20">SUM(H366:H367)</f>
        <v>0</v>
      </c>
      <c r="I368" s="553">
        <f t="shared" ref="I368" si="21">SUM(I366:I367)</f>
        <v>0</v>
      </c>
      <c r="J368" s="554">
        <f t="shared" ref="J368" si="22">SUM(J366:J367)</f>
        <v>0</v>
      </c>
    </row>
    <row r="369" spans="2:10" ht="21.75" customHeight="1" outlineLevel="2" thickBot="1" x14ac:dyDescent="0.3">
      <c r="B369" s="250" t="s">
        <v>139</v>
      </c>
      <c r="C369" s="251"/>
      <c r="D369" s="251"/>
      <c r="E369" s="251"/>
      <c r="F369" s="251"/>
      <c r="G369" s="251"/>
      <c r="H369" s="251"/>
      <c r="I369" s="251"/>
      <c r="J369" s="251"/>
    </row>
    <row r="370" spans="2:10" ht="15.75" customHeight="1" outlineLevel="3" x14ac:dyDescent="0.25">
      <c r="B370" s="558" t="s">
        <v>144</v>
      </c>
      <c r="C370" s="578"/>
      <c r="D370" s="276"/>
      <c r="E370" s="278"/>
      <c r="F370" s="310"/>
      <c r="G370" s="277"/>
      <c r="H370" s="277"/>
      <c r="I370" s="277"/>
      <c r="J370" s="280"/>
    </row>
    <row r="371" spans="2:10" ht="15.75" customHeight="1" outlineLevel="3" x14ac:dyDescent="0.25">
      <c r="B371" s="555" t="s">
        <v>145</v>
      </c>
      <c r="C371" s="548"/>
      <c r="D371" s="298"/>
      <c r="E371" s="299"/>
      <c r="F371" s="403"/>
      <c r="G371" s="301"/>
      <c r="H371" s="301"/>
      <c r="I371" s="301"/>
      <c r="J371" s="302"/>
    </row>
    <row r="372" spans="2:10" ht="15.75" outlineLevel="3" thickBot="1" x14ac:dyDescent="0.3">
      <c r="B372" s="552"/>
      <c r="C372" s="553" t="s">
        <v>120</v>
      </c>
      <c r="D372" s="553">
        <f>SUM(D370:D371)</f>
        <v>0</v>
      </c>
      <c r="E372" s="553">
        <f t="shared" ref="E372" si="23">SUM(E370:E371)</f>
        <v>0</v>
      </c>
      <c r="F372" s="553">
        <f t="shared" ref="F372" si="24">SUM(F370:F371)</f>
        <v>0</v>
      </c>
      <c r="G372" s="553">
        <f t="shared" ref="G372" si="25">SUM(G370:G371)</f>
        <v>0</v>
      </c>
      <c r="H372" s="553">
        <f t="shared" ref="H372" si="26">SUM(H370:H371)</f>
        <v>0</v>
      </c>
      <c r="I372" s="553">
        <f t="shared" ref="I372" si="27">SUM(I370:I371)</f>
        <v>0</v>
      </c>
      <c r="J372" s="554">
        <f t="shared" ref="J372" si="28">SUM(J370:J371)</f>
        <v>0</v>
      </c>
    </row>
    <row r="373" spans="2:10" ht="21.75" customHeight="1" outlineLevel="2" thickBot="1" x14ac:dyDescent="0.3">
      <c r="B373" s="250" t="s">
        <v>140</v>
      </c>
      <c r="C373" s="251"/>
      <c r="D373" s="251"/>
      <c r="E373" s="251"/>
      <c r="F373" s="251"/>
      <c r="G373" s="251"/>
      <c r="H373" s="251"/>
      <c r="I373" s="251"/>
      <c r="J373" s="251"/>
    </row>
    <row r="374" spans="2:10" ht="15.75" customHeight="1" outlineLevel="3" x14ac:dyDescent="0.25">
      <c r="B374" s="558" t="s">
        <v>144</v>
      </c>
      <c r="C374" s="578"/>
      <c r="D374" s="276"/>
      <c r="E374" s="278"/>
      <c r="F374" s="310"/>
      <c r="G374" s="277"/>
      <c r="H374" s="277"/>
      <c r="I374" s="277"/>
      <c r="J374" s="280"/>
    </row>
    <row r="375" spans="2:10" ht="15.75" customHeight="1" outlineLevel="3" x14ac:dyDescent="0.25">
      <c r="B375" s="555" t="s">
        <v>145</v>
      </c>
      <c r="C375" s="548"/>
      <c r="D375" s="298"/>
      <c r="E375" s="299"/>
      <c r="F375" s="403"/>
      <c r="G375" s="301"/>
      <c r="H375" s="301"/>
      <c r="I375" s="301"/>
      <c r="J375" s="302"/>
    </row>
    <row r="376" spans="2:10" ht="15.75" outlineLevel="3" thickBot="1" x14ac:dyDescent="0.3">
      <c r="B376" s="552"/>
      <c r="C376" s="553" t="s">
        <v>120</v>
      </c>
      <c r="D376" s="553">
        <f>SUM(D374:D375)</f>
        <v>0</v>
      </c>
      <c r="E376" s="553">
        <f t="shared" ref="E376" si="29">SUM(E374:E375)</f>
        <v>0</v>
      </c>
      <c r="F376" s="553">
        <f t="shared" ref="F376" si="30">SUM(F374:F375)</f>
        <v>0</v>
      </c>
      <c r="G376" s="553">
        <f t="shared" ref="G376" si="31">SUM(G374:G375)</f>
        <v>0</v>
      </c>
      <c r="H376" s="553">
        <f t="shared" ref="H376" si="32">SUM(H374:H375)</f>
        <v>0</v>
      </c>
      <c r="I376" s="553">
        <f t="shared" ref="I376" si="33">SUM(I374:I375)</f>
        <v>0</v>
      </c>
      <c r="J376" s="554">
        <f t="shared" ref="J376" si="34">SUM(J374:J375)</f>
        <v>0</v>
      </c>
    </row>
    <row r="377" spans="2:10" ht="21.75" customHeight="1" outlineLevel="2" thickBot="1" x14ac:dyDescent="0.3">
      <c r="B377" s="250" t="s">
        <v>141</v>
      </c>
      <c r="C377" s="251"/>
      <c r="D377" s="251"/>
      <c r="E377" s="251"/>
      <c r="F377" s="251"/>
      <c r="G377" s="251"/>
      <c r="H377" s="251"/>
      <c r="I377" s="251"/>
      <c r="J377" s="251"/>
    </row>
    <row r="378" spans="2:10" ht="15.75" customHeight="1" outlineLevel="3" x14ac:dyDescent="0.25">
      <c r="B378" s="558" t="s">
        <v>144</v>
      </c>
      <c r="C378" s="578"/>
      <c r="D378" s="276"/>
      <c r="E378" s="278"/>
      <c r="F378" s="310"/>
      <c r="G378" s="277"/>
      <c r="H378" s="277"/>
      <c r="I378" s="277"/>
      <c r="J378" s="280"/>
    </row>
    <row r="379" spans="2:10" ht="15.75" customHeight="1" outlineLevel="3" x14ac:dyDescent="0.25">
      <c r="B379" s="555" t="s">
        <v>145</v>
      </c>
      <c r="C379" s="548"/>
      <c r="D379" s="298"/>
      <c r="E379" s="299"/>
      <c r="F379" s="403"/>
      <c r="G379" s="301"/>
      <c r="H379" s="301"/>
      <c r="I379" s="301"/>
      <c r="J379" s="302"/>
    </row>
    <row r="380" spans="2:10" ht="15.75" outlineLevel="3" thickBot="1" x14ac:dyDescent="0.3">
      <c r="B380" s="552"/>
      <c r="C380" s="553" t="s">
        <v>120</v>
      </c>
      <c r="D380" s="553">
        <f>SUM(D378:D379)</f>
        <v>0</v>
      </c>
      <c r="E380" s="553">
        <f t="shared" ref="E380" si="35">SUM(E378:E379)</f>
        <v>0</v>
      </c>
      <c r="F380" s="553">
        <f t="shared" ref="F380" si="36">SUM(F378:F379)</f>
        <v>0</v>
      </c>
      <c r="G380" s="553">
        <f t="shared" ref="G380" si="37">SUM(G378:G379)</f>
        <v>0</v>
      </c>
      <c r="H380" s="553">
        <f t="shared" ref="H380" si="38">SUM(H378:H379)</f>
        <v>0</v>
      </c>
      <c r="I380" s="553">
        <f t="shared" ref="I380" si="39">SUM(I378:I379)</f>
        <v>0</v>
      </c>
      <c r="J380" s="554">
        <f t="shared" ref="J380" si="40">SUM(J378:J379)</f>
        <v>0</v>
      </c>
    </row>
    <row r="381" spans="2:10" ht="21.75" customHeight="1" outlineLevel="2" thickBot="1" x14ac:dyDescent="0.3">
      <c r="B381" s="250" t="s">
        <v>142</v>
      </c>
      <c r="C381" s="251"/>
      <c r="D381" s="251"/>
      <c r="E381" s="251"/>
      <c r="F381" s="251"/>
      <c r="G381" s="251"/>
      <c r="H381" s="251"/>
      <c r="I381" s="251"/>
      <c r="J381" s="251"/>
    </row>
    <row r="382" spans="2:10" ht="15.75" customHeight="1" outlineLevel="3" x14ac:dyDescent="0.25">
      <c r="B382" s="558" t="s">
        <v>144</v>
      </c>
      <c r="C382" s="578"/>
      <c r="D382" s="276"/>
      <c r="E382" s="278"/>
      <c r="F382" s="310"/>
      <c r="G382" s="277"/>
      <c r="H382" s="277"/>
      <c r="I382" s="277"/>
      <c r="J382" s="280"/>
    </row>
    <row r="383" spans="2:10" ht="15.75" customHeight="1" outlineLevel="3" x14ac:dyDescent="0.25">
      <c r="B383" s="555" t="s">
        <v>145</v>
      </c>
      <c r="C383" s="548"/>
      <c r="D383" s="298"/>
      <c r="E383" s="299"/>
      <c r="F383" s="403"/>
      <c r="G383" s="301"/>
      <c r="H383" s="301"/>
      <c r="I383" s="301"/>
      <c r="J383" s="302"/>
    </row>
    <row r="384" spans="2:10" ht="15.75" outlineLevel="3" thickBot="1" x14ac:dyDescent="0.3">
      <c r="B384" s="552"/>
      <c r="C384" s="553" t="s">
        <v>120</v>
      </c>
      <c r="D384" s="553">
        <f>SUM(D382:D383)</f>
        <v>0</v>
      </c>
      <c r="E384" s="553">
        <f t="shared" ref="E384" si="41">SUM(E382:E383)</f>
        <v>0</v>
      </c>
      <c r="F384" s="553">
        <f t="shared" ref="F384" si="42">SUM(F382:F383)</f>
        <v>0</v>
      </c>
      <c r="G384" s="553">
        <f t="shared" ref="G384" si="43">SUM(G382:G383)</f>
        <v>0</v>
      </c>
      <c r="H384" s="553">
        <f t="shared" ref="H384" si="44">SUM(H382:H383)</f>
        <v>0</v>
      </c>
      <c r="I384" s="553">
        <f t="shared" ref="I384" si="45">SUM(I382:I383)</f>
        <v>0</v>
      </c>
      <c r="J384" s="554">
        <f t="shared" ref="J384" si="46">SUM(J382:J383)</f>
        <v>0</v>
      </c>
    </row>
    <row r="385" spans="1:10" ht="15.75" customHeight="1" outlineLevel="2" thickBot="1" x14ac:dyDescent="0.3">
      <c r="B385" s="323"/>
      <c r="C385" s="2" t="s">
        <v>146</v>
      </c>
      <c r="D385" s="2">
        <f>SUM(D384,D380,D376,D372,D368,D364)</f>
        <v>0</v>
      </c>
      <c r="E385" s="2">
        <f t="shared" ref="E385:J385" si="47">SUM(E384,E380,E376,E372,E368,E364)</f>
        <v>0</v>
      </c>
      <c r="F385" s="2">
        <f t="shared" si="47"/>
        <v>0</v>
      </c>
      <c r="G385" s="2">
        <f t="shared" si="47"/>
        <v>0</v>
      </c>
      <c r="H385" s="2">
        <f t="shared" si="47"/>
        <v>0</v>
      </c>
      <c r="I385" s="2">
        <f t="shared" si="47"/>
        <v>0</v>
      </c>
      <c r="J385" s="563">
        <f t="shared" si="47"/>
        <v>0</v>
      </c>
    </row>
    <row r="386" spans="1:10" outlineLevel="1" x14ac:dyDescent="0.25"/>
    <row r="387" spans="1:10" outlineLevel="1" x14ac:dyDescent="0.25"/>
    <row r="388" spans="1:10" ht="15.75" thickBot="1" x14ac:dyDescent="0.3"/>
    <row r="389" spans="1:10" s="317" customFormat="1" ht="24" customHeight="1" thickBot="1" x14ac:dyDescent="0.25">
      <c r="B389" s="32" t="s">
        <v>147</v>
      </c>
      <c r="C389" s="32"/>
      <c r="D389" s="32"/>
      <c r="E389" s="32"/>
      <c r="F389" s="32"/>
      <c r="G389" s="32"/>
      <c r="H389" s="32"/>
      <c r="I389" s="32"/>
      <c r="J389" s="32"/>
    </row>
    <row r="390" spans="1:10" s="318" customFormat="1" ht="24" customHeight="1" outlineLevel="1" thickBot="1" x14ac:dyDescent="0.3">
      <c r="B390" s="247" t="s">
        <v>148</v>
      </c>
      <c r="C390" s="248"/>
      <c r="D390" s="248"/>
      <c r="E390" s="248"/>
      <c r="F390" s="248"/>
      <c r="G390" s="248"/>
      <c r="H390" s="248"/>
      <c r="I390" s="248"/>
      <c r="J390" s="248"/>
    </row>
    <row r="391" spans="1:10" s="42" customFormat="1" outlineLevel="2" x14ac:dyDescent="0.25">
      <c r="A391" s="291"/>
      <c r="B391" s="75"/>
      <c r="C391"/>
      <c r="D391" s="1382" t="s">
        <v>149</v>
      </c>
      <c r="E391" s="1383"/>
      <c r="F391" s="1383"/>
      <c r="G391" s="1383"/>
      <c r="H391" s="1383"/>
      <c r="I391" s="1383"/>
      <c r="J391" s="1384"/>
    </row>
    <row r="392" spans="1:10" s="42" customFormat="1" outlineLevel="2" x14ac:dyDescent="0.25">
      <c r="A392" s="291"/>
      <c r="B392" s="75"/>
      <c r="C392"/>
      <c r="D392" s="1375" t="s">
        <v>150</v>
      </c>
      <c r="E392" s="1376"/>
      <c r="F392" s="1376"/>
      <c r="G392" s="1376"/>
      <c r="H392" s="1376"/>
      <c r="I392" s="1376"/>
      <c r="J392" s="1377"/>
    </row>
    <row r="393" spans="1:10" s="42" customFormat="1" ht="15.75" outlineLevel="2" thickBot="1" x14ac:dyDescent="0.3">
      <c r="A393" s="291"/>
      <c r="B393" s="75"/>
      <c r="C393"/>
      <c r="D393" s="405" t="str">
        <f ca="1">dms_y1</f>
        <v>2024-25</v>
      </c>
      <c r="E393" s="306" t="str">
        <f ca="1">dms_y2</f>
        <v>2025-26</v>
      </c>
      <c r="F393" s="305" t="str">
        <f ca="1">dms_y3</f>
        <v>2026-27</v>
      </c>
      <c r="G393" s="305" t="str">
        <f ca="1">dms_y4</f>
        <v>2027-28</v>
      </c>
      <c r="H393" s="305" t="str">
        <f ca="1">dms_y5</f>
        <v>2028-29</v>
      </c>
      <c r="I393" s="305" t="str">
        <f ca="1">dms_y6</f>
        <v>2029-30</v>
      </c>
      <c r="J393" s="406" t="str">
        <f ca="1">dms_y7</f>
        <v>2030-31</v>
      </c>
    </row>
    <row r="394" spans="1:10" ht="20.25" customHeight="1" outlineLevel="2" thickBot="1" x14ac:dyDescent="0.3">
      <c r="B394" s="250" t="s">
        <v>151</v>
      </c>
      <c r="C394" s="251"/>
      <c r="D394" s="251"/>
      <c r="E394" s="251"/>
      <c r="F394" s="251"/>
      <c r="G394" s="251"/>
      <c r="H394" s="251"/>
      <c r="I394" s="251"/>
      <c r="J394" s="251"/>
    </row>
    <row r="395" spans="1:10" ht="15.75" customHeight="1" outlineLevel="3" x14ac:dyDescent="0.25">
      <c r="B395" s="572" t="str">
        <f>IF(ISBLANK(dms_E2_Projects_01),"",dms_E2_Projects_01)</f>
        <v>S_MRH575_CY23 North West</v>
      </c>
      <c r="C395" s="537"/>
      <c r="D395" s="285">
        <v>0</v>
      </c>
      <c r="E395" s="270">
        <v>0</v>
      </c>
      <c r="F395" s="270"/>
      <c r="G395" s="271"/>
      <c r="H395" s="271"/>
      <c r="I395" s="285"/>
      <c r="J395" s="271"/>
    </row>
    <row r="396" spans="1:10" ht="15.75" customHeight="1" outlineLevel="3" x14ac:dyDescent="0.25">
      <c r="B396" s="572" t="str">
        <f>IF(ISBLANK(dms_E2_Projects_02),"",dms_E2_Projects_02)</f>
        <v>S_MRH575_CY24 HDPE575 South</v>
      </c>
      <c r="C396" s="538"/>
      <c r="D396" s="285">
        <v>0</v>
      </c>
      <c r="E396" s="270">
        <v>0</v>
      </c>
      <c r="F396" s="270"/>
      <c r="G396" s="271"/>
      <c r="H396" s="271"/>
      <c r="I396" s="285"/>
      <c r="J396" s="271"/>
    </row>
    <row r="397" spans="1:10" ht="15.75" customHeight="1" outlineLevel="3" x14ac:dyDescent="0.25">
      <c r="B397" s="572" t="str">
        <f>IF(ISBLANK(dms_E2_Projects_03),"",dms_E2_Projects_03)</f>
        <v>S_MRH575_CY24 GoldenGroveB</v>
      </c>
      <c r="C397" s="538"/>
      <c r="D397" s="285">
        <v>0</v>
      </c>
      <c r="E397" s="270">
        <v>0</v>
      </c>
      <c r="F397" s="270"/>
      <c r="G397" s="271"/>
      <c r="H397" s="271"/>
      <c r="I397" s="285"/>
      <c r="J397" s="271"/>
    </row>
    <row r="398" spans="1:10" ht="15.75" customHeight="1" outlineLevel="3" x14ac:dyDescent="0.25">
      <c r="B398" s="572" t="str">
        <f>IF(ISBLANK(dms_E2_Projects_04),"",dms_E2_Projects_04)</f>
        <v>S_MRH575_CY24_PortPirie_1</v>
      </c>
      <c r="C398" s="538"/>
      <c r="D398" s="285">
        <v>0</v>
      </c>
      <c r="E398" s="270">
        <v>0</v>
      </c>
      <c r="F398" s="270"/>
      <c r="G398" s="271"/>
      <c r="H398" s="271"/>
      <c r="I398" s="285"/>
      <c r="J398" s="271"/>
    </row>
    <row r="399" spans="1:10" ht="15.75" customHeight="1" outlineLevel="3" x14ac:dyDescent="0.25">
      <c r="B399" s="572" t="str">
        <f>IF(ISBLANK(dms_E2_Projects_05),"",dms_E2_Projects_05)</f>
        <v>S_MRH575_CY24_SHEIDOW_PARK</v>
      </c>
      <c r="C399" s="538"/>
      <c r="D399" s="285">
        <v>0</v>
      </c>
      <c r="E399" s="270">
        <v>0</v>
      </c>
      <c r="F399" s="270"/>
      <c r="G399" s="271"/>
      <c r="H399" s="271"/>
      <c r="I399" s="285"/>
      <c r="J399" s="271"/>
    </row>
    <row r="400" spans="1:10" ht="15.75" customHeight="1" outlineLevel="3" x14ac:dyDescent="0.25">
      <c r="B400" s="572" t="str">
        <f>IF(ISBLANK(dms_E2_Projects_06),"",dms_E2_Projects_06)</f>
        <v>S_MRH575_CY24_ONKAPARINGAHILLS</v>
      </c>
      <c r="C400" s="538"/>
      <c r="D400" s="285">
        <v>0</v>
      </c>
      <c r="E400" s="270">
        <v>0</v>
      </c>
      <c r="F400" s="270"/>
      <c r="G400" s="271"/>
      <c r="H400" s="271"/>
      <c r="I400" s="285"/>
      <c r="J400" s="271"/>
    </row>
    <row r="401" spans="2:10" ht="15.75" customHeight="1" outlineLevel="3" x14ac:dyDescent="0.25">
      <c r="B401" s="572" t="str">
        <f>IF(ISBLANK(dms_E2_Projects_07),"",dms_E2_Projects_07)</f>
        <v>S_MRH575_CY25_Aberfoyle Park</v>
      </c>
      <c r="C401" s="538"/>
      <c r="D401" s="285">
        <v>0</v>
      </c>
      <c r="E401" s="270">
        <v>0</v>
      </c>
      <c r="F401" s="270"/>
      <c r="G401" s="271"/>
      <c r="H401" s="271"/>
      <c r="I401" s="285"/>
      <c r="J401" s="271"/>
    </row>
    <row r="402" spans="2:10" ht="15.75" customHeight="1" outlineLevel="3" x14ac:dyDescent="0.25">
      <c r="B402" s="572" t="str">
        <f>IF(ISBLANK(dms_E2_Projects_08),"",dms_E2_Projects_08)</f>
        <v>2362_MAINS RENEWAL - HDPE 575</v>
      </c>
      <c r="C402" s="538"/>
      <c r="D402" s="285">
        <v>0</v>
      </c>
      <c r="E402" s="270">
        <v>0</v>
      </c>
      <c r="F402" s="270"/>
      <c r="G402" s="271"/>
      <c r="H402" s="271"/>
      <c r="I402" s="285"/>
      <c r="J402" s="271"/>
    </row>
    <row r="403" spans="2:10" ht="15.75" customHeight="1" outlineLevel="3" x14ac:dyDescent="0.25">
      <c r="B403" s="572" t="str">
        <f>IF(ISBLANK(dms_E2_Projects_09),"",dms_E2_Projects_09)</f>
        <v>S_MRB_CY21 Semaphore</v>
      </c>
      <c r="C403" s="538"/>
      <c r="D403" s="285">
        <v>1899</v>
      </c>
      <c r="E403" s="270">
        <v>0</v>
      </c>
      <c r="F403" s="270"/>
      <c r="G403" s="271"/>
      <c r="H403" s="271"/>
      <c r="I403" s="285"/>
      <c r="J403" s="271"/>
    </row>
    <row r="404" spans="2:10" ht="15.75" customHeight="1" outlineLevel="3" x14ac:dyDescent="0.25">
      <c r="B404" s="572" t="str">
        <f>IF(ISBLANK(dms_E2_Projects_10),"",dms_E2_Projects_10)</f>
        <v>2366_S_MRB_CY24_North Adelaide_C</v>
      </c>
      <c r="C404" s="538"/>
      <c r="D404" s="285">
        <v>11761.5</v>
      </c>
      <c r="E404" s="270">
        <v>0</v>
      </c>
      <c r="F404" s="270"/>
      <c r="G404" s="271"/>
      <c r="H404" s="271"/>
      <c r="I404" s="285"/>
      <c r="J404" s="271"/>
    </row>
    <row r="405" spans="2:10" ht="15.75" customHeight="1" outlineLevel="3" x14ac:dyDescent="0.25">
      <c r="B405" s="572" t="str">
        <f>IF(ISBLANK(dms_E2_Projects_11),"",dms_E2_Projects_11)</f>
        <v>S_MRB_CY24_Semaphore_Sth</v>
      </c>
      <c r="C405" s="538"/>
      <c r="D405" s="285">
        <v>0</v>
      </c>
      <c r="E405" s="270">
        <v>0</v>
      </c>
      <c r="F405" s="270"/>
      <c r="G405" s="271"/>
      <c r="H405" s="271"/>
      <c r="I405" s="285"/>
      <c r="J405" s="271"/>
    </row>
    <row r="406" spans="2:10" ht="15.75" customHeight="1" outlineLevel="3" x14ac:dyDescent="0.25">
      <c r="B406" s="572" t="str">
        <f>IF(ISBLANK(dms_E2_Projects_12),"",dms_E2_Projects_12)</f>
        <v>S_MRB_CY24_Millswood</v>
      </c>
      <c r="C406" s="538"/>
      <c r="D406" s="285">
        <v>3641</v>
      </c>
      <c r="E406" s="270">
        <v>0</v>
      </c>
      <c r="F406" s="270"/>
      <c r="G406" s="271"/>
      <c r="H406" s="271"/>
      <c r="I406" s="285"/>
      <c r="J406" s="271"/>
    </row>
    <row r="407" spans="2:10" ht="15.75" customHeight="1" outlineLevel="3" x14ac:dyDescent="0.25">
      <c r="B407" s="572" t="str">
        <f>IF(ISBLANK(dms_E2_Projects_13),"",dms_E2_Projects_13)</f>
        <v>S_MRB_CY24_PASADENA</v>
      </c>
      <c r="C407" s="538"/>
      <c r="D407" s="285">
        <v>2982</v>
      </c>
      <c r="E407" s="270">
        <v>0</v>
      </c>
      <c r="F407" s="270"/>
      <c r="G407" s="271"/>
      <c r="H407" s="271"/>
      <c r="I407" s="285"/>
      <c r="J407" s="271"/>
    </row>
    <row r="408" spans="2:10" ht="15.75" customHeight="1" outlineLevel="3" x14ac:dyDescent="0.25">
      <c r="B408" s="572" t="str">
        <f>IF(ISBLANK(dms_E2_Projects_14),"",dms_E2_Projects_14)</f>
        <v>S_MRB_CY24_ROSTREVOR</v>
      </c>
      <c r="C408" s="538"/>
      <c r="D408" s="285">
        <v>0</v>
      </c>
      <c r="E408" s="270">
        <v>0</v>
      </c>
      <c r="F408" s="270"/>
      <c r="G408" s="271"/>
      <c r="H408" s="271"/>
      <c r="I408" s="285"/>
      <c r="J408" s="271"/>
    </row>
    <row r="409" spans="2:10" ht="15.75" customHeight="1" outlineLevel="3" x14ac:dyDescent="0.25">
      <c r="B409" s="572" t="str">
        <f>IF(ISBLANK(dms_E2_Projects_15),"",dms_E2_Projects_15)</f>
        <v>S_MRB_CY24_WOODVILLE_PARK</v>
      </c>
      <c r="C409" s="538"/>
      <c r="D409" s="285">
        <v>8875</v>
      </c>
      <c r="E409" s="270">
        <v>0</v>
      </c>
      <c r="F409" s="270"/>
      <c r="G409" s="271"/>
      <c r="H409" s="271"/>
      <c r="I409" s="285"/>
      <c r="J409" s="271"/>
    </row>
    <row r="410" spans="2:10" ht="15.75" customHeight="1" outlineLevel="3" x14ac:dyDescent="0.25">
      <c r="B410" s="536" t="str">
        <f>IF(ISBLANK(dms_E2_Projects_16),"",dms_E2_Projects_16)</f>
        <v>S_MRB_CY24_PORT_ADELAIDE_A</v>
      </c>
      <c r="C410" s="573"/>
      <c r="D410" s="556">
        <v>0</v>
      </c>
      <c r="E410" s="324">
        <v>0</v>
      </c>
      <c r="F410" s="324"/>
      <c r="G410" s="557"/>
      <c r="H410" s="557"/>
      <c r="I410" s="556"/>
      <c r="J410" s="557"/>
    </row>
    <row r="411" spans="2:10" ht="15.75" customHeight="1" outlineLevel="3" x14ac:dyDescent="0.25">
      <c r="B411" s="541" t="str">
        <f>IF(ISBLANK(dms_E2_Projects_17),"",dms_E2_Projects_17)</f>
        <v>S_MRB_CY25_Edwardstown A</v>
      </c>
      <c r="C411" s="573"/>
      <c r="D411" s="556">
        <v>6215.3333333333339</v>
      </c>
      <c r="E411" s="324">
        <v>793.66666666666663</v>
      </c>
      <c r="F411" s="324"/>
      <c r="G411" s="557"/>
      <c r="H411" s="557"/>
      <c r="I411" s="556"/>
      <c r="J411" s="557"/>
    </row>
    <row r="412" spans="2:10" ht="15.75" customHeight="1" outlineLevel="3" x14ac:dyDescent="0.25">
      <c r="B412" s="541" t="str">
        <f>IF(ISBLANK(dms_E2_Projects_18),"",dms_E2_Projects_18)</f>
        <v>S_MRB_CY25_Burnside A</v>
      </c>
      <c r="C412" s="573"/>
      <c r="D412" s="556">
        <v>4787.666666666667</v>
      </c>
      <c r="E412" s="324">
        <v>893.33333333333337</v>
      </c>
      <c r="F412" s="324"/>
      <c r="G412" s="557"/>
      <c r="H412" s="557"/>
      <c r="I412" s="556"/>
      <c r="J412" s="557"/>
    </row>
    <row r="413" spans="2:10" ht="15.75" customHeight="1" outlineLevel="3" x14ac:dyDescent="0.25">
      <c r="B413" s="541" t="str">
        <f>IF(ISBLANK(dms_E2_Projects_19),"",dms_E2_Projects_19)</f>
        <v>S_MRB_CY25_Auldana_A</v>
      </c>
      <c r="C413" s="573"/>
      <c r="D413" s="556">
        <v>0</v>
      </c>
      <c r="E413" s="324">
        <v>0</v>
      </c>
      <c r="F413" s="324"/>
      <c r="G413" s="557"/>
      <c r="H413" s="557"/>
      <c r="I413" s="556"/>
      <c r="J413" s="557"/>
    </row>
    <row r="414" spans="2:10" ht="15.75" customHeight="1" outlineLevel="3" x14ac:dyDescent="0.25">
      <c r="B414" s="541" t="str">
        <f>IF(ISBLANK(dms_E2_Projects_20),"",dms_E2_Projects_20)</f>
        <v>S_MRB_CY25_Devon Park</v>
      </c>
      <c r="C414" s="573"/>
      <c r="D414" s="556">
        <v>0</v>
      </c>
      <c r="E414" s="324">
        <v>0</v>
      </c>
      <c r="F414" s="324"/>
      <c r="G414" s="557"/>
      <c r="H414" s="557"/>
      <c r="I414" s="556"/>
      <c r="J414" s="557"/>
    </row>
    <row r="415" spans="2:10" ht="15.75" customHeight="1" outlineLevel="3" x14ac:dyDescent="0.25">
      <c r="B415" s="541" t="str">
        <f>IF(ISBLANK(dms_E2_Projects_21),"",dms_E2_Projects_21)</f>
        <v>S_MRB_CY25_Gilles Plains</v>
      </c>
      <c r="C415" s="573"/>
      <c r="D415" s="556">
        <v>0</v>
      </c>
      <c r="E415" s="324">
        <v>0</v>
      </c>
      <c r="F415" s="324"/>
      <c r="G415" s="557"/>
      <c r="H415" s="557"/>
      <c r="I415" s="556"/>
      <c r="J415" s="557"/>
    </row>
    <row r="416" spans="2:10" ht="15.75" customHeight="1" outlineLevel="3" x14ac:dyDescent="0.25">
      <c r="B416" s="541" t="str">
        <f>IF(ISBLANK(dms_E2_Projects_22),"",dms_E2_Projects_22)</f>
        <v>S_MRB_CY25_Ingle Farm A</v>
      </c>
      <c r="C416" s="573"/>
      <c r="D416" s="556">
        <v>0</v>
      </c>
      <c r="E416" s="324">
        <v>0</v>
      </c>
      <c r="F416" s="324"/>
      <c r="G416" s="557"/>
      <c r="H416" s="557"/>
      <c r="I416" s="556"/>
      <c r="J416" s="557"/>
    </row>
    <row r="417" spans="2:10" ht="15.75" customHeight="1" outlineLevel="3" x14ac:dyDescent="0.25">
      <c r="B417" s="541" t="str">
        <f>IF(ISBLANK(dms_E2_Projects_23),"",dms_E2_Projects_23)</f>
        <v>S_MRB_CY25_Ingle Farm B</v>
      </c>
      <c r="C417" s="573"/>
      <c r="D417" s="556">
        <v>0</v>
      </c>
      <c r="E417" s="324">
        <v>0</v>
      </c>
      <c r="F417" s="324"/>
      <c r="G417" s="557"/>
      <c r="H417" s="557"/>
      <c r="I417" s="556"/>
      <c r="J417" s="557"/>
    </row>
    <row r="418" spans="2:10" ht="15.75" customHeight="1" outlineLevel="3" x14ac:dyDescent="0.25">
      <c r="B418" s="541" t="str">
        <f>IF(ISBLANK(dms_E2_Projects_24),"",dms_E2_Projects_24)</f>
        <v>S_MRB_CY25_Para Hills West</v>
      </c>
      <c r="C418" s="573"/>
      <c r="D418" s="556">
        <v>0</v>
      </c>
      <c r="E418" s="324">
        <v>6332</v>
      </c>
      <c r="F418" s="324"/>
      <c r="G418" s="557"/>
      <c r="H418" s="557"/>
      <c r="I418" s="556"/>
      <c r="J418" s="557"/>
    </row>
    <row r="419" spans="2:10" ht="15.75" customHeight="1" outlineLevel="3" x14ac:dyDescent="0.25">
      <c r="B419" s="541" t="str">
        <f>IF(ISBLANK(dms_E2_Projects_25),"",dms_E2_Projects_25)</f>
        <v>S_MRB_CY25_Para Vista A</v>
      </c>
      <c r="C419" s="573"/>
      <c r="D419" s="556">
        <v>0</v>
      </c>
      <c r="E419" s="324">
        <v>0</v>
      </c>
      <c r="F419" s="324"/>
      <c r="G419" s="557"/>
      <c r="H419" s="557"/>
      <c r="I419" s="556"/>
      <c r="J419" s="557"/>
    </row>
    <row r="420" spans="2:10" ht="15.75" customHeight="1" outlineLevel="3" x14ac:dyDescent="0.25">
      <c r="B420" s="541" t="str">
        <f>IF(ISBLANK(dms_E2_Projects_26),"",dms_E2_Projects_26)</f>
        <v>HDPE 575 Camera Inspection and sampling</v>
      </c>
      <c r="C420" s="573"/>
      <c r="D420" s="556"/>
      <c r="E420" s="324"/>
      <c r="F420" s="324">
        <v>21000</v>
      </c>
      <c r="G420" s="557">
        <v>21000</v>
      </c>
      <c r="H420" s="557">
        <v>21000</v>
      </c>
      <c r="I420" s="556">
        <v>21000</v>
      </c>
      <c r="J420" s="557">
        <v>21000</v>
      </c>
    </row>
    <row r="421" spans="2:10" ht="15.75" customHeight="1" outlineLevel="3" x14ac:dyDescent="0.25">
      <c r="B421" s="541" t="str">
        <f>IF(ISBLANK(dms_E2_Projects_27),"",dms_E2_Projects_27)</f>
        <v>Steel Mains Replacement</v>
      </c>
      <c r="C421" s="573"/>
      <c r="D421" s="556"/>
      <c r="E421" s="324"/>
      <c r="F421" s="324"/>
      <c r="G421" s="557"/>
      <c r="H421" s="557"/>
      <c r="I421" s="556"/>
      <c r="J421" s="557"/>
    </row>
    <row r="422" spans="2:10" ht="15.75" customHeight="1" outlineLevel="3" x14ac:dyDescent="0.25">
      <c r="B422" s="541" t="str">
        <f>IF(ISBLANK(dms_E2_Projects_28),"",dms_E2_Projects_28)</f>
        <v>Multi User Sites (MUS) renewal</v>
      </c>
      <c r="C422" s="573"/>
      <c r="D422" s="556"/>
      <c r="E422" s="324"/>
      <c r="F422" s="324"/>
      <c r="G422" s="557"/>
      <c r="H422" s="557"/>
      <c r="I422" s="556"/>
      <c r="J422" s="557"/>
    </row>
    <row r="423" spans="2:10" ht="15.75" customHeight="1" outlineLevel="3" x14ac:dyDescent="0.25">
      <c r="B423" s="541" t="str">
        <f>IF(ISBLANK(dms_E2_Projects_29),"",dms_E2_Projects_29)</f>
        <v/>
      </c>
      <c r="C423" s="573"/>
      <c r="D423" s="556"/>
      <c r="E423" s="324"/>
      <c r="F423" s="324"/>
      <c r="G423" s="557"/>
      <c r="H423" s="557"/>
      <c r="I423" s="556"/>
      <c r="J423" s="557"/>
    </row>
    <row r="424" spans="2:10" ht="15.75" customHeight="1" outlineLevel="3" x14ac:dyDescent="0.25">
      <c r="B424" s="541" t="str">
        <f>IF(ISBLANK(dms_E2_Projects_30),"",dms_E2_Projects_30)</f>
        <v/>
      </c>
      <c r="C424" s="573"/>
      <c r="D424" s="556"/>
      <c r="E424" s="324"/>
      <c r="F424" s="324"/>
      <c r="G424" s="557"/>
      <c r="H424" s="557"/>
      <c r="I424" s="556"/>
      <c r="J424" s="557"/>
    </row>
    <row r="425" spans="2:10" ht="15.75" customHeight="1" outlineLevel="3" x14ac:dyDescent="0.25">
      <c r="B425" s="541" t="str">
        <f>IF(ISBLANK(dms_E2_Projects_31),"",dms_E2_Projects_31)</f>
        <v/>
      </c>
      <c r="C425" s="573"/>
      <c r="D425" s="556"/>
      <c r="E425" s="324"/>
      <c r="F425" s="324"/>
      <c r="G425" s="557"/>
      <c r="H425" s="557"/>
      <c r="I425" s="556"/>
      <c r="J425" s="557"/>
    </row>
    <row r="426" spans="2:10" ht="15.75" customHeight="1" outlineLevel="3" x14ac:dyDescent="0.25">
      <c r="B426" s="541" t="str">
        <f>IF(ISBLANK(dms_E2_Projects_32),"",dms_E2_Projects_32)</f>
        <v/>
      </c>
      <c r="C426" s="573"/>
      <c r="D426" s="556"/>
      <c r="E426" s="324"/>
      <c r="F426" s="324"/>
      <c r="G426" s="557"/>
      <c r="H426" s="557"/>
      <c r="I426" s="556"/>
      <c r="J426" s="557"/>
    </row>
    <row r="427" spans="2:10" ht="15.75" customHeight="1" outlineLevel="3" x14ac:dyDescent="0.25">
      <c r="B427" s="541" t="str">
        <f>IF(ISBLANK(dms_E2_Projects_33),"",dms_E2_Projects_33)</f>
        <v/>
      </c>
      <c r="C427" s="573"/>
      <c r="D427" s="556"/>
      <c r="E427" s="324"/>
      <c r="F427" s="324"/>
      <c r="G427" s="557"/>
      <c r="H427" s="557"/>
      <c r="I427" s="556"/>
      <c r="J427" s="557"/>
    </row>
    <row r="428" spans="2:10" ht="15.75" customHeight="1" outlineLevel="3" x14ac:dyDescent="0.25">
      <c r="B428" s="541" t="str">
        <f>IF(ISBLANK(dms_E2_Projects_34),"",dms_E2_Projects_34)</f>
        <v/>
      </c>
      <c r="C428" s="573"/>
      <c r="D428" s="556"/>
      <c r="E428" s="324"/>
      <c r="F428" s="324"/>
      <c r="G428" s="557"/>
      <c r="H428" s="557"/>
      <c r="I428" s="556"/>
      <c r="J428" s="557"/>
    </row>
    <row r="429" spans="2:10" ht="15.75" customHeight="1" outlineLevel="3" x14ac:dyDescent="0.25">
      <c r="B429" s="541" t="str">
        <f>IF(ISBLANK(dms_E2_Projects_35),"",dms_E2_Projects_35)</f>
        <v/>
      </c>
      <c r="C429" s="573"/>
      <c r="D429" s="556"/>
      <c r="E429" s="324"/>
      <c r="F429" s="324"/>
      <c r="G429" s="557"/>
      <c r="H429" s="557"/>
      <c r="I429" s="556"/>
      <c r="J429" s="557"/>
    </row>
    <row r="430" spans="2:10" ht="15.75" customHeight="1" outlineLevel="3" x14ac:dyDescent="0.25">
      <c r="B430" s="541" t="str">
        <f>IF(ISBLANK(dms_E2_Projects_36),"",dms_E2_Projects_36)</f>
        <v/>
      </c>
      <c r="C430" s="573"/>
      <c r="D430" s="556"/>
      <c r="E430" s="324"/>
      <c r="F430" s="324"/>
      <c r="G430" s="557"/>
      <c r="H430" s="557"/>
      <c r="I430" s="556"/>
      <c r="J430" s="557"/>
    </row>
    <row r="431" spans="2:10" ht="15.75" customHeight="1" outlineLevel="3" x14ac:dyDescent="0.25">
      <c r="B431" s="541" t="str">
        <f>IF(ISBLANK(dms_E2_Projects_37),"",dms_E2_Projects_37)</f>
        <v/>
      </c>
      <c r="C431" s="573"/>
      <c r="D431" s="556"/>
      <c r="E431" s="324"/>
      <c r="F431" s="324"/>
      <c r="G431" s="557"/>
      <c r="H431" s="557"/>
      <c r="I431" s="556"/>
      <c r="J431" s="557"/>
    </row>
    <row r="432" spans="2:10" ht="15.75" customHeight="1" outlineLevel="3" x14ac:dyDescent="0.25">
      <c r="B432" s="541" t="str">
        <f>IF(ISBLANK(dms_E2_Projects_38),"",dms_E2_Projects_38)</f>
        <v/>
      </c>
      <c r="C432" s="573"/>
      <c r="D432" s="556"/>
      <c r="E432" s="324"/>
      <c r="F432" s="324"/>
      <c r="G432" s="557"/>
      <c r="H432" s="557"/>
      <c r="I432" s="556"/>
      <c r="J432" s="557"/>
    </row>
    <row r="433" spans="2:10" ht="15.75" customHeight="1" outlineLevel="3" x14ac:dyDescent="0.25">
      <c r="B433" s="541" t="str">
        <f>IF(ISBLANK(dms_E2_Projects_39),"",dms_E2_Projects_39)</f>
        <v/>
      </c>
      <c r="C433" s="573"/>
      <c r="D433" s="556"/>
      <c r="E433" s="324"/>
      <c r="F433" s="324"/>
      <c r="G433" s="557"/>
      <c r="H433" s="557"/>
      <c r="I433" s="556"/>
      <c r="J433" s="557"/>
    </row>
    <row r="434" spans="2:10" ht="15.75" customHeight="1" outlineLevel="3" x14ac:dyDescent="0.25">
      <c r="B434" s="541" t="str">
        <f>IF(ISBLANK(dms_E2_Projects_40),"",dms_E2_Projects_40)</f>
        <v/>
      </c>
      <c r="C434" s="573"/>
      <c r="D434" s="556"/>
      <c r="E434" s="324"/>
      <c r="F434" s="324"/>
      <c r="G434" s="557"/>
      <c r="H434" s="557"/>
      <c r="I434" s="556"/>
      <c r="J434" s="557"/>
    </row>
    <row r="435" spans="2:10" ht="15.75" customHeight="1" outlineLevel="3" x14ac:dyDescent="0.25">
      <c r="B435" s="541" t="str">
        <f>IF(ISBLANK(dms_E2_Projects_41),"",dms_E2_Projects_41)</f>
        <v/>
      </c>
      <c r="C435" s="573"/>
      <c r="D435" s="556"/>
      <c r="E435" s="324"/>
      <c r="F435" s="324"/>
      <c r="G435" s="557"/>
      <c r="H435" s="557"/>
      <c r="I435" s="556"/>
      <c r="J435" s="557"/>
    </row>
    <row r="436" spans="2:10" ht="15.75" customHeight="1" outlineLevel="3" x14ac:dyDescent="0.25">
      <c r="B436" s="541" t="str">
        <f>IF(ISBLANK(dms_E2_Projects_42),"",dms_E2_Projects_42)</f>
        <v/>
      </c>
      <c r="C436" s="573"/>
      <c r="D436" s="556"/>
      <c r="E436" s="324"/>
      <c r="F436" s="324"/>
      <c r="G436" s="557"/>
      <c r="H436" s="557"/>
      <c r="I436" s="556"/>
      <c r="J436" s="557"/>
    </row>
    <row r="437" spans="2:10" ht="15.75" customHeight="1" outlineLevel="3" x14ac:dyDescent="0.25">
      <c r="B437" s="541" t="str">
        <f>IF(ISBLANK(dms_E2_Projects_43),"",dms_E2_Projects_43)</f>
        <v/>
      </c>
      <c r="C437" s="573"/>
      <c r="D437" s="556"/>
      <c r="E437" s="324"/>
      <c r="F437" s="324"/>
      <c r="G437" s="557"/>
      <c r="H437" s="557"/>
      <c r="I437" s="556"/>
      <c r="J437" s="557"/>
    </row>
    <row r="438" spans="2:10" ht="15.75" customHeight="1" outlineLevel="3" x14ac:dyDescent="0.25">
      <c r="B438" s="541" t="str">
        <f>IF(ISBLANK(dms_E2_Projects_44),"",dms_E2_Projects_44)</f>
        <v/>
      </c>
      <c r="C438" s="573"/>
      <c r="D438" s="556"/>
      <c r="E438" s="324"/>
      <c r="F438" s="324"/>
      <c r="G438" s="557"/>
      <c r="H438" s="557"/>
      <c r="I438" s="556"/>
      <c r="J438" s="557"/>
    </row>
    <row r="439" spans="2:10" ht="15.75" customHeight="1" outlineLevel="3" x14ac:dyDescent="0.25">
      <c r="B439" s="541" t="str">
        <f>IF(ISBLANK(dms_E2_Projects_45),"",dms_E2_Projects_45)</f>
        <v/>
      </c>
      <c r="C439" s="573"/>
      <c r="D439" s="556"/>
      <c r="E439" s="324"/>
      <c r="F439" s="324"/>
      <c r="G439" s="557"/>
      <c r="H439" s="557"/>
      <c r="I439" s="556"/>
      <c r="J439" s="557"/>
    </row>
    <row r="440" spans="2:10" ht="15.75" customHeight="1" outlineLevel="3" x14ac:dyDescent="0.25">
      <c r="B440" s="541" t="str">
        <f>IF(ISBLANK(dms_E2_Projects_46),"",dms_E2_Projects_46)</f>
        <v/>
      </c>
      <c r="C440" s="573"/>
      <c r="D440" s="556"/>
      <c r="E440" s="324"/>
      <c r="F440" s="324"/>
      <c r="G440" s="557"/>
      <c r="H440" s="557"/>
      <c r="I440" s="556"/>
      <c r="J440" s="557"/>
    </row>
    <row r="441" spans="2:10" ht="15.75" customHeight="1" outlineLevel="3" x14ac:dyDescent="0.25">
      <c r="B441" s="541" t="str">
        <f>IF(ISBLANK(dms_E2_Projects_47),"",dms_E2_Projects_47)</f>
        <v/>
      </c>
      <c r="C441" s="573"/>
      <c r="D441" s="556"/>
      <c r="E441" s="324"/>
      <c r="F441" s="324"/>
      <c r="G441" s="557"/>
      <c r="H441" s="557"/>
      <c r="I441" s="556"/>
      <c r="J441" s="557"/>
    </row>
    <row r="442" spans="2:10" ht="15.75" customHeight="1" outlineLevel="3" x14ac:dyDescent="0.25">
      <c r="B442" s="541" t="str">
        <f>IF(ISBLANK(dms_E2_Projects_48),"",dms_E2_Projects_48)</f>
        <v/>
      </c>
      <c r="C442" s="573"/>
      <c r="D442" s="556"/>
      <c r="E442" s="324"/>
      <c r="F442" s="324"/>
      <c r="G442" s="557"/>
      <c r="H442" s="557"/>
      <c r="I442" s="556"/>
      <c r="J442" s="557"/>
    </row>
    <row r="443" spans="2:10" ht="15.75" customHeight="1" outlineLevel="3" x14ac:dyDescent="0.25">
      <c r="B443" s="541" t="str">
        <f>IF(ISBLANK(dms_E2_Projects_49),"",dms_E2_Projects_49)</f>
        <v/>
      </c>
      <c r="C443" s="573"/>
      <c r="D443" s="556"/>
      <c r="E443" s="324"/>
      <c r="F443" s="324"/>
      <c r="G443" s="557"/>
      <c r="H443" s="557"/>
      <c r="I443" s="556"/>
      <c r="J443" s="557"/>
    </row>
    <row r="444" spans="2:10" ht="15.75" customHeight="1" outlineLevel="3" x14ac:dyDescent="0.25">
      <c r="B444" s="541" t="str">
        <f>IF(ISBLANK(dms_E2_Projects_50),"",dms_E2_Projects_50)</f>
        <v/>
      </c>
      <c r="C444" s="573"/>
      <c r="D444" s="556"/>
      <c r="E444" s="324"/>
      <c r="F444" s="324"/>
      <c r="G444" s="557"/>
      <c r="H444" s="557"/>
      <c r="I444" s="556"/>
      <c r="J444" s="557"/>
    </row>
    <row r="445" spans="2:10" ht="15.75" customHeight="1" outlineLevel="3" thickBot="1" x14ac:dyDescent="0.3">
      <c r="B445" s="574" t="s">
        <v>152</v>
      </c>
      <c r="C445" s="543"/>
      <c r="D445" s="287">
        <v>9142</v>
      </c>
      <c r="E445" s="273">
        <v>1664</v>
      </c>
      <c r="F445" s="273"/>
      <c r="G445" s="274"/>
      <c r="H445" s="274"/>
      <c r="I445" s="287"/>
      <c r="J445" s="274"/>
    </row>
    <row r="446" spans="2:10" ht="15.75" customHeight="1" outlineLevel="3" thickBot="1" x14ac:dyDescent="0.3">
      <c r="B446" s="544"/>
      <c r="C446" s="545" t="s">
        <v>120</v>
      </c>
      <c r="D446" s="545">
        <f>SUM(D395:D445)</f>
        <v>49303.5</v>
      </c>
      <c r="E446" s="545">
        <f t="shared" ref="E446:J446" si="48">SUM(E395:E445)</f>
        <v>9683</v>
      </c>
      <c r="F446" s="545">
        <f t="shared" si="48"/>
        <v>21000</v>
      </c>
      <c r="G446" s="545">
        <f t="shared" si="48"/>
        <v>21000</v>
      </c>
      <c r="H446" s="545">
        <f t="shared" si="48"/>
        <v>21000</v>
      </c>
      <c r="I446" s="545">
        <f t="shared" si="48"/>
        <v>21000</v>
      </c>
      <c r="J446" s="545">
        <f t="shared" si="48"/>
        <v>21000</v>
      </c>
    </row>
    <row r="447" spans="2:10" ht="15.75" outlineLevel="2" thickBot="1" x14ac:dyDescent="0.3">
      <c r="B447" s="75"/>
    </row>
    <row r="448" spans="2:10" ht="20.25" customHeight="1" outlineLevel="2" thickBot="1" x14ac:dyDescent="0.3">
      <c r="B448" s="250" t="s">
        <v>153</v>
      </c>
      <c r="C448" s="251"/>
      <c r="D448" s="251"/>
      <c r="E448" s="251"/>
      <c r="F448" s="251"/>
      <c r="G448" s="251"/>
      <c r="H448" s="251"/>
      <c r="I448" s="251"/>
      <c r="J448" s="251"/>
    </row>
    <row r="449" spans="2:10" ht="15.75" customHeight="1" outlineLevel="3" x14ac:dyDescent="0.25">
      <c r="B449" s="572" t="str">
        <f>IF(ISBLANK(dms_E2_Projects_01),"",dms_E2_Projects_01)</f>
        <v>S_MRH575_CY23 North West</v>
      </c>
      <c r="C449" s="537"/>
      <c r="D449" s="285">
        <v>0</v>
      </c>
      <c r="E449" s="270">
        <v>0</v>
      </c>
      <c r="F449" s="270"/>
      <c r="G449" s="271"/>
      <c r="H449" s="271"/>
      <c r="I449" s="285"/>
      <c r="J449" s="271"/>
    </row>
    <row r="450" spans="2:10" ht="15.75" customHeight="1" outlineLevel="3" x14ac:dyDescent="0.25">
      <c r="B450" s="572" t="str">
        <f>IF(ISBLANK(dms_E2_Projects_02),"",dms_E2_Projects_02)</f>
        <v>S_MRH575_CY24 HDPE575 South</v>
      </c>
      <c r="C450" s="538"/>
      <c r="D450" s="285">
        <v>0</v>
      </c>
      <c r="E450" s="270">
        <v>0</v>
      </c>
      <c r="F450" s="270"/>
      <c r="G450" s="271"/>
      <c r="H450" s="271"/>
      <c r="I450" s="285"/>
      <c r="J450" s="271"/>
    </row>
    <row r="451" spans="2:10" ht="15.75" customHeight="1" outlineLevel="3" x14ac:dyDescent="0.25">
      <c r="B451" s="572" t="str">
        <f>IF(ISBLANK(dms_E2_Projects_03),"",dms_E2_Projects_03)</f>
        <v>S_MRH575_CY24 GoldenGroveB</v>
      </c>
      <c r="C451" s="538"/>
      <c r="D451" s="285">
        <v>0</v>
      </c>
      <c r="E451" s="270">
        <v>0</v>
      </c>
      <c r="F451" s="270"/>
      <c r="G451" s="271"/>
      <c r="H451" s="271"/>
      <c r="I451" s="285"/>
      <c r="J451" s="271"/>
    </row>
    <row r="452" spans="2:10" ht="15.75" customHeight="1" outlineLevel="3" x14ac:dyDescent="0.25">
      <c r="B452" s="572" t="str">
        <f>IF(ISBLANK(dms_E2_Projects_04),"",dms_E2_Projects_04)</f>
        <v>S_MRH575_CY24_PortPirie_1</v>
      </c>
      <c r="C452" s="538"/>
      <c r="D452" s="285">
        <v>0</v>
      </c>
      <c r="E452" s="270">
        <v>0</v>
      </c>
      <c r="F452" s="270"/>
      <c r="G452" s="271"/>
      <c r="H452" s="271"/>
      <c r="I452" s="285"/>
      <c r="J452" s="271"/>
    </row>
    <row r="453" spans="2:10" ht="15.75" customHeight="1" outlineLevel="3" x14ac:dyDescent="0.25">
      <c r="B453" s="572" t="str">
        <f>IF(ISBLANK(dms_E2_Projects_05),"",dms_E2_Projects_05)</f>
        <v>S_MRH575_CY24_SHEIDOW_PARK</v>
      </c>
      <c r="C453" s="538"/>
      <c r="D453" s="285">
        <v>0</v>
      </c>
      <c r="E453" s="270">
        <v>0</v>
      </c>
      <c r="F453" s="270"/>
      <c r="G453" s="271"/>
      <c r="H453" s="271"/>
      <c r="I453" s="285"/>
      <c r="J453" s="271"/>
    </row>
    <row r="454" spans="2:10" ht="15.75" customHeight="1" outlineLevel="3" x14ac:dyDescent="0.25">
      <c r="B454" s="572" t="str">
        <f>IF(ISBLANK(dms_E2_Projects_06),"",dms_E2_Projects_06)</f>
        <v>S_MRH575_CY24_ONKAPARINGAHILLS</v>
      </c>
      <c r="C454" s="538"/>
      <c r="D454" s="285">
        <v>0</v>
      </c>
      <c r="E454" s="270">
        <v>0</v>
      </c>
      <c r="F454" s="270"/>
      <c r="G454" s="271"/>
      <c r="H454" s="271"/>
      <c r="I454" s="285"/>
      <c r="J454" s="271"/>
    </row>
    <row r="455" spans="2:10" ht="15.75" customHeight="1" outlineLevel="3" x14ac:dyDescent="0.25">
      <c r="B455" s="572" t="str">
        <f>IF(ISBLANK(dms_E2_Projects_07),"",dms_E2_Projects_07)</f>
        <v>S_MRH575_CY25_Aberfoyle Park</v>
      </c>
      <c r="C455" s="538"/>
      <c r="D455" s="285">
        <v>0</v>
      </c>
      <c r="E455" s="270">
        <v>0</v>
      </c>
      <c r="F455" s="270"/>
      <c r="G455" s="271"/>
      <c r="H455" s="271"/>
      <c r="I455" s="285"/>
      <c r="J455" s="271"/>
    </row>
    <row r="456" spans="2:10" ht="15.75" customHeight="1" outlineLevel="3" x14ac:dyDescent="0.25">
      <c r="B456" s="572" t="str">
        <f>IF(ISBLANK(dms_E2_Projects_08),"",dms_E2_Projects_08)</f>
        <v>2362_MAINS RENEWAL - HDPE 575</v>
      </c>
      <c r="C456" s="538"/>
      <c r="D456" s="285">
        <v>0</v>
      </c>
      <c r="E456" s="270">
        <v>0</v>
      </c>
      <c r="F456" s="270"/>
      <c r="G456" s="271"/>
      <c r="H456" s="271"/>
      <c r="I456" s="285"/>
      <c r="J456" s="271"/>
    </row>
    <row r="457" spans="2:10" ht="15.75" customHeight="1" outlineLevel="3" x14ac:dyDescent="0.25">
      <c r="B457" s="572" t="str">
        <f>IF(ISBLANK(dms_E2_Projects_09),"",dms_E2_Projects_09)</f>
        <v>S_MRB_CY21 Semaphore</v>
      </c>
      <c r="C457" s="538"/>
      <c r="D457" s="285">
        <v>0</v>
      </c>
      <c r="E457" s="270">
        <v>0</v>
      </c>
      <c r="F457" s="270"/>
      <c r="G457" s="271"/>
      <c r="H457" s="271"/>
      <c r="I457" s="285"/>
      <c r="J457" s="271"/>
    </row>
    <row r="458" spans="2:10" ht="15.75" customHeight="1" outlineLevel="3" x14ac:dyDescent="0.25">
      <c r="B458" s="572" t="str">
        <f>IF(ISBLANK(dms_E2_Projects_10),"",dms_E2_Projects_10)</f>
        <v>2366_S_MRB_CY24_North Adelaide_C</v>
      </c>
      <c r="C458" s="538"/>
      <c r="D458" s="285">
        <v>0</v>
      </c>
      <c r="E458" s="270">
        <v>0</v>
      </c>
      <c r="F458" s="270"/>
      <c r="G458" s="271"/>
      <c r="H458" s="271"/>
      <c r="I458" s="285"/>
      <c r="J458" s="271"/>
    </row>
    <row r="459" spans="2:10" ht="15.75" customHeight="1" outlineLevel="3" x14ac:dyDescent="0.25">
      <c r="B459" s="572" t="str">
        <f>IF(ISBLANK(dms_E2_Projects_11),"",dms_E2_Projects_11)</f>
        <v>S_MRB_CY24_Semaphore_Sth</v>
      </c>
      <c r="C459" s="538"/>
      <c r="D459" s="285">
        <v>13234</v>
      </c>
      <c r="E459" s="270">
        <v>8049</v>
      </c>
      <c r="F459" s="270"/>
      <c r="G459" s="271"/>
      <c r="H459" s="271"/>
      <c r="I459" s="285"/>
      <c r="J459" s="271"/>
    </row>
    <row r="460" spans="2:10" ht="15.75" customHeight="1" outlineLevel="3" x14ac:dyDescent="0.25">
      <c r="B460" s="572" t="str">
        <f>IF(ISBLANK(dms_E2_Projects_12),"",dms_E2_Projects_12)</f>
        <v>S_MRB_CY24_Millswood</v>
      </c>
      <c r="C460" s="538"/>
      <c r="D460" s="285">
        <v>0</v>
      </c>
      <c r="E460" s="270">
        <v>0</v>
      </c>
      <c r="F460" s="270"/>
      <c r="G460" s="271"/>
      <c r="H460" s="271"/>
      <c r="I460" s="285"/>
      <c r="J460" s="271"/>
    </row>
    <row r="461" spans="2:10" ht="15.75" customHeight="1" outlineLevel="3" x14ac:dyDescent="0.25">
      <c r="B461" s="572" t="str">
        <f>IF(ISBLANK(dms_E2_Projects_13),"",dms_E2_Projects_13)</f>
        <v>S_MRB_CY24_PASADENA</v>
      </c>
      <c r="C461" s="538"/>
      <c r="D461" s="285">
        <v>0</v>
      </c>
      <c r="E461" s="270">
        <v>0</v>
      </c>
      <c r="F461" s="270"/>
      <c r="G461" s="271"/>
      <c r="H461" s="271"/>
      <c r="I461" s="285"/>
      <c r="J461" s="271"/>
    </row>
    <row r="462" spans="2:10" ht="15.75" customHeight="1" outlineLevel="3" x14ac:dyDescent="0.25">
      <c r="B462" s="572" t="str">
        <f>IF(ISBLANK(dms_E2_Projects_14),"",dms_E2_Projects_14)</f>
        <v>S_MRB_CY24_ROSTREVOR</v>
      </c>
      <c r="C462" s="538"/>
      <c r="D462" s="285">
        <v>16634</v>
      </c>
      <c r="E462" s="270">
        <v>0</v>
      </c>
      <c r="F462" s="270"/>
      <c r="G462" s="271"/>
      <c r="H462" s="271"/>
      <c r="I462" s="285"/>
      <c r="J462" s="271"/>
    </row>
    <row r="463" spans="2:10" ht="15.75" customHeight="1" outlineLevel="3" x14ac:dyDescent="0.25">
      <c r="B463" s="572" t="str">
        <f>IF(ISBLANK(dms_E2_Projects_15),"",dms_E2_Projects_15)</f>
        <v>S_MRB_CY24_WOODVILLE_PARK</v>
      </c>
      <c r="C463" s="538"/>
      <c r="D463" s="285">
        <v>0</v>
      </c>
      <c r="E463" s="270">
        <v>0</v>
      </c>
      <c r="F463" s="270"/>
      <c r="G463" s="271"/>
      <c r="H463" s="271"/>
      <c r="I463" s="285"/>
      <c r="J463" s="271"/>
    </row>
    <row r="464" spans="2:10" ht="15.75" customHeight="1" outlineLevel="3" x14ac:dyDescent="0.25">
      <c r="B464" s="536" t="str">
        <f>IF(ISBLANK(dms_E2_Projects_16),"",dms_E2_Projects_16)</f>
        <v>S_MRB_CY24_PORT_ADELAIDE_A</v>
      </c>
      <c r="C464" s="573"/>
      <c r="D464" s="556">
        <v>8500</v>
      </c>
      <c r="E464" s="324">
        <v>0</v>
      </c>
      <c r="F464" s="324"/>
      <c r="G464" s="557"/>
      <c r="H464" s="557"/>
      <c r="I464" s="556"/>
      <c r="J464" s="557"/>
    </row>
    <row r="465" spans="2:10" ht="15.75" customHeight="1" outlineLevel="3" x14ac:dyDescent="0.25">
      <c r="B465" s="541" t="str">
        <f>IF(ISBLANK(dms_E2_Projects_17),"",dms_E2_Projects_17)</f>
        <v>S_MRB_CY25_Edwardstown A</v>
      </c>
      <c r="C465" s="573"/>
      <c r="D465" s="556">
        <v>0</v>
      </c>
      <c r="E465" s="324">
        <v>0</v>
      </c>
      <c r="F465" s="324"/>
      <c r="G465" s="557"/>
      <c r="H465" s="557"/>
      <c r="I465" s="556"/>
      <c r="J465" s="557"/>
    </row>
    <row r="466" spans="2:10" ht="15.75" customHeight="1" outlineLevel="3" x14ac:dyDescent="0.25">
      <c r="B466" s="541" t="str">
        <f>IF(ISBLANK(dms_E2_Projects_18),"",dms_E2_Projects_18)</f>
        <v>S_MRB_CY25_Burnside A</v>
      </c>
      <c r="C466" s="573"/>
      <c r="D466" s="556">
        <v>0</v>
      </c>
      <c r="E466" s="324">
        <v>0</v>
      </c>
      <c r="F466" s="324"/>
      <c r="G466" s="557"/>
      <c r="H466" s="557"/>
      <c r="I466" s="556"/>
      <c r="J466" s="557"/>
    </row>
    <row r="467" spans="2:10" ht="15.75" customHeight="1" outlineLevel="3" x14ac:dyDescent="0.25">
      <c r="B467" s="541" t="str">
        <f>IF(ISBLANK(dms_E2_Projects_19),"",dms_E2_Projects_19)</f>
        <v>S_MRB_CY25_Auldana_A</v>
      </c>
      <c r="C467" s="573"/>
      <c r="D467" s="556">
        <v>4143.6000000000004</v>
      </c>
      <c r="E467" s="324">
        <v>6215.4000000000005</v>
      </c>
      <c r="F467" s="324"/>
      <c r="G467" s="557"/>
      <c r="H467" s="557"/>
      <c r="I467" s="556"/>
      <c r="J467" s="557"/>
    </row>
    <row r="468" spans="2:10" ht="15.75" customHeight="1" outlineLevel="3" x14ac:dyDescent="0.25">
      <c r="B468" s="541" t="str">
        <f>IF(ISBLANK(dms_E2_Projects_20),"",dms_E2_Projects_20)</f>
        <v>S_MRB_CY25_Devon Park</v>
      </c>
      <c r="C468" s="573"/>
      <c r="D468" s="556">
        <v>0</v>
      </c>
      <c r="E468" s="324">
        <v>3730</v>
      </c>
      <c r="F468" s="324"/>
      <c r="G468" s="557"/>
      <c r="H468" s="557"/>
      <c r="I468" s="556"/>
      <c r="J468" s="557"/>
    </row>
    <row r="469" spans="2:10" ht="15.75" customHeight="1" outlineLevel="3" x14ac:dyDescent="0.25">
      <c r="B469" s="541" t="str">
        <f>IF(ISBLANK(dms_E2_Projects_21),"",dms_E2_Projects_21)</f>
        <v>S_MRB_CY25_Gilles Plains</v>
      </c>
      <c r="C469" s="573"/>
      <c r="D469" s="556">
        <v>702.6</v>
      </c>
      <c r="E469" s="324">
        <v>2810.4</v>
      </c>
      <c r="F469" s="324"/>
      <c r="G469" s="557"/>
      <c r="H469" s="557"/>
      <c r="I469" s="556"/>
      <c r="J469" s="557"/>
    </row>
    <row r="470" spans="2:10" ht="15.75" customHeight="1" outlineLevel="3" x14ac:dyDescent="0.25">
      <c r="B470" s="541" t="str">
        <f>IF(ISBLANK(dms_E2_Projects_22),"",dms_E2_Projects_22)</f>
        <v>S_MRB_CY25_Ingle Farm A</v>
      </c>
      <c r="C470" s="573"/>
      <c r="D470" s="556">
        <v>2526</v>
      </c>
      <c r="E470" s="324">
        <v>15156</v>
      </c>
      <c r="F470" s="324"/>
      <c r="G470" s="557"/>
      <c r="H470" s="557"/>
      <c r="I470" s="556"/>
      <c r="J470" s="557"/>
    </row>
    <row r="471" spans="2:10" ht="15.75" customHeight="1" outlineLevel="3" x14ac:dyDescent="0.25">
      <c r="B471" s="541" t="str">
        <f>IF(ISBLANK(dms_E2_Projects_23),"",dms_E2_Projects_23)</f>
        <v>S_MRB_CY25_Ingle Farm B</v>
      </c>
      <c r="C471" s="573"/>
      <c r="D471" s="556">
        <v>0</v>
      </c>
      <c r="E471" s="324">
        <v>7822</v>
      </c>
      <c r="F471" s="324"/>
      <c r="G471" s="557"/>
      <c r="H471" s="557"/>
      <c r="I471" s="556"/>
      <c r="J471" s="557"/>
    </row>
    <row r="472" spans="2:10" ht="15.75" customHeight="1" outlineLevel="3" x14ac:dyDescent="0.25">
      <c r="B472" s="541" t="str">
        <f>IF(ISBLANK(dms_E2_Projects_24),"",dms_E2_Projects_24)</f>
        <v>S_MRB_CY25_Para Hills West</v>
      </c>
      <c r="C472" s="573"/>
      <c r="D472" s="556">
        <v>0</v>
      </c>
      <c r="E472" s="324">
        <v>0</v>
      </c>
      <c r="F472" s="324"/>
      <c r="G472" s="557"/>
      <c r="H472" s="557"/>
      <c r="I472" s="556"/>
      <c r="J472" s="557"/>
    </row>
    <row r="473" spans="2:10" ht="15.75" customHeight="1" outlineLevel="3" x14ac:dyDescent="0.25">
      <c r="B473" s="541" t="str">
        <f>IF(ISBLANK(dms_E2_Projects_25),"",dms_E2_Projects_25)</f>
        <v>S_MRB_CY25_Para Vista A</v>
      </c>
      <c r="C473" s="573"/>
      <c r="D473" s="556">
        <v>0</v>
      </c>
      <c r="E473" s="324">
        <v>2785</v>
      </c>
      <c r="F473" s="324"/>
      <c r="G473" s="557"/>
      <c r="H473" s="557"/>
      <c r="I473" s="556"/>
      <c r="J473" s="557"/>
    </row>
    <row r="474" spans="2:10" ht="15.75" customHeight="1" outlineLevel="3" x14ac:dyDescent="0.25">
      <c r="B474" s="541" t="str">
        <f>IF(ISBLANK(dms_E2_Projects_26),"",dms_E2_Projects_26)</f>
        <v>HDPE 575 Camera Inspection and sampling</v>
      </c>
      <c r="C474" s="573"/>
      <c r="D474" s="556">
        <v>0</v>
      </c>
      <c r="E474" s="324">
        <v>0</v>
      </c>
      <c r="F474" s="324"/>
      <c r="G474" s="557"/>
      <c r="H474" s="557"/>
      <c r="I474" s="556"/>
      <c r="J474" s="557"/>
    </row>
    <row r="475" spans="2:10" ht="15.75" customHeight="1" outlineLevel="3" x14ac:dyDescent="0.25">
      <c r="B475" s="541" t="str">
        <f>IF(ISBLANK(dms_E2_Projects_27),"",dms_E2_Projects_27)</f>
        <v>Steel Mains Replacement</v>
      </c>
      <c r="C475" s="573"/>
      <c r="D475" s="556"/>
      <c r="E475" s="324"/>
      <c r="F475" s="324"/>
      <c r="G475" s="557"/>
      <c r="H475" s="557"/>
      <c r="I475" s="556"/>
      <c r="J475" s="557"/>
    </row>
    <row r="476" spans="2:10" ht="15.75" customHeight="1" outlineLevel="3" x14ac:dyDescent="0.25">
      <c r="B476" s="541" t="str">
        <f>IF(ISBLANK(dms_E2_Projects_28),"",dms_E2_Projects_28)</f>
        <v>Multi User Sites (MUS) renewal</v>
      </c>
      <c r="C476" s="573"/>
      <c r="D476" s="556"/>
      <c r="E476" s="324"/>
      <c r="F476" s="324"/>
      <c r="G476" s="557"/>
      <c r="H476" s="557"/>
      <c r="I476" s="556"/>
      <c r="J476" s="557"/>
    </row>
    <row r="477" spans="2:10" ht="15.75" customHeight="1" outlineLevel="3" x14ac:dyDescent="0.25">
      <c r="B477" s="541" t="str">
        <f>IF(ISBLANK(dms_E2_Projects_29),"",dms_E2_Projects_29)</f>
        <v/>
      </c>
      <c r="C477" s="573"/>
      <c r="D477" s="556"/>
      <c r="E477" s="324"/>
      <c r="F477" s="324"/>
      <c r="G477" s="557"/>
      <c r="H477" s="557"/>
      <c r="I477" s="556"/>
      <c r="J477" s="557"/>
    </row>
    <row r="478" spans="2:10" ht="15.75" customHeight="1" outlineLevel="3" x14ac:dyDescent="0.25">
      <c r="B478" s="541" t="str">
        <f>IF(ISBLANK(dms_E2_Projects_30),"",dms_E2_Projects_30)</f>
        <v/>
      </c>
      <c r="C478" s="573"/>
      <c r="D478" s="556"/>
      <c r="E478" s="324"/>
      <c r="F478" s="324"/>
      <c r="G478" s="557"/>
      <c r="H478" s="557"/>
      <c r="I478" s="556"/>
      <c r="J478" s="557"/>
    </row>
    <row r="479" spans="2:10" ht="15.75" customHeight="1" outlineLevel="3" x14ac:dyDescent="0.25">
      <c r="B479" s="541" t="str">
        <f>IF(ISBLANK(dms_E2_Projects_31),"",dms_E2_Projects_31)</f>
        <v/>
      </c>
      <c r="C479" s="573"/>
      <c r="D479" s="556"/>
      <c r="E479" s="324"/>
      <c r="F479" s="324"/>
      <c r="G479" s="557"/>
      <c r="H479" s="557"/>
      <c r="I479" s="556"/>
      <c r="J479" s="557"/>
    </row>
    <row r="480" spans="2:10" ht="15.75" customHeight="1" outlineLevel="3" x14ac:dyDescent="0.25">
      <c r="B480" s="541" t="str">
        <f>IF(ISBLANK(dms_E2_Projects_32),"",dms_E2_Projects_32)</f>
        <v/>
      </c>
      <c r="C480" s="573"/>
      <c r="D480" s="556"/>
      <c r="E480" s="324"/>
      <c r="F480" s="324"/>
      <c r="G480" s="557"/>
      <c r="H480" s="557"/>
      <c r="I480" s="556"/>
      <c r="J480" s="557"/>
    </row>
    <row r="481" spans="2:10" ht="15.75" customHeight="1" outlineLevel="3" x14ac:dyDescent="0.25">
      <c r="B481" s="541" t="str">
        <f>IF(ISBLANK(dms_E2_Projects_33),"",dms_E2_Projects_33)</f>
        <v/>
      </c>
      <c r="C481" s="573"/>
      <c r="D481" s="556"/>
      <c r="E481" s="324"/>
      <c r="F481" s="324"/>
      <c r="G481" s="557"/>
      <c r="H481" s="557"/>
      <c r="I481" s="556"/>
      <c r="J481" s="557"/>
    </row>
    <row r="482" spans="2:10" ht="15.75" customHeight="1" outlineLevel="3" x14ac:dyDescent="0.25">
      <c r="B482" s="541" t="str">
        <f>IF(ISBLANK(dms_E2_Projects_34),"",dms_E2_Projects_34)</f>
        <v/>
      </c>
      <c r="C482" s="573"/>
      <c r="D482" s="556"/>
      <c r="E482" s="324"/>
      <c r="F482" s="324"/>
      <c r="G482" s="557"/>
      <c r="H482" s="557"/>
      <c r="I482" s="556"/>
      <c r="J482" s="557"/>
    </row>
    <row r="483" spans="2:10" ht="15.75" customHeight="1" outlineLevel="3" x14ac:dyDescent="0.25">
      <c r="B483" s="541" t="str">
        <f>IF(ISBLANK(dms_E2_Projects_35),"",dms_E2_Projects_35)</f>
        <v/>
      </c>
      <c r="C483" s="573"/>
      <c r="D483" s="556"/>
      <c r="E483" s="324"/>
      <c r="F483" s="324"/>
      <c r="G483" s="557"/>
      <c r="H483" s="557"/>
      <c r="I483" s="556"/>
      <c r="J483" s="557"/>
    </row>
    <row r="484" spans="2:10" ht="15.75" customHeight="1" outlineLevel="3" x14ac:dyDescent="0.25">
      <c r="B484" s="541" t="str">
        <f>IF(ISBLANK(dms_E2_Projects_36),"",dms_E2_Projects_36)</f>
        <v/>
      </c>
      <c r="C484" s="573"/>
      <c r="D484" s="556"/>
      <c r="E484" s="324"/>
      <c r="F484" s="324"/>
      <c r="G484" s="557"/>
      <c r="H484" s="557"/>
      <c r="I484" s="556"/>
      <c r="J484" s="557"/>
    </row>
    <row r="485" spans="2:10" ht="15.75" customHeight="1" outlineLevel="3" x14ac:dyDescent="0.25">
      <c r="B485" s="541" t="str">
        <f>IF(ISBLANK(dms_E2_Projects_37),"",dms_E2_Projects_37)</f>
        <v/>
      </c>
      <c r="C485" s="573"/>
      <c r="D485" s="556"/>
      <c r="E485" s="324"/>
      <c r="F485" s="324"/>
      <c r="G485" s="557"/>
      <c r="H485" s="557"/>
      <c r="I485" s="556"/>
      <c r="J485" s="557"/>
    </row>
    <row r="486" spans="2:10" ht="15.75" customHeight="1" outlineLevel="3" x14ac:dyDescent="0.25">
      <c r="B486" s="541" t="str">
        <f>IF(ISBLANK(dms_E2_Projects_38),"",dms_E2_Projects_38)</f>
        <v/>
      </c>
      <c r="C486" s="573"/>
      <c r="D486" s="556"/>
      <c r="E486" s="324"/>
      <c r="F486" s="324"/>
      <c r="G486" s="557"/>
      <c r="H486" s="557"/>
      <c r="I486" s="556"/>
      <c r="J486" s="557"/>
    </row>
    <row r="487" spans="2:10" ht="15.75" customHeight="1" outlineLevel="3" x14ac:dyDescent="0.25">
      <c r="B487" s="541" t="str">
        <f>IF(ISBLANK(dms_E2_Projects_39),"",dms_E2_Projects_39)</f>
        <v/>
      </c>
      <c r="C487" s="573"/>
      <c r="D487" s="556"/>
      <c r="E487" s="324"/>
      <c r="F487" s="324"/>
      <c r="G487" s="557"/>
      <c r="H487" s="557"/>
      <c r="I487" s="556"/>
      <c r="J487" s="557"/>
    </row>
    <row r="488" spans="2:10" ht="15.75" customHeight="1" outlineLevel="3" x14ac:dyDescent="0.25">
      <c r="B488" s="541" t="str">
        <f>IF(ISBLANK(dms_E2_Projects_40),"",dms_E2_Projects_40)</f>
        <v/>
      </c>
      <c r="C488" s="573"/>
      <c r="D488" s="556"/>
      <c r="E488" s="324"/>
      <c r="F488" s="324"/>
      <c r="G488" s="557"/>
      <c r="H488" s="557"/>
      <c r="I488" s="556"/>
      <c r="J488" s="557"/>
    </row>
    <row r="489" spans="2:10" ht="15.75" customHeight="1" outlineLevel="3" x14ac:dyDescent="0.25">
      <c r="B489" s="541" t="str">
        <f>IF(ISBLANK(dms_E2_Projects_41),"",dms_E2_Projects_41)</f>
        <v/>
      </c>
      <c r="C489" s="573"/>
      <c r="D489" s="556"/>
      <c r="E489" s="324"/>
      <c r="F489" s="324"/>
      <c r="G489" s="557"/>
      <c r="H489" s="557"/>
      <c r="I489" s="556"/>
      <c r="J489" s="557"/>
    </row>
    <row r="490" spans="2:10" ht="15.75" customHeight="1" outlineLevel="3" x14ac:dyDescent="0.25">
      <c r="B490" s="541" t="str">
        <f>IF(ISBLANK(dms_E2_Projects_42),"",dms_E2_Projects_42)</f>
        <v/>
      </c>
      <c r="C490" s="573"/>
      <c r="D490" s="556"/>
      <c r="E490" s="324"/>
      <c r="F490" s="324"/>
      <c r="G490" s="557"/>
      <c r="H490" s="557"/>
      <c r="I490" s="556"/>
      <c r="J490" s="557"/>
    </row>
    <row r="491" spans="2:10" ht="15.75" customHeight="1" outlineLevel="3" x14ac:dyDescent="0.25">
      <c r="B491" s="541" t="str">
        <f>IF(ISBLANK(dms_E2_Projects_43),"",dms_E2_Projects_43)</f>
        <v/>
      </c>
      <c r="C491" s="573"/>
      <c r="D491" s="556"/>
      <c r="E491" s="324"/>
      <c r="F491" s="324"/>
      <c r="G491" s="557"/>
      <c r="H491" s="557"/>
      <c r="I491" s="556"/>
      <c r="J491" s="557"/>
    </row>
    <row r="492" spans="2:10" ht="15.75" customHeight="1" outlineLevel="3" x14ac:dyDescent="0.25">
      <c r="B492" s="541" t="str">
        <f>IF(ISBLANK(dms_E2_Projects_44),"",dms_E2_Projects_44)</f>
        <v/>
      </c>
      <c r="C492" s="573"/>
      <c r="D492" s="556"/>
      <c r="E492" s="324"/>
      <c r="F492" s="324"/>
      <c r="G492" s="557"/>
      <c r="H492" s="557"/>
      <c r="I492" s="556"/>
      <c r="J492" s="557"/>
    </row>
    <row r="493" spans="2:10" ht="15.75" customHeight="1" outlineLevel="3" x14ac:dyDescent="0.25">
      <c r="B493" s="541" t="str">
        <f>IF(ISBLANK(dms_E2_Projects_45),"",dms_E2_Projects_45)</f>
        <v/>
      </c>
      <c r="C493" s="573"/>
      <c r="D493" s="556"/>
      <c r="E493" s="324"/>
      <c r="F493" s="324"/>
      <c r="G493" s="557"/>
      <c r="H493" s="557"/>
      <c r="I493" s="556"/>
      <c r="J493" s="557"/>
    </row>
    <row r="494" spans="2:10" ht="15.75" customHeight="1" outlineLevel="3" x14ac:dyDescent="0.25">
      <c r="B494" s="541" t="str">
        <f>IF(ISBLANK(dms_E2_Projects_46),"",dms_E2_Projects_46)</f>
        <v/>
      </c>
      <c r="C494" s="573"/>
      <c r="D494" s="556"/>
      <c r="E494" s="324"/>
      <c r="F494" s="324"/>
      <c r="G494" s="557"/>
      <c r="H494" s="557"/>
      <c r="I494" s="556"/>
      <c r="J494" s="557"/>
    </row>
    <row r="495" spans="2:10" ht="15.75" customHeight="1" outlineLevel="3" x14ac:dyDescent="0.25">
      <c r="B495" s="541" t="str">
        <f>IF(ISBLANK(dms_E2_Projects_47),"",dms_E2_Projects_47)</f>
        <v/>
      </c>
      <c r="C495" s="573"/>
      <c r="D495" s="556"/>
      <c r="E495" s="324"/>
      <c r="F495" s="324"/>
      <c r="G495" s="557"/>
      <c r="H495" s="557"/>
      <c r="I495" s="556"/>
      <c r="J495" s="557"/>
    </row>
    <row r="496" spans="2:10" ht="15.75" customHeight="1" outlineLevel="3" x14ac:dyDescent="0.25">
      <c r="B496" s="541" t="str">
        <f>IF(ISBLANK(dms_E2_Projects_48),"",dms_E2_Projects_48)</f>
        <v/>
      </c>
      <c r="C496" s="573"/>
      <c r="D496" s="556"/>
      <c r="E496" s="324"/>
      <c r="F496" s="324"/>
      <c r="G496" s="557"/>
      <c r="H496" s="557"/>
      <c r="I496" s="556"/>
      <c r="J496" s="557"/>
    </row>
    <row r="497" spans="2:10" ht="15.75" customHeight="1" outlineLevel="3" x14ac:dyDescent="0.25">
      <c r="B497" s="541" t="str">
        <f>IF(ISBLANK(dms_E2_Projects_49),"",dms_E2_Projects_49)</f>
        <v/>
      </c>
      <c r="C497" s="573"/>
      <c r="D497" s="556"/>
      <c r="E497" s="324"/>
      <c r="F497" s="324"/>
      <c r="G497" s="557"/>
      <c r="H497" s="557"/>
      <c r="I497" s="556"/>
      <c r="J497" s="557"/>
    </row>
    <row r="498" spans="2:10" ht="15.75" customHeight="1" outlineLevel="3" x14ac:dyDescent="0.25">
      <c r="B498" s="541" t="str">
        <f>IF(ISBLANK(dms_E2_Projects_50),"",dms_E2_Projects_50)</f>
        <v/>
      </c>
      <c r="C498" s="573"/>
      <c r="D498" s="556"/>
      <c r="E498" s="324"/>
      <c r="F498" s="324"/>
      <c r="G498" s="557"/>
      <c r="H498" s="557"/>
      <c r="I498" s="556"/>
      <c r="J498" s="557"/>
    </row>
    <row r="499" spans="2:10" ht="15.75" customHeight="1" outlineLevel="3" thickBot="1" x14ac:dyDescent="0.3">
      <c r="B499" s="574" t="s">
        <v>152</v>
      </c>
      <c r="C499" s="543"/>
      <c r="D499" s="287">
        <v>82</v>
      </c>
      <c r="E499" s="273">
        <v>0</v>
      </c>
      <c r="F499" s="273"/>
      <c r="G499" s="274"/>
      <c r="H499" s="274"/>
      <c r="I499" s="287"/>
      <c r="J499" s="274"/>
    </row>
    <row r="500" spans="2:10" ht="15.75" customHeight="1" outlineLevel="3" thickBot="1" x14ac:dyDescent="0.3">
      <c r="B500" s="544"/>
      <c r="C500" s="545" t="s">
        <v>120</v>
      </c>
      <c r="D500" s="545">
        <f>SUM(D449:D499)</f>
        <v>45822.2</v>
      </c>
      <c r="E500" s="545">
        <f t="shared" ref="E500:J500" si="49">SUM(E449:E499)</f>
        <v>46567.8</v>
      </c>
      <c r="F500" s="545">
        <f t="shared" si="49"/>
        <v>0</v>
      </c>
      <c r="G500" s="545">
        <f t="shared" si="49"/>
        <v>0</v>
      </c>
      <c r="H500" s="545">
        <f t="shared" si="49"/>
        <v>0</v>
      </c>
      <c r="I500" s="545">
        <f t="shared" si="49"/>
        <v>0</v>
      </c>
      <c r="J500" s="545">
        <f t="shared" si="49"/>
        <v>0</v>
      </c>
    </row>
    <row r="501" spans="2:10" ht="15.75" outlineLevel="2" thickBot="1" x14ac:dyDescent="0.3">
      <c r="B501" s="75"/>
    </row>
    <row r="502" spans="2:10" ht="20.25" customHeight="1" outlineLevel="2" thickBot="1" x14ac:dyDescent="0.3">
      <c r="B502" s="250" t="s">
        <v>154</v>
      </c>
      <c r="C502" s="251"/>
      <c r="D502" s="251"/>
      <c r="E502" s="251"/>
      <c r="F502" s="251"/>
      <c r="G502" s="251"/>
      <c r="H502" s="251"/>
      <c r="I502" s="251"/>
      <c r="J502" s="251"/>
    </row>
    <row r="503" spans="2:10" ht="15.75" customHeight="1" outlineLevel="3" x14ac:dyDescent="0.25">
      <c r="B503" s="572" t="str">
        <f>IF(ISBLANK(dms_E2_Projects_01),"",dms_E2_Projects_01)</f>
        <v>S_MRH575_CY23 North West</v>
      </c>
      <c r="C503" s="537"/>
      <c r="D503" s="285"/>
      <c r="E503" s="270"/>
      <c r="F503" s="270"/>
      <c r="G503" s="271"/>
      <c r="H503" s="271"/>
      <c r="I503" s="285"/>
      <c r="J503" s="271"/>
    </row>
    <row r="504" spans="2:10" ht="15.75" customHeight="1" outlineLevel="3" x14ac:dyDescent="0.25">
      <c r="B504" s="572" t="str">
        <f>IF(ISBLANK(dms_E2_Projects_02),"",dms_E2_Projects_02)</f>
        <v>S_MRH575_CY24 HDPE575 South</v>
      </c>
      <c r="C504" s="538"/>
      <c r="D504" s="285"/>
      <c r="E504" s="270"/>
      <c r="F504" s="270"/>
      <c r="G504" s="271"/>
      <c r="H504" s="271"/>
      <c r="I504" s="285"/>
      <c r="J504" s="271"/>
    </row>
    <row r="505" spans="2:10" ht="15.75" customHeight="1" outlineLevel="3" x14ac:dyDescent="0.25">
      <c r="B505" s="572" t="str">
        <f>IF(ISBLANK(dms_E2_Projects_03),"",dms_E2_Projects_03)</f>
        <v>S_MRH575_CY24 GoldenGroveB</v>
      </c>
      <c r="C505" s="538"/>
      <c r="D505" s="285"/>
      <c r="E505" s="270"/>
      <c r="F505" s="270"/>
      <c r="G505" s="271"/>
      <c r="H505" s="271"/>
      <c r="I505" s="285"/>
      <c r="J505" s="271"/>
    </row>
    <row r="506" spans="2:10" ht="15.75" customHeight="1" outlineLevel="3" x14ac:dyDescent="0.25">
      <c r="B506" s="572" t="str">
        <f>IF(ISBLANK(dms_E2_Projects_04),"",dms_E2_Projects_04)</f>
        <v>S_MRH575_CY24_PortPirie_1</v>
      </c>
      <c r="C506" s="538"/>
      <c r="D506" s="285"/>
      <c r="E506" s="270"/>
      <c r="F506" s="270"/>
      <c r="G506" s="271"/>
      <c r="H506" s="271"/>
      <c r="I506" s="285"/>
      <c r="J506" s="271"/>
    </row>
    <row r="507" spans="2:10" ht="15.75" customHeight="1" outlineLevel="3" x14ac:dyDescent="0.25">
      <c r="B507" s="572" t="str">
        <f>IF(ISBLANK(dms_E2_Projects_05),"",dms_E2_Projects_05)</f>
        <v>S_MRH575_CY24_SHEIDOW_PARK</v>
      </c>
      <c r="C507" s="538"/>
      <c r="D507" s="285"/>
      <c r="E507" s="270"/>
      <c r="F507" s="270"/>
      <c r="G507" s="271"/>
      <c r="H507" s="271"/>
      <c r="I507" s="285"/>
      <c r="J507" s="271"/>
    </row>
    <row r="508" spans="2:10" ht="15.75" customHeight="1" outlineLevel="3" x14ac:dyDescent="0.25">
      <c r="B508" s="572" t="str">
        <f>IF(ISBLANK(dms_E2_Projects_06),"",dms_E2_Projects_06)</f>
        <v>S_MRH575_CY24_ONKAPARINGAHILLS</v>
      </c>
      <c r="C508" s="538"/>
      <c r="D508" s="285"/>
      <c r="E508" s="270"/>
      <c r="F508" s="270"/>
      <c r="G508" s="271"/>
      <c r="H508" s="271"/>
      <c r="I508" s="285"/>
      <c r="J508" s="271"/>
    </row>
    <row r="509" spans="2:10" ht="15.75" customHeight="1" outlineLevel="3" x14ac:dyDescent="0.25">
      <c r="B509" s="572" t="str">
        <f>IF(ISBLANK(dms_E2_Projects_07),"",dms_E2_Projects_07)</f>
        <v>S_MRH575_CY25_Aberfoyle Park</v>
      </c>
      <c r="C509" s="538"/>
      <c r="D509" s="285"/>
      <c r="E509" s="270"/>
      <c r="F509" s="270"/>
      <c r="G509" s="271"/>
      <c r="H509" s="271"/>
      <c r="I509" s="285"/>
      <c r="J509" s="271"/>
    </row>
    <row r="510" spans="2:10" ht="15.75" customHeight="1" outlineLevel="3" x14ac:dyDescent="0.25">
      <c r="B510" s="572" t="str">
        <f>IF(ISBLANK(dms_E2_Projects_08),"",dms_E2_Projects_08)</f>
        <v>2362_MAINS RENEWAL - HDPE 575</v>
      </c>
      <c r="C510" s="538"/>
      <c r="D510" s="285"/>
      <c r="E510" s="270"/>
      <c r="F510" s="270"/>
      <c r="G510" s="271"/>
      <c r="H510" s="271"/>
      <c r="I510" s="285"/>
      <c r="J510" s="271"/>
    </row>
    <row r="511" spans="2:10" ht="15.75" customHeight="1" outlineLevel="3" x14ac:dyDescent="0.25">
      <c r="B511" s="572" t="str">
        <f>IF(ISBLANK(dms_E2_Projects_09),"",dms_E2_Projects_09)</f>
        <v>S_MRB_CY21 Semaphore</v>
      </c>
      <c r="C511" s="538"/>
      <c r="D511" s="285"/>
      <c r="E511" s="270"/>
      <c r="F511" s="270"/>
      <c r="G511" s="271"/>
      <c r="H511" s="271"/>
      <c r="I511" s="285"/>
      <c r="J511" s="271"/>
    </row>
    <row r="512" spans="2:10" ht="15.75" customHeight="1" outlineLevel="3" x14ac:dyDescent="0.25">
      <c r="B512" s="572" t="str">
        <f>IF(ISBLANK(dms_E2_Projects_10),"",dms_E2_Projects_10)</f>
        <v>2366_S_MRB_CY24_North Adelaide_C</v>
      </c>
      <c r="C512" s="538"/>
      <c r="D512" s="285"/>
      <c r="E512" s="270"/>
      <c r="F512" s="270"/>
      <c r="G512" s="271"/>
      <c r="H512" s="271"/>
      <c r="I512" s="285"/>
      <c r="J512" s="271"/>
    </row>
    <row r="513" spans="2:10" ht="15.75" customHeight="1" outlineLevel="3" x14ac:dyDescent="0.25">
      <c r="B513" s="572" t="str">
        <f>IF(ISBLANK(dms_E2_Projects_11),"",dms_E2_Projects_11)</f>
        <v>S_MRB_CY24_Semaphore_Sth</v>
      </c>
      <c r="C513" s="538"/>
      <c r="D513" s="285"/>
      <c r="E513" s="270"/>
      <c r="F513" s="270"/>
      <c r="G513" s="271"/>
      <c r="H513" s="271"/>
      <c r="I513" s="285"/>
      <c r="J513" s="271"/>
    </row>
    <row r="514" spans="2:10" ht="15.75" customHeight="1" outlineLevel="3" x14ac:dyDescent="0.25">
      <c r="B514" s="572" t="str">
        <f>IF(ISBLANK(dms_E2_Projects_12),"",dms_E2_Projects_12)</f>
        <v>S_MRB_CY24_Millswood</v>
      </c>
      <c r="C514" s="538"/>
      <c r="D514" s="285"/>
      <c r="E514" s="270"/>
      <c r="F514" s="270"/>
      <c r="G514" s="271"/>
      <c r="H514" s="271"/>
      <c r="I514" s="285"/>
      <c r="J514" s="271"/>
    </row>
    <row r="515" spans="2:10" ht="15.75" customHeight="1" outlineLevel="3" x14ac:dyDescent="0.25">
      <c r="B515" s="572" t="str">
        <f>IF(ISBLANK(dms_E2_Projects_13),"",dms_E2_Projects_13)</f>
        <v>S_MRB_CY24_PASADENA</v>
      </c>
      <c r="C515" s="538"/>
      <c r="D515" s="285"/>
      <c r="E515" s="270"/>
      <c r="F515" s="270"/>
      <c r="G515" s="271"/>
      <c r="H515" s="271"/>
      <c r="I515" s="285"/>
      <c r="J515" s="271"/>
    </row>
    <row r="516" spans="2:10" ht="15.75" customHeight="1" outlineLevel="3" x14ac:dyDescent="0.25">
      <c r="B516" s="572" t="str">
        <f>IF(ISBLANK(dms_E2_Projects_14),"",dms_E2_Projects_14)</f>
        <v>S_MRB_CY24_ROSTREVOR</v>
      </c>
      <c r="C516" s="538"/>
      <c r="D516" s="285"/>
      <c r="E516" s="270"/>
      <c r="F516" s="270"/>
      <c r="G516" s="271"/>
      <c r="H516" s="271"/>
      <c r="I516" s="285"/>
      <c r="J516" s="271"/>
    </row>
    <row r="517" spans="2:10" ht="15.75" customHeight="1" outlineLevel="3" x14ac:dyDescent="0.25">
      <c r="B517" s="572" t="str">
        <f>IF(ISBLANK(dms_E2_Projects_15),"",dms_E2_Projects_15)</f>
        <v>S_MRB_CY24_WOODVILLE_PARK</v>
      </c>
      <c r="C517" s="538"/>
      <c r="D517" s="285"/>
      <c r="E517" s="270"/>
      <c r="F517" s="270"/>
      <c r="G517" s="271"/>
      <c r="H517" s="271"/>
      <c r="I517" s="285"/>
      <c r="J517" s="271"/>
    </row>
    <row r="518" spans="2:10" ht="15.75" customHeight="1" outlineLevel="3" x14ac:dyDescent="0.25">
      <c r="B518" s="536" t="str">
        <f>IF(ISBLANK(dms_E2_Projects_16),"",dms_E2_Projects_16)</f>
        <v>S_MRB_CY24_PORT_ADELAIDE_A</v>
      </c>
      <c r="C518" s="573"/>
      <c r="D518" s="556"/>
      <c r="E518" s="324"/>
      <c r="F518" s="324"/>
      <c r="G518" s="557"/>
      <c r="H518" s="557"/>
      <c r="I518" s="556"/>
      <c r="J518" s="557"/>
    </row>
    <row r="519" spans="2:10" ht="15.75" customHeight="1" outlineLevel="3" x14ac:dyDescent="0.25">
      <c r="B519" s="541" t="str">
        <f>IF(ISBLANK(dms_E2_Projects_17),"",dms_E2_Projects_17)</f>
        <v>S_MRB_CY25_Edwardstown A</v>
      </c>
      <c r="C519" s="573"/>
      <c r="D519" s="556"/>
      <c r="E519" s="324"/>
      <c r="F519" s="324"/>
      <c r="G519" s="557"/>
      <c r="H519" s="557"/>
      <c r="I519" s="556"/>
      <c r="J519" s="557"/>
    </row>
    <row r="520" spans="2:10" ht="15.75" customHeight="1" outlineLevel="3" x14ac:dyDescent="0.25">
      <c r="B520" s="541" t="str">
        <f>IF(ISBLANK(dms_E2_Projects_18),"",dms_E2_Projects_18)</f>
        <v>S_MRB_CY25_Burnside A</v>
      </c>
      <c r="C520" s="573"/>
      <c r="D520" s="556"/>
      <c r="E520" s="324"/>
      <c r="F520" s="324"/>
      <c r="G520" s="557"/>
      <c r="H520" s="557"/>
      <c r="I520" s="556"/>
      <c r="J520" s="557"/>
    </row>
    <row r="521" spans="2:10" ht="15.75" customHeight="1" outlineLevel="3" x14ac:dyDescent="0.25">
      <c r="B521" s="541" t="str">
        <f>IF(ISBLANK(dms_E2_Projects_18),"",dms_E2_Projects_18)</f>
        <v>S_MRB_CY25_Burnside A</v>
      </c>
      <c r="C521" s="573"/>
      <c r="D521" s="556"/>
      <c r="E521" s="324"/>
      <c r="F521" s="324"/>
      <c r="G521" s="557"/>
      <c r="H521" s="557"/>
      <c r="I521" s="556"/>
      <c r="J521" s="557"/>
    </row>
    <row r="522" spans="2:10" ht="15.75" customHeight="1" outlineLevel="3" x14ac:dyDescent="0.25">
      <c r="B522" s="541" t="str">
        <f>IF(ISBLANK(dms_E2_Projects_19),"",dms_E2_Projects_19)</f>
        <v>S_MRB_CY25_Auldana_A</v>
      </c>
      <c r="C522" s="573"/>
      <c r="D522" s="556"/>
      <c r="E522" s="324"/>
      <c r="F522" s="324"/>
      <c r="G522" s="557"/>
      <c r="H522" s="557"/>
      <c r="I522" s="556"/>
      <c r="J522" s="557"/>
    </row>
    <row r="523" spans="2:10" ht="15.75" customHeight="1" outlineLevel="3" x14ac:dyDescent="0.25">
      <c r="B523" s="541" t="str">
        <f>IF(ISBLANK(dms_E2_Projects_20),"",dms_E2_Projects_20)</f>
        <v>S_MRB_CY25_Devon Park</v>
      </c>
      <c r="C523" s="573"/>
      <c r="D523" s="556"/>
      <c r="E523" s="324"/>
      <c r="F523" s="324"/>
      <c r="G523" s="557"/>
      <c r="H523" s="557"/>
      <c r="I523" s="556"/>
      <c r="J523" s="557"/>
    </row>
    <row r="524" spans="2:10" ht="15.75" customHeight="1" outlineLevel="3" x14ac:dyDescent="0.25">
      <c r="B524" s="541" t="str">
        <f>IF(ISBLANK(dms_E2_Projects_21),"",dms_E2_Projects_21)</f>
        <v>S_MRB_CY25_Gilles Plains</v>
      </c>
      <c r="C524" s="573"/>
      <c r="D524" s="556"/>
      <c r="E524" s="324"/>
      <c r="F524" s="324"/>
      <c r="G524" s="557"/>
      <c r="H524" s="557"/>
      <c r="I524" s="556"/>
      <c r="J524" s="557"/>
    </row>
    <row r="525" spans="2:10" ht="15.75" customHeight="1" outlineLevel="3" x14ac:dyDescent="0.25">
      <c r="B525" s="541" t="str">
        <f>IF(ISBLANK(dms_E2_Projects_22),"",dms_E2_Projects_22)</f>
        <v>S_MRB_CY25_Ingle Farm A</v>
      </c>
      <c r="C525" s="573"/>
      <c r="D525" s="556"/>
      <c r="E525" s="324"/>
      <c r="F525" s="324"/>
      <c r="G525" s="557"/>
      <c r="H525" s="557"/>
      <c r="I525" s="556"/>
      <c r="J525" s="557"/>
    </row>
    <row r="526" spans="2:10" ht="15.75" customHeight="1" outlineLevel="3" x14ac:dyDescent="0.25">
      <c r="B526" s="541" t="str">
        <f>IF(ISBLANK(dms_E2_Projects_23),"",dms_E2_Projects_23)</f>
        <v>S_MRB_CY25_Ingle Farm B</v>
      </c>
      <c r="C526" s="573"/>
      <c r="D526" s="556"/>
      <c r="E526" s="324"/>
      <c r="F526" s="324"/>
      <c r="G526" s="557"/>
      <c r="H526" s="557"/>
      <c r="I526" s="556"/>
      <c r="J526" s="557"/>
    </row>
    <row r="527" spans="2:10" ht="15.75" customHeight="1" outlineLevel="3" x14ac:dyDescent="0.25">
      <c r="B527" s="541" t="str">
        <f>IF(ISBLANK(dms_E2_Projects_24),"",dms_E2_Projects_24)</f>
        <v>S_MRB_CY25_Para Hills West</v>
      </c>
      <c r="C527" s="573"/>
      <c r="D527" s="556"/>
      <c r="E527" s="324"/>
      <c r="F527" s="324"/>
      <c r="G527" s="557"/>
      <c r="H527" s="557"/>
      <c r="I527" s="556"/>
      <c r="J527" s="557"/>
    </row>
    <row r="528" spans="2:10" ht="15.75" customHeight="1" outlineLevel="3" x14ac:dyDescent="0.25">
      <c r="B528" s="541" t="str">
        <f>IF(ISBLANK(dms_E2_Projects_25),"",dms_E2_Projects_26)</f>
        <v>HDPE 575 Camera Inspection and sampling</v>
      </c>
      <c r="C528" s="573"/>
      <c r="D528" s="556"/>
      <c r="E528" s="324"/>
      <c r="F528" s="324"/>
      <c r="G528" s="557"/>
      <c r="H528" s="557"/>
      <c r="I528" s="556"/>
      <c r="J528" s="557"/>
    </row>
    <row r="529" spans="2:10" ht="15.75" customHeight="1" outlineLevel="3" x14ac:dyDescent="0.25">
      <c r="B529" s="541" t="str">
        <f>IF(ISBLANK(dms_E2_Projects_27),"",dms_E2_Projects_27)</f>
        <v>Steel Mains Replacement</v>
      </c>
      <c r="C529" s="573"/>
      <c r="D529" s="556"/>
      <c r="E529" s="324"/>
      <c r="F529" s="324"/>
      <c r="G529" s="557"/>
      <c r="H529" s="557"/>
      <c r="I529" s="556"/>
      <c r="J529" s="557"/>
    </row>
    <row r="530" spans="2:10" ht="15.75" customHeight="1" outlineLevel="3" x14ac:dyDescent="0.25">
      <c r="B530" s="541" t="str">
        <f>IF(ISBLANK(dms_E2_Projects_28),"",dms_E2_Projects_28)</f>
        <v>Multi User Sites (MUS) renewal</v>
      </c>
      <c r="C530" s="573"/>
      <c r="D530" s="556"/>
      <c r="E530" s="324"/>
      <c r="F530" s="324"/>
      <c r="G530" s="557"/>
      <c r="H530" s="557"/>
      <c r="I530" s="556"/>
      <c r="J530" s="557"/>
    </row>
    <row r="531" spans="2:10" ht="15.75" customHeight="1" outlineLevel="3" x14ac:dyDescent="0.25">
      <c r="B531" s="541" t="str">
        <f>IF(ISBLANK(dms_E2_Projects_29),"",dms_E2_Projects_29)</f>
        <v/>
      </c>
      <c r="C531" s="573"/>
      <c r="D531" s="556"/>
      <c r="E531" s="324"/>
      <c r="F531" s="324"/>
      <c r="G531" s="557"/>
      <c r="H531" s="557"/>
      <c r="I531" s="556"/>
      <c r="J531" s="557"/>
    </row>
    <row r="532" spans="2:10" ht="15.75" customHeight="1" outlineLevel="3" x14ac:dyDescent="0.25">
      <c r="B532" s="541" t="str">
        <f>IF(ISBLANK(dms_E2_Projects_30),"",dms_E2_Projects_30)</f>
        <v/>
      </c>
      <c r="C532" s="573"/>
      <c r="D532" s="556"/>
      <c r="E532" s="324"/>
      <c r="F532" s="324"/>
      <c r="G532" s="557"/>
      <c r="H532" s="557"/>
      <c r="I532" s="556"/>
      <c r="J532" s="557"/>
    </row>
    <row r="533" spans="2:10" ht="15.75" customHeight="1" outlineLevel="3" x14ac:dyDescent="0.25">
      <c r="B533" s="541" t="str">
        <f>IF(ISBLANK(dms_E2_Projects_31),"",dms_E2_Projects_31)</f>
        <v/>
      </c>
      <c r="C533" s="573"/>
      <c r="D533" s="556"/>
      <c r="E533" s="324"/>
      <c r="F533" s="324"/>
      <c r="G533" s="557"/>
      <c r="H533" s="557"/>
      <c r="I533" s="556"/>
      <c r="J533" s="557"/>
    </row>
    <row r="534" spans="2:10" ht="15.75" customHeight="1" outlineLevel="3" x14ac:dyDescent="0.25">
      <c r="B534" s="541" t="str">
        <f>IF(ISBLANK(dms_E2_Projects_32),"",dms_E2_Projects_32)</f>
        <v/>
      </c>
      <c r="C534" s="573"/>
      <c r="D534" s="556"/>
      <c r="E534" s="324"/>
      <c r="F534" s="324"/>
      <c r="G534" s="557"/>
      <c r="H534" s="557"/>
      <c r="I534" s="556"/>
      <c r="J534" s="557"/>
    </row>
    <row r="535" spans="2:10" ht="15.75" customHeight="1" outlineLevel="3" x14ac:dyDescent="0.25">
      <c r="B535" s="541" t="str">
        <f>IF(ISBLANK(dms_E2_Projects_33),"",dms_E2_Projects_33)</f>
        <v/>
      </c>
      <c r="C535" s="573"/>
      <c r="D535" s="556"/>
      <c r="E535" s="324"/>
      <c r="F535" s="324"/>
      <c r="G535" s="557"/>
      <c r="H535" s="557"/>
      <c r="I535" s="556"/>
      <c r="J535" s="557"/>
    </row>
    <row r="536" spans="2:10" ht="15.75" customHeight="1" outlineLevel="3" x14ac:dyDescent="0.25">
      <c r="B536" s="541" t="str">
        <f>IF(ISBLANK(dms_E2_Projects_34),"",dms_E2_Projects_34)</f>
        <v/>
      </c>
      <c r="C536" s="573"/>
      <c r="D536" s="556"/>
      <c r="E536" s="324"/>
      <c r="F536" s="324"/>
      <c r="G536" s="557"/>
      <c r="H536" s="557"/>
      <c r="I536" s="556"/>
      <c r="J536" s="557"/>
    </row>
    <row r="537" spans="2:10" ht="15.75" customHeight="1" outlineLevel="3" x14ac:dyDescent="0.25">
      <c r="B537" s="541" t="str">
        <f>IF(ISBLANK(dms_E2_Projects_35),"",dms_E2_Projects_35)</f>
        <v/>
      </c>
      <c r="C537" s="573"/>
      <c r="D537" s="556"/>
      <c r="E537" s="324"/>
      <c r="F537" s="324"/>
      <c r="G537" s="557"/>
      <c r="H537" s="557"/>
      <c r="I537" s="556"/>
      <c r="J537" s="557"/>
    </row>
    <row r="538" spans="2:10" ht="15.75" customHeight="1" outlineLevel="3" x14ac:dyDescent="0.25">
      <c r="B538" s="541" t="str">
        <f>IF(ISBLANK(dms_E2_Projects_36),"",dms_E2_Projects_36)</f>
        <v/>
      </c>
      <c r="C538" s="573"/>
      <c r="D538" s="556"/>
      <c r="E538" s="324"/>
      <c r="F538" s="324"/>
      <c r="G538" s="557"/>
      <c r="H538" s="557"/>
      <c r="I538" s="556"/>
      <c r="J538" s="557"/>
    </row>
    <row r="539" spans="2:10" ht="15.75" customHeight="1" outlineLevel="3" x14ac:dyDescent="0.25">
      <c r="B539" s="541" t="str">
        <f>IF(ISBLANK(dms_E2_Projects_37),"",dms_E2_Projects_37)</f>
        <v/>
      </c>
      <c r="C539" s="573"/>
      <c r="D539" s="556"/>
      <c r="E539" s="324"/>
      <c r="F539" s="324"/>
      <c r="G539" s="557"/>
      <c r="H539" s="557"/>
      <c r="I539" s="556"/>
      <c r="J539" s="557"/>
    </row>
    <row r="540" spans="2:10" ht="15.75" customHeight="1" outlineLevel="3" x14ac:dyDescent="0.25">
      <c r="B540" s="541" t="str">
        <f>IF(ISBLANK(dms_E2_Projects_38),"",dms_E2_Projects_38)</f>
        <v/>
      </c>
      <c r="C540" s="573"/>
      <c r="D540" s="556"/>
      <c r="E540" s="324"/>
      <c r="F540" s="324"/>
      <c r="G540" s="557"/>
      <c r="H540" s="557"/>
      <c r="I540" s="556"/>
      <c r="J540" s="557"/>
    </row>
    <row r="541" spans="2:10" ht="15.75" customHeight="1" outlineLevel="3" x14ac:dyDescent="0.25">
      <c r="B541" s="541" t="str">
        <f>IF(ISBLANK(dms_E2_Projects_39),"",dms_E2_Projects_39)</f>
        <v/>
      </c>
      <c r="C541" s="573"/>
      <c r="D541" s="556"/>
      <c r="E541" s="324"/>
      <c r="F541" s="324"/>
      <c r="G541" s="557"/>
      <c r="H541" s="557"/>
      <c r="I541" s="556"/>
      <c r="J541" s="557"/>
    </row>
    <row r="542" spans="2:10" ht="15.75" customHeight="1" outlineLevel="3" x14ac:dyDescent="0.25">
      <c r="B542" s="541" t="str">
        <f>IF(ISBLANK(dms_E2_Projects_40),"",dms_E2_Projects_40)</f>
        <v/>
      </c>
      <c r="C542" s="573"/>
      <c r="D542" s="556"/>
      <c r="E542" s="324"/>
      <c r="F542" s="324"/>
      <c r="G542" s="557"/>
      <c r="H542" s="557"/>
      <c r="I542" s="556"/>
      <c r="J542" s="557"/>
    </row>
    <row r="543" spans="2:10" ht="15.75" customHeight="1" outlineLevel="3" x14ac:dyDescent="0.25">
      <c r="B543" s="541" t="str">
        <f>IF(ISBLANK(dms_E2_Projects_41),"",dms_E2_Projects_41)</f>
        <v/>
      </c>
      <c r="C543" s="573"/>
      <c r="D543" s="556"/>
      <c r="E543" s="324"/>
      <c r="F543" s="324"/>
      <c r="G543" s="557"/>
      <c r="H543" s="557"/>
      <c r="I543" s="556"/>
      <c r="J543" s="557"/>
    </row>
    <row r="544" spans="2:10" ht="15.75" customHeight="1" outlineLevel="3" x14ac:dyDescent="0.25">
      <c r="B544" s="541" t="str">
        <f>IF(ISBLANK(dms_E2_Projects_42),"",dms_E2_Projects_42)</f>
        <v/>
      </c>
      <c r="C544" s="573"/>
      <c r="D544" s="556"/>
      <c r="E544" s="324"/>
      <c r="F544" s="324"/>
      <c r="G544" s="557"/>
      <c r="H544" s="557"/>
      <c r="I544" s="556"/>
      <c r="J544" s="557"/>
    </row>
    <row r="545" spans="2:10" ht="15.75" customHeight="1" outlineLevel="3" x14ac:dyDescent="0.25">
      <c r="B545" s="541" t="str">
        <f>IF(ISBLANK(dms_E2_Projects_43),"",dms_E2_Projects_43)</f>
        <v/>
      </c>
      <c r="C545" s="573"/>
      <c r="D545" s="556"/>
      <c r="E545" s="324"/>
      <c r="F545" s="324"/>
      <c r="G545" s="557"/>
      <c r="H545" s="557"/>
      <c r="I545" s="556"/>
      <c r="J545" s="557"/>
    </row>
    <row r="546" spans="2:10" ht="15.75" customHeight="1" outlineLevel="3" x14ac:dyDescent="0.25">
      <c r="B546" s="541" t="str">
        <f>IF(ISBLANK(dms_E2_Projects_44),"",dms_E2_Projects_44)</f>
        <v/>
      </c>
      <c r="C546" s="573"/>
      <c r="D546" s="556"/>
      <c r="E546" s="324"/>
      <c r="F546" s="324"/>
      <c r="G546" s="557"/>
      <c r="H546" s="557"/>
      <c r="I546" s="556"/>
      <c r="J546" s="557"/>
    </row>
    <row r="547" spans="2:10" ht="15.75" customHeight="1" outlineLevel="3" x14ac:dyDescent="0.25">
      <c r="B547" s="541" t="str">
        <f>IF(ISBLANK(dms_E2_Projects_45),"",dms_E2_Projects_45)</f>
        <v/>
      </c>
      <c r="C547" s="573"/>
      <c r="D547" s="556"/>
      <c r="E547" s="324"/>
      <c r="F547" s="324"/>
      <c r="G547" s="557"/>
      <c r="H547" s="557"/>
      <c r="I547" s="556"/>
      <c r="J547" s="557"/>
    </row>
    <row r="548" spans="2:10" ht="15.75" customHeight="1" outlineLevel="3" x14ac:dyDescent="0.25">
      <c r="B548" s="541" t="str">
        <f>IF(ISBLANK(dms_E2_Projects_46),"",dms_E2_Projects_46)</f>
        <v/>
      </c>
      <c r="C548" s="573"/>
      <c r="D548" s="556"/>
      <c r="E548" s="324"/>
      <c r="F548" s="324"/>
      <c r="G548" s="557"/>
      <c r="H548" s="557"/>
      <c r="I548" s="556"/>
      <c r="J548" s="557"/>
    </row>
    <row r="549" spans="2:10" ht="15.75" customHeight="1" outlineLevel="3" x14ac:dyDescent="0.25">
      <c r="B549" s="541" t="str">
        <f>IF(ISBLANK(dms_E2_Projects_47),"",dms_E2_Projects_47)</f>
        <v/>
      </c>
      <c r="C549" s="573"/>
      <c r="D549" s="556"/>
      <c r="E549" s="324"/>
      <c r="F549" s="324"/>
      <c r="G549" s="557"/>
      <c r="H549" s="557"/>
      <c r="I549" s="556"/>
      <c r="J549" s="557"/>
    </row>
    <row r="550" spans="2:10" ht="15.75" customHeight="1" outlineLevel="3" x14ac:dyDescent="0.25">
      <c r="B550" s="541" t="str">
        <f>IF(ISBLANK(dms_E2_Projects_48),"",dms_E2_Projects_48)</f>
        <v/>
      </c>
      <c r="C550" s="573"/>
      <c r="D550" s="556"/>
      <c r="E550" s="324"/>
      <c r="F550" s="324"/>
      <c r="G550" s="557"/>
      <c r="H550" s="557"/>
      <c r="I550" s="556"/>
      <c r="J550" s="557"/>
    </row>
    <row r="551" spans="2:10" ht="15.75" customHeight="1" outlineLevel="3" x14ac:dyDescent="0.25">
      <c r="B551" s="541" t="str">
        <f>IF(ISBLANK(dms_E2_Projects_49),"",dms_E2_Projects_49)</f>
        <v/>
      </c>
      <c r="C551" s="573"/>
      <c r="D551" s="556"/>
      <c r="E551" s="324"/>
      <c r="F551" s="324"/>
      <c r="G551" s="557"/>
      <c r="H551" s="557"/>
      <c r="I551" s="556"/>
      <c r="J551" s="557"/>
    </row>
    <row r="552" spans="2:10" ht="15.75" customHeight="1" outlineLevel="3" x14ac:dyDescent="0.25">
      <c r="B552" s="541" t="str">
        <f>IF(ISBLANK(dms_E2_Projects_50),"",dms_E2_Projects_50)</f>
        <v/>
      </c>
      <c r="C552" s="573"/>
      <c r="D552" s="556"/>
      <c r="E552" s="324"/>
      <c r="F552" s="324"/>
      <c r="G552" s="557"/>
      <c r="H552" s="557"/>
      <c r="I552" s="556"/>
      <c r="J552" s="557"/>
    </row>
    <row r="553" spans="2:10" ht="15.75" customHeight="1" outlineLevel="3" thickBot="1" x14ac:dyDescent="0.3">
      <c r="B553" s="574" t="s">
        <v>152</v>
      </c>
      <c r="C553" s="543"/>
      <c r="D553" s="287"/>
      <c r="E553" s="273"/>
      <c r="F553" s="273"/>
      <c r="G553" s="274"/>
      <c r="H553" s="274"/>
      <c r="I553" s="287"/>
      <c r="J553" s="274"/>
    </row>
    <row r="554" spans="2:10" ht="15.75" customHeight="1" outlineLevel="3" thickBot="1" x14ac:dyDescent="0.3">
      <c r="B554" s="544"/>
      <c r="C554" s="545" t="s">
        <v>120</v>
      </c>
      <c r="D554" s="545">
        <f>SUM(D503:D553)</f>
        <v>0</v>
      </c>
      <c r="E554" s="545">
        <f t="shared" ref="E554:J554" si="50">SUM(E503:E553)</f>
        <v>0</v>
      </c>
      <c r="F554" s="545">
        <f t="shared" si="50"/>
        <v>0</v>
      </c>
      <c r="G554" s="545">
        <f t="shared" si="50"/>
        <v>0</v>
      </c>
      <c r="H554" s="545">
        <f t="shared" si="50"/>
        <v>0</v>
      </c>
      <c r="I554" s="545">
        <f t="shared" si="50"/>
        <v>0</v>
      </c>
      <c r="J554" s="545">
        <f t="shared" si="50"/>
        <v>0</v>
      </c>
    </row>
    <row r="555" spans="2:10" ht="15.75" outlineLevel="2" thickBot="1" x14ac:dyDescent="0.3">
      <c r="B555" s="75"/>
    </row>
    <row r="556" spans="2:10" ht="20.25" customHeight="1" outlineLevel="2" thickBot="1" x14ac:dyDescent="0.3">
      <c r="B556" s="250" t="s">
        <v>155</v>
      </c>
      <c r="C556" s="251"/>
      <c r="D556" s="251"/>
      <c r="E556" s="251"/>
      <c r="F556" s="251"/>
      <c r="G556" s="251"/>
      <c r="H556" s="251"/>
      <c r="I556" s="251"/>
      <c r="J556" s="251"/>
    </row>
    <row r="557" spans="2:10" ht="15.75" customHeight="1" outlineLevel="3" x14ac:dyDescent="0.25">
      <c r="B557" s="572" t="str">
        <f>IF(ISBLANK(dms_E2_Projects_01),"",dms_E2_Projects_01)</f>
        <v>S_MRH575_CY23 North West</v>
      </c>
      <c r="C557" s="537"/>
      <c r="D557" s="285">
        <v>0</v>
      </c>
      <c r="E557" s="270">
        <v>0</v>
      </c>
      <c r="F557" s="270"/>
      <c r="G557" s="271"/>
      <c r="H557" s="271"/>
      <c r="I557" s="285"/>
      <c r="J557" s="271"/>
    </row>
    <row r="558" spans="2:10" ht="15.75" customHeight="1" outlineLevel="3" x14ac:dyDescent="0.25">
      <c r="B558" s="572" t="str">
        <f>IF(ISBLANK(dms_E2_Projects_02),"",dms_E2_Projects_02)</f>
        <v>S_MRH575_CY24 HDPE575 South</v>
      </c>
      <c r="C558" s="538"/>
      <c r="D558" s="285">
        <v>0</v>
      </c>
      <c r="E558" s="270">
        <v>0</v>
      </c>
      <c r="F558" s="270"/>
      <c r="G558" s="271"/>
      <c r="H558" s="271"/>
      <c r="I558" s="285"/>
      <c r="J558" s="271"/>
    </row>
    <row r="559" spans="2:10" ht="15.75" customHeight="1" outlineLevel="3" x14ac:dyDescent="0.25">
      <c r="B559" s="572" t="str">
        <f>IF(ISBLANK(dms_E2_Projects_03),"",dms_E2_Projects_03)</f>
        <v>S_MRH575_CY24 GoldenGroveB</v>
      </c>
      <c r="C559" s="538"/>
      <c r="D559" s="285">
        <v>0</v>
      </c>
      <c r="E559" s="270">
        <v>0</v>
      </c>
      <c r="F559" s="270"/>
      <c r="G559" s="271"/>
      <c r="H559" s="271"/>
      <c r="I559" s="285"/>
      <c r="J559" s="271"/>
    </row>
    <row r="560" spans="2:10" ht="15.75" customHeight="1" outlineLevel="3" x14ac:dyDescent="0.25">
      <c r="B560" s="572" t="str">
        <f>IF(ISBLANK(dms_E2_Projects_04),"",dms_E2_Projects_04)</f>
        <v>S_MRH575_CY24_PortPirie_1</v>
      </c>
      <c r="C560" s="538"/>
      <c r="D560" s="285">
        <v>7800</v>
      </c>
      <c r="E560" s="270">
        <v>0</v>
      </c>
      <c r="F560" s="270"/>
      <c r="G560" s="271"/>
      <c r="H560" s="271"/>
      <c r="I560" s="285"/>
      <c r="J560" s="271"/>
    </row>
    <row r="561" spans="2:10" ht="15.75" customHeight="1" outlineLevel="3" x14ac:dyDescent="0.25">
      <c r="B561" s="572" t="str">
        <f>IF(ISBLANK(dms_E2_Projects_05),"",dms_E2_Projects_05)</f>
        <v>S_MRH575_CY24_SHEIDOW_PARK</v>
      </c>
      <c r="C561" s="538"/>
      <c r="D561" s="285">
        <v>0</v>
      </c>
      <c r="E561" s="270">
        <v>0</v>
      </c>
      <c r="F561" s="270"/>
      <c r="G561" s="271"/>
      <c r="H561" s="271"/>
      <c r="I561" s="285"/>
      <c r="J561" s="271"/>
    </row>
    <row r="562" spans="2:10" ht="15.75" customHeight="1" outlineLevel="3" x14ac:dyDescent="0.25">
      <c r="B562" s="572" t="str">
        <f>IF(ISBLANK(dms_E2_Projects_06),"",dms_E2_Projects_06)</f>
        <v>S_MRH575_CY24_ONKAPARINGAHILLS</v>
      </c>
      <c r="C562" s="538"/>
      <c r="D562" s="285">
        <v>0</v>
      </c>
      <c r="E562" s="270">
        <v>0</v>
      </c>
      <c r="F562" s="270"/>
      <c r="G562" s="271"/>
      <c r="H562" s="271"/>
      <c r="I562" s="285"/>
      <c r="J562" s="271"/>
    </row>
    <row r="563" spans="2:10" ht="15.75" customHeight="1" outlineLevel="3" x14ac:dyDescent="0.25">
      <c r="B563" s="572" t="str">
        <f>IF(ISBLANK(dms_E2_Projects_07),"",dms_E2_Projects_07)</f>
        <v>S_MRH575_CY25_Aberfoyle Park</v>
      </c>
      <c r="C563" s="538"/>
      <c r="D563" s="285">
        <v>0</v>
      </c>
      <c r="E563" s="270">
        <v>0</v>
      </c>
      <c r="F563" s="270"/>
      <c r="G563" s="271"/>
      <c r="H563" s="271"/>
      <c r="I563" s="285"/>
      <c r="J563" s="271"/>
    </row>
    <row r="564" spans="2:10" ht="15.75" customHeight="1" outlineLevel="3" x14ac:dyDescent="0.25">
      <c r="B564" s="572" t="str">
        <f>IF(ISBLANK(dms_E2_Projects_08),"",dms_E2_Projects_08)</f>
        <v>2362_MAINS RENEWAL - HDPE 575</v>
      </c>
      <c r="C564" s="538"/>
      <c r="D564" s="285">
        <v>0</v>
      </c>
      <c r="E564" s="270">
        <v>0</v>
      </c>
      <c r="F564" s="270"/>
      <c r="G564" s="271"/>
      <c r="H564" s="271"/>
      <c r="I564" s="285"/>
      <c r="J564" s="271"/>
    </row>
    <row r="565" spans="2:10" ht="15.75" customHeight="1" outlineLevel="3" x14ac:dyDescent="0.25">
      <c r="B565" s="572" t="str">
        <f>IF(ISBLANK(dms_E2_Projects_09),"",dms_E2_Projects_09)</f>
        <v>S_MRB_CY21 Semaphore</v>
      </c>
      <c r="C565" s="538"/>
      <c r="D565" s="285">
        <v>0</v>
      </c>
      <c r="E565" s="270">
        <v>0</v>
      </c>
      <c r="F565" s="270"/>
      <c r="G565" s="271"/>
      <c r="H565" s="271"/>
      <c r="I565" s="285"/>
      <c r="J565" s="271"/>
    </row>
    <row r="566" spans="2:10" ht="15.75" customHeight="1" outlineLevel="3" x14ac:dyDescent="0.25">
      <c r="B566" s="572" t="str">
        <f>IF(ISBLANK(dms_E2_Projects_10),"",dms_E2_Projects_10)</f>
        <v>2366_S_MRB_CY24_North Adelaide_C</v>
      </c>
      <c r="C566" s="538"/>
      <c r="D566" s="285">
        <v>0</v>
      </c>
      <c r="E566" s="270">
        <v>0</v>
      </c>
      <c r="F566" s="270"/>
      <c r="G566" s="271"/>
      <c r="H566" s="271"/>
      <c r="I566" s="285"/>
      <c r="J566" s="271"/>
    </row>
    <row r="567" spans="2:10" ht="15.75" customHeight="1" outlineLevel="3" x14ac:dyDescent="0.25">
      <c r="B567" s="572" t="str">
        <f>IF(ISBLANK(dms_E2_Projects_11),"",dms_E2_Projects_11)</f>
        <v>S_MRB_CY24_Semaphore_Sth</v>
      </c>
      <c r="C567" s="538"/>
      <c r="D567" s="285">
        <v>0</v>
      </c>
      <c r="E567" s="270">
        <v>0</v>
      </c>
      <c r="F567" s="270"/>
      <c r="G567" s="271"/>
      <c r="H567" s="271"/>
      <c r="I567" s="285"/>
      <c r="J567" s="271"/>
    </row>
    <row r="568" spans="2:10" ht="15.75" customHeight="1" outlineLevel="3" x14ac:dyDescent="0.25">
      <c r="B568" s="572" t="str">
        <f>IF(ISBLANK(dms_E2_Projects_12),"",dms_E2_Projects_12)</f>
        <v>S_MRB_CY24_Millswood</v>
      </c>
      <c r="C568" s="538"/>
      <c r="D568" s="285">
        <v>0</v>
      </c>
      <c r="E568" s="270">
        <v>0</v>
      </c>
      <c r="F568" s="270"/>
      <c r="G568" s="271"/>
      <c r="H568" s="271"/>
      <c r="I568" s="285"/>
      <c r="J568" s="271"/>
    </row>
    <row r="569" spans="2:10" ht="15.75" customHeight="1" outlineLevel="3" x14ac:dyDescent="0.25">
      <c r="B569" s="572" t="str">
        <f>IF(ISBLANK(dms_E2_Projects_13),"",dms_E2_Projects_13)</f>
        <v>S_MRB_CY24_PASADENA</v>
      </c>
      <c r="C569" s="538"/>
      <c r="D569" s="285">
        <v>0</v>
      </c>
      <c r="E569" s="270">
        <v>0</v>
      </c>
      <c r="F569" s="270"/>
      <c r="G569" s="271"/>
      <c r="H569" s="271"/>
      <c r="I569" s="285"/>
      <c r="J569" s="271"/>
    </row>
    <row r="570" spans="2:10" ht="15.75" customHeight="1" outlineLevel="3" x14ac:dyDescent="0.25">
      <c r="B570" s="572" t="str">
        <f>IF(ISBLANK(dms_E2_Projects_14),"",dms_E2_Projects_14)</f>
        <v>S_MRB_CY24_ROSTREVOR</v>
      </c>
      <c r="C570" s="538"/>
      <c r="D570" s="285">
        <v>0</v>
      </c>
      <c r="E570" s="270">
        <v>0</v>
      </c>
      <c r="F570" s="270"/>
      <c r="G570" s="271"/>
      <c r="H570" s="271"/>
      <c r="I570" s="285"/>
      <c r="J570" s="271"/>
    </row>
    <row r="571" spans="2:10" ht="15.75" customHeight="1" outlineLevel="3" x14ac:dyDescent="0.25">
      <c r="B571" s="572" t="str">
        <f>IF(ISBLANK(dms_E2_Projects_15),"",dms_E2_Projects_15)</f>
        <v>S_MRB_CY24_WOODVILLE_PARK</v>
      </c>
      <c r="C571" s="538"/>
      <c r="D571" s="285">
        <v>0</v>
      </c>
      <c r="E571" s="270">
        <v>0</v>
      </c>
      <c r="F571" s="270"/>
      <c r="G571" s="271"/>
      <c r="H571" s="271"/>
      <c r="I571" s="285"/>
      <c r="J571" s="271"/>
    </row>
    <row r="572" spans="2:10" ht="15.75" customHeight="1" outlineLevel="3" x14ac:dyDescent="0.25">
      <c r="B572" s="536" t="str">
        <f>IF(ISBLANK(dms_E2_Projects_16),"",dms_E2_Projects_16)</f>
        <v>S_MRB_CY24_PORT_ADELAIDE_A</v>
      </c>
      <c r="C572" s="573"/>
      <c r="D572" s="556">
        <v>0</v>
      </c>
      <c r="E572" s="324">
        <v>0</v>
      </c>
      <c r="F572" s="324"/>
      <c r="G572" s="557"/>
      <c r="H572" s="557"/>
      <c r="I572" s="556"/>
      <c r="J572" s="557"/>
    </row>
    <row r="573" spans="2:10" ht="15.75" customHeight="1" outlineLevel="3" x14ac:dyDescent="0.25">
      <c r="B573" s="541" t="str">
        <f>IF(ISBLANK(dms_E2_Projects_17),"",dms_E2_Projects_17)</f>
        <v>S_MRB_CY25_Edwardstown A</v>
      </c>
      <c r="C573" s="573"/>
      <c r="D573" s="556">
        <v>0</v>
      </c>
      <c r="E573" s="324">
        <v>0</v>
      </c>
      <c r="F573" s="324"/>
      <c r="G573" s="557"/>
      <c r="H573" s="557"/>
      <c r="I573" s="556"/>
      <c r="J573" s="557"/>
    </row>
    <row r="574" spans="2:10" ht="15.75" customHeight="1" outlineLevel="3" x14ac:dyDescent="0.25">
      <c r="B574" s="541" t="str">
        <f>IF(ISBLANK(dms_E2_Projects_18),"",dms_E2_Projects_18)</f>
        <v>S_MRB_CY25_Burnside A</v>
      </c>
      <c r="C574" s="573"/>
      <c r="D574" s="556">
        <v>0</v>
      </c>
      <c r="E574" s="324">
        <v>0</v>
      </c>
      <c r="F574" s="324"/>
      <c r="G574" s="557"/>
      <c r="H574" s="557"/>
      <c r="I574" s="556"/>
      <c r="J574" s="557"/>
    </row>
    <row r="575" spans="2:10" ht="15.75" customHeight="1" outlineLevel="3" x14ac:dyDescent="0.25">
      <c r="B575" s="541" t="str">
        <f>IF(ISBLANK(dms_E2_Projects_19),"",dms_E2_Projects_19)</f>
        <v>S_MRB_CY25_Auldana_A</v>
      </c>
      <c r="C575" s="573"/>
      <c r="D575" s="556">
        <v>0</v>
      </c>
      <c r="E575" s="324">
        <v>0</v>
      </c>
      <c r="F575" s="324"/>
      <c r="G575" s="557"/>
      <c r="H575" s="557"/>
      <c r="I575" s="556"/>
      <c r="J575" s="557"/>
    </row>
    <row r="576" spans="2:10" ht="15.75" customHeight="1" outlineLevel="3" x14ac:dyDescent="0.25">
      <c r="B576" s="541" t="str">
        <f>IF(ISBLANK(dms_E2_Projects_20),"",dms_E2_Projects_20)</f>
        <v>S_MRB_CY25_Devon Park</v>
      </c>
      <c r="C576" s="573"/>
      <c r="D576" s="556">
        <v>0</v>
      </c>
      <c r="E576" s="324">
        <v>0</v>
      </c>
      <c r="F576" s="324"/>
      <c r="G576" s="557"/>
      <c r="H576" s="557"/>
      <c r="I576" s="556"/>
      <c r="J576" s="557"/>
    </row>
    <row r="577" spans="2:10" ht="15.75" customHeight="1" outlineLevel="3" x14ac:dyDescent="0.25">
      <c r="B577" s="541" t="str">
        <f>IF(ISBLANK(dms_E2_Projects_21),"",dms_E2_Projects_21)</f>
        <v>S_MRB_CY25_Gilles Plains</v>
      </c>
      <c r="C577" s="573"/>
      <c r="D577" s="556">
        <v>0</v>
      </c>
      <c r="E577" s="324">
        <v>0</v>
      </c>
      <c r="F577" s="324"/>
      <c r="G577" s="557"/>
      <c r="H577" s="557"/>
      <c r="I577" s="556"/>
      <c r="J577" s="557"/>
    </row>
    <row r="578" spans="2:10" ht="15.75" customHeight="1" outlineLevel="3" x14ac:dyDescent="0.25">
      <c r="B578" s="541" t="str">
        <f>IF(ISBLANK(dms_E2_Projects_22),"",dms_E2_Projects_22)</f>
        <v>S_MRB_CY25_Ingle Farm A</v>
      </c>
      <c r="C578" s="573"/>
      <c r="D578" s="556">
        <v>0</v>
      </c>
      <c r="E578" s="324">
        <v>0</v>
      </c>
      <c r="F578" s="324"/>
      <c r="G578" s="557"/>
      <c r="H578" s="557"/>
      <c r="I578" s="556"/>
      <c r="J578" s="557"/>
    </row>
    <row r="579" spans="2:10" ht="15.75" customHeight="1" outlineLevel="3" x14ac:dyDescent="0.25">
      <c r="B579" s="541" t="str">
        <f>IF(ISBLANK(dms_E2_Projects_23),"",dms_E2_Projects_23)</f>
        <v>S_MRB_CY25_Ingle Farm B</v>
      </c>
      <c r="C579" s="573"/>
      <c r="D579" s="556">
        <v>0</v>
      </c>
      <c r="E579" s="324">
        <v>0</v>
      </c>
      <c r="F579" s="324"/>
      <c r="G579" s="557"/>
      <c r="H579" s="557"/>
      <c r="I579" s="556"/>
      <c r="J579" s="557"/>
    </row>
    <row r="580" spans="2:10" ht="15.75" customHeight="1" outlineLevel="3" x14ac:dyDescent="0.25">
      <c r="B580" s="541" t="str">
        <f>IF(ISBLANK(dms_E2_Projects_24),"",dms_E2_Projects_24)</f>
        <v>S_MRB_CY25_Para Hills West</v>
      </c>
      <c r="C580" s="573"/>
      <c r="D580" s="556">
        <v>0</v>
      </c>
      <c r="E580" s="324">
        <v>0</v>
      </c>
      <c r="F580" s="324"/>
      <c r="G580" s="557"/>
      <c r="H580" s="557"/>
      <c r="I580" s="556"/>
      <c r="J580" s="557"/>
    </row>
    <row r="581" spans="2:10" ht="15.75" customHeight="1" outlineLevel="3" x14ac:dyDescent="0.25">
      <c r="B581" s="541" t="str">
        <f>IF(ISBLANK(dms_E2_Projects_25),"",dms_E2_Projects_25)</f>
        <v>S_MRB_CY25_Para Vista A</v>
      </c>
      <c r="C581" s="573"/>
      <c r="D581" s="556">
        <v>0</v>
      </c>
      <c r="E581" s="324">
        <v>0</v>
      </c>
      <c r="F581" s="324"/>
      <c r="G581" s="557"/>
      <c r="H581" s="557"/>
      <c r="I581" s="556"/>
      <c r="J581" s="557"/>
    </row>
    <row r="582" spans="2:10" ht="15.75" customHeight="1" outlineLevel="3" x14ac:dyDescent="0.25">
      <c r="B582" s="541" t="str">
        <f>IF(ISBLANK(dms_E2_Projects_26),"",dms_E2_Projects_26)</f>
        <v>HDPE 575 Camera Inspection and sampling</v>
      </c>
      <c r="C582" s="573"/>
      <c r="D582" s="556">
        <v>0</v>
      </c>
      <c r="E582" s="324">
        <v>0</v>
      </c>
      <c r="F582" s="324"/>
      <c r="G582" s="557"/>
      <c r="H582" s="557"/>
      <c r="I582" s="556"/>
      <c r="J582" s="557"/>
    </row>
    <row r="583" spans="2:10" ht="15.75" customHeight="1" outlineLevel="3" x14ac:dyDescent="0.25">
      <c r="B583" s="541" t="str">
        <f>IF(ISBLANK(dms_E2_Projects_27),"",dms_E2_Projects_27)</f>
        <v>Steel Mains Replacement</v>
      </c>
      <c r="C583" s="573"/>
      <c r="D583" s="556"/>
      <c r="E583" s="324"/>
      <c r="F583" s="324"/>
      <c r="G583" s="557"/>
      <c r="H583" s="557"/>
      <c r="I583" s="556"/>
      <c r="J583" s="557"/>
    </row>
    <row r="584" spans="2:10" ht="15.75" customHeight="1" outlineLevel="3" x14ac:dyDescent="0.25">
      <c r="B584" s="541" t="str">
        <f>IF(ISBLANK(dms_E2_Projects_28),"",dms_E2_Projects_28)</f>
        <v>Multi User Sites (MUS) renewal</v>
      </c>
      <c r="C584" s="573"/>
      <c r="D584" s="556"/>
      <c r="E584" s="324"/>
      <c r="F584" s="324"/>
      <c r="G584" s="557"/>
      <c r="H584" s="557"/>
      <c r="I584" s="556"/>
      <c r="J584" s="557"/>
    </row>
    <row r="585" spans="2:10" ht="15.75" customHeight="1" outlineLevel="3" x14ac:dyDescent="0.25">
      <c r="B585" s="541" t="str">
        <f>IF(ISBLANK(dms_E2_Projects_29),"",dms_E2_Projects_29)</f>
        <v/>
      </c>
      <c r="C585" s="573"/>
      <c r="D585" s="556"/>
      <c r="E585" s="324"/>
      <c r="F585" s="324"/>
      <c r="G585" s="557"/>
      <c r="H585" s="557"/>
      <c r="I585" s="556"/>
      <c r="J585" s="557"/>
    </row>
    <row r="586" spans="2:10" ht="15.75" customHeight="1" outlineLevel="3" x14ac:dyDescent="0.25">
      <c r="B586" s="541" t="str">
        <f>IF(ISBLANK(dms_E2_Projects_30),"",dms_E2_Projects_30)</f>
        <v/>
      </c>
      <c r="C586" s="573"/>
      <c r="D586" s="556"/>
      <c r="E586" s="324"/>
      <c r="F586" s="324"/>
      <c r="G586" s="557"/>
      <c r="H586" s="557"/>
      <c r="I586" s="556"/>
      <c r="J586" s="557"/>
    </row>
    <row r="587" spans="2:10" ht="15.75" customHeight="1" outlineLevel="3" x14ac:dyDescent="0.25">
      <c r="B587" s="541" t="str">
        <f>IF(ISBLANK(dms_E2_Projects_31),"",dms_E2_Projects_31)</f>
        <v/>
      </c>
      <c r="C587" s="573"/>
      <c r="D587" s="556"/>
      <c r="E587" s="324"/>
      <c r="F587" s="324"/>
      <c r="G587" s="557"/>
      <c r="H587" s="557"/>
      <c r="I587" s="556"/>
      <c r="J587" s="557"/>
    </row>
    <row r="588" spans="2:10" ht="15.75" customHeight="1" outlineLevel="3" x14ac:dyDescent="0.25">
      <c r="B588" s="541" t="str">
        <f>IF(ISBLANK(dms_E2_Projects_32),"",dms_E2_Projects_32)</f>
        <v/>
      </c>
      <c r="C588" s="573"/>
      <c r="D588" s="556"/>
      <c r="E588" s="324"/>
      <c r="F588" s="324"/>
      <c r="G588" s="557"/>
      <c r="H588" s="557"/>
      <c r="I588" s="556"/>
      <c r="J588" s="557"/>
    </row>
    <row r="589" spans="2:10" ht="15.75" customHeight="1" outlineLevel="3" x14ac:dyDescent="0.25">
      <c r="B589" s="541" t="str">
        <f>IF(ISBLANK(dms_E2_Projects_33),"",dms_E2_Projects_33)</f>
        <v/>
      </c>
      <c r="C589" s="573"/>
      <c r="D589" s="556"/>
      <c r="E589" s="324"/>
      <c r="F589" s="324"/>
      <c r="G589" s="557"/>
      <c r="H589" s="557"/>
      <c r="I589" s="556"/>
      <c r="J589" s="557"/>
    </row>
    <row r="590" spans="2:10" ht="15.75" customHeight="1" outlineLevel="3" x14ac:dyDescent="0.25">
      <c r="B590" s="541" t="str">
        <f>IF(ISBLANK(dms_E2_Projects_34),"",dms_E2_Projects_34)</f>
        <v/>
      </c>
      <c r="C590" s="573"/>
      <c r="D590" s="556"/>
      <c r="E590" s="324"/>
      <c r="F590" s="324"/>
      <c r="G590" s="557"/>
      <c r="H590" s="557"/>
      <c r="I590" s="556"/>
      <c r="J590" s="557"/>
    </row>
    <row r="591" spans="2:10" ht="15.75" customHeight="1" outlineLevel="3" x14ac:dyDescent="0.25">
      <c r="B591" s="541" t="str">
        <f>IF(ISBLANK(dms_E2_Projects_35),"",dms_E2_Projects_35)</f>
        <v/>
      </c>
      <c r="C591" s="573"/>
      <c r="D591" s="556"/>
      <c r="E591" s="324"/>
      <c r="F591" s="324"/>
      <c r="G591" s="557"/>
      <c r="H591" s="557"/>
      <c r="I591" s="556"/>
      <c r="J591" s="557"/>
    </row>
    <row r="592" spans="2:10" ht="15.75" customHeight="1" outlineLevel="3" x14ac:dyDescent="0.25">
      <c r="B592" s="541" t="str">
        <f>IF(ISBLANK(dms_E2_Projects_36),"",dms_E2_Projects_36)</f>
        <v/>
      </c>
      <c r="C592" s="573"/>
      <c r="D592" s="556"/>
      <c r="E592" s="324"/>
      <c r="F592" s="324"/>
      <c r="G592" s="557"/>
      <c r="H592" s="557"/>
      <c r="I592" s="556"/>
      <c r="J592" s="557"/>
    </row>
    <row r="593" spans="2:10" ht="15.75" customHeight="1" outlineLevel="3" x14ac:dyDescent="0.25">
      <c r="B593" s="541" t="str">
        <f>IF(ISBLANK(dms_E2_Projects_37),"",dms_E2_Projects_37)</f>
        <v/>
      </c>
      <c r="C593" s="573"/>
      <c r="D593" s="556"/>
      <c r="E593" s="324"/>
      <c r="F593" s="324"/>
      <c r="G593" s="557"/>
      <c r="H593" s="557"/>
      <c r="I593" s="556"/>
      <c r="J593" s="557"/>
    </row>
    <row r="594" spans="2:10" ht="15.75" customHeight="1" outlineLevel="3" x14ac:dyDescent="0.25">
      <c r="B594" s="541" t="str">
        <f>IF(ISBLANK(dms_E2_Projects_38),"",dms_E2_Projects_38)</f>
        <v/>
      </c>
      <c r="C594" s="573"/>
      <c r="D594" s="556"/>
      <c r="E594" s="324"/>
      <c r="F594" s="324"/>
      <c r="G594" s="557"/>
      <c r="H594" s="557"/>
      <c r="I594" s="556"/>
      <c r="J594" s="557"/>
    </row>
    <row r="595" spans="2:10" ht="15.75" customHeight="1" outlineLevel="3" x14ac:dyDescent="0.25">
      <c r="B595" s="541" t="str">
        <f>IF(ISBLANK(dms_E2_Projects_39),"",dms_E2_Projects_39)</f>
        <v/>
      </c>
      <c r="C595" s="573"/>
      <c r="D595" s="556"/>
      <c r="E595" s="324"/>
      <c r="F595" s="324"/>
      <c r="G595" s="557"/>
      <c r="H595" s="557"/>
      <c r="I595" s="556"/>
      <c r="J595" s="557"/>
    </row>
    <row r="596" spans="2:10" ht="15.75" customHeight="1" outlineLevel="3" x14ac:dyDescent="0.25">
      <c r="B596" s="541" t="str">
        <f>IF(ISBLANK(dms_E2_Projects_40),"",dms_E2_Projects_40)</f>
        <v/>
      </c>
      <c r="C596" s="573"/>
      <c r="D596" s="556"/>
      <c r="E596" s="324"/>
      <c r="F596" s="324"/>
      <c r="G596" s="557"/>
      <c r="H596" s="557"/>
      <c r="I596" s="556"/>
      <c r="J596" s="557"/>
    </row>
    <row r="597" spans="2:10" ht="15.75" customHeight="1" outlineLevel="3" x14ac:dyDescent="0.25">
      <c r="B597" s="541" t="str">
        <f>IF(ISBLANK(dms_E2_Projects_41),"",dms_E2_Projects_41)</f>
        <v/>
      </c>
      <c r="C597" s="573"/>
      <c r="D597" s="556"/>
      <c r="E597" s="324"/>
      <c r="F597" s="324"/>
      <c r="G597" s="557"/>
      <c r="H597" s="557"/>
      <c r="I597" s="556"/>
      <c r="J597" s="557"/>
    </row>
    <row r="598" spans="2:10" ht="15.75" customHeight="1" outlineLevel="3" x14ac:dyDescent="0.25">
      <c r="B598" s="541" t="str">
        <f>IF(ISBLANK(dms_E2_Projects_42),"",dms_E2_Projects_42)</f>
        <v/>
      </c>
      <c r="C598" s="573"/>
      <c r="D598" s="556"/>
      <c r="E598" s="324"/>
      <c r="F598" s="324"/>
      <c r="G598" s="557"/>
      <c r="H598" s="557"/>
      <c r="I598" s="556"/>
      <c r="J598" s="557"/>
    </row>
    <row r="599" spans="2:10" ht="15.75" customHeight="1" outlineLevel="3" x14ac:dyDescent="0.25">
      <c r="B599" s="541" t="str">
        <f>IF(ISBLANK(dms_E2_Projects_43),"",dms_E2_Projects_43)</f>
        <v/>
      </c>
      <c r="C599" s="573"/>
      <c r="D599" s="556"/>
      <c r="E599" s="324"/>
      <c r="F599" s="324"/>
      <c r="G599" s="557"/>
      <c r="H599" s="557"/>
      <c r="I599" s="556"/>
      <c r="J599" s="557"/>
    </row>
    <row r="600" spans="2:10" ht="15.75" customHeight="1" outlineLevel="3" x14ac:dyDescent="0.25">
      <c r="B600" s="541" t="str">
        <f>IF(ISBLANK(dms_E2_Projects_44),"",dms_E2_Projects_44)</f>
        <v/>
      </c>
      <c r="C600" s="573"/>
      <c r="D600" s="556"/>
      <c r="E600" s="324"/>
      <c r="F600" s="324"/>
      <c r="G600" s="557"/>
      <c r="H600" s="557"/>
      <c r="I600" s="556"/>
      <c r="J600" s="557"/>
    </row>
    <row r="601" spans="2:10" ht="15.75" customHeight="1" outlineLevel="3" x14ac:dyDescent="0.25">
      <c r="B601" s="541" t="str">
        <f>IF(ISBLANK(dms_E2_Projects_45),"",dms_E2_Projects_45)</f>
        <v/>
      </c>
      <c r="C601" s="573"/>
      <c r="D601" s="556"/>
      <c r="E601" s="324"/>
      <c r="F601" s="324"/>
      <c r="G601" s="557"/>
      <c r="H601" s="557"/>
      <c r="I601" s="556"/>
      <c r="J601" s="557"/>
    </row>
    <row r="602" spans="2:10" ht="15.75" customHeight="1" outlineLevel="3" x14ac:dyDescent="0.25">
      <c r="B602" s="541" t="str">
        <f>IF(ISBLANK(dms_E2_Projects_46),"",dms_E2_Projects_46)</f>
        <v/>
      </c>
      <c r="C602" s="573"/>
      <c r="D602" s="556"/>
      <c r="E602" s="324"/>
      <c r="F602" s="324"/>
      <c r="G602" s="557"/>
      <c r="H602" s="557"/>
      <c r="I602" s="556"/>
      <c r="J602" s="557"/>
    </row>
    <row r="603" spans="2:10" ht="15.75" customHeight="1" outlineLevel="3" x14ac:dyDescent="0.25">
      <c r="B603" s="541" t="str">
        <f>IF(ISBLANK(dms_E2_Projects_47),"",dms_E2_Projects_47)</f>
        <v/>
      </c>
      <c r="C603" s="573"/>
      <c r="D603" s="556"/>
      <c r="E603" s="324"/>
      <c r="F603" s="324"/>
      <c r="G603" s="557"/>
      <c r="H603" s="557"/>
      <c r="I603" s="556"/>
      <c r="J603" s="557"/>
    </row>
    <row r="604" spans="2:10" ht="15.75" customHeight="1" outlineLevel="3" x14ac:dyDescent="0.25">
      <c r="B604" s="541" t="str">
        <f>IF(ISBLANK(dms_E2_Projects_48),"",dms_E2_Projects_48)</f>
        <v/>
      </c>
      <c r="C604" s="573"/>
      <c r="D604" s="556"/>
      <c r="E604" s="324"/>
      <c r="F604" s="324"/>
      <c r="G604" s="557"/>
      <c r="H604" s="557"/>
      <c r="I604" s="556"/>
      <c r="J604" s="557"/>
    </row>
    <row r="605" spans="2:10" ht="15.75" customHeight="1" outlineLevel="3" x14ac:dyDescent="0.25">
      <c r="B605" s="541" t="str">
        <f>IF(ISBLANK(dms_E2_Projects_49),"",dms_E2_Projects_49)</f>
        <v/>
      </c>
      <c r="C605" s="573"/>
      <c r="D605" s="556"/>
      <c r="E605" s="324"/>
      <c r="F605" s="324"/>
      <c r="G605" s="557"/>
      <c r="H605" s="557"/>
      <c r="I605" s="556"/>
      <c r="J605" s="557"/>
    </row>
    <row r="606" spans="2:10" ht="15.75" customHeight="1" outlineLevel="3" x14ac:dyDescent="0.25">
      <c r="B606" s="541" t="str">
        <f>IF(ISBLANK(dms_E2_Projects_50),"",dms_E2_Projects_50)</f>
        <v/>
      </c>
      <c r="C606" s="573"/>
      <c r="D606" s="556"/>
      <c r="E606" s="324"/>
      <c r="F606" s="324"/>
      <c r="G606" s="557"/>
      <c r="H606" s="557"/>
      <c r="I606" s="556"/>
      <c r="J606" s="557"/>
    </row>
    <row r="607" spans="2:10" ht="15.75" customHeight="1" outlineLevel="3" thickBot="1" x14ac:dyDescent="0.3">
      <c r="B607" s="574" t="s">
        <v>152</v>
      </c>
      <c r="C607" s="543"/>
      <c r="D607" s="287">
        <v>0</v>
      </c>
      <c r="E607" s="273">
        <v>0</v>
      </c>
      <c r="F607" s="273"/>
      <c r="G607" s="274"/>
      <c r="H607" s="274"/>
      <c r="I607" s="287"/>
      <c r="J607" s="274"/>
    </row>
    <row r="608" spans="2:10" ht="15.75" customHeight="1" outlineLevel="3" thickBot="1" x14ac:dyDescent="0.3">
      <c r="B608" s="544"/>
      <c r="C608" s="545" t="s">
        <v>120</v>
      </c>
      <c r="D608" s="545">
        <f>SUM(D557:D607)</f>
        <v>7800</v>
      </c>
      <c r="E608" s="545">
        <f t="shared" ref="E608:J608" si="51">SUM(E557:E607)</f>
        <v>0</v>
      </c>
      <c r="F608" s="545">
        <f t="shared" si="51"/>
        <v>0</v>
      </c>
      <c r="G608" s="545">
        <f t="shared" si="51"/>
        <v>0</v>
      </c>
      <c r="H608" s="545">
        <f t="shared" si="51"/>
        <v>0</v>
      </c>
      <c r="I608" s="545">
        <f t="shared" si="51"/>
        <v>0</v>
      </c>
      <c r="J608" s="545">
        <f t="shared" si="51"/>
        <v>0</v>
      </c>
    </row>
    <row r="609" spans="2:10" ht="15.75" outlineLevel="2" thickBot="1" x14ac:dyDescent="0.3">
      <c r="B609" s="75"/>
    </row>
    <row r="610" spans="2:10" ht="20.25" customHeight="1" outlineLevel="2" thickBot="1" x14ac:dyDescent="0.3">
      <c r="B610" s="250" t="s">
        <v>156</v>
      </c>
      <c r="C610" s="251"/>
      <c r="D610" s="251"/>
      <c r="E610" s="251"/>
      <c r="F610" s="251"/>
      <c r="G610" s="251"/>
      <c r="H610" s="251"/>
      <c r="I610" s="251"/>
      <c r="J610" s="251"/>
    </row>
    <row r="611" spans="2:10" ht="15.75" customHeight="1" outlineLevel="3" x14ac:dyDescent="0.25">
      <c r="B611" s="572" t="str">
        <f>IF(ISBLANK(dms_E2_Projects_01),"",dms_E2_Projects_01)</f>
        <v>S_MRH575_CY23 North West</v>
      </c>
      <c r="C611" s="537"/>
      <c r="D611" s="285"/>
      <c r="E611" s="270"/>
      <c r="F611" s="270"/>
      <c r="G611" s="271"/>
      <c r="H611" s="271"/>
      <c r="I611" s="285"/>
      <c r="J611" s="271"/>
    </row>
    <row r="612" spans="2:10" ht="15.75" customHeight="1" outlineLevel="3" x14ac:dyDescent="0.25">
      <c r="B612" s="572" t="str">
        <f>IF(ISBLANK(dms_E2_Projects_02),"",dms_E2_Projects_02)</f>
        <v>S_MRH575_CY24 HDPE575 South</v>
      </c>
      <c r="C612" s="538"/>
      <c r="D612" s="285"/>
      <c r="E612" s="270"/>
      <c r="F612" s="270"/>
      <c r="G612" s="271"/>
      <c r="H612" s="271"/>
      <c r="I612" s="285"/>
      <c r="J612" s="271"/>
    </row>
    <row r="613" spans="2:10" ht="15.75" customHeight="1" outlineLevel="3" x14ac:dyDescent="0.25">
      <c r="B613" s="572" t="str">
        <f>IF(ISBLANK(dms_E2_Projects_03),"",dms_E2_Projects_03)</f>
        <v>S_MRH575_CY24 GoldenGroveB</v>
      </c>
      <c r="C613" s="538"/>
      <c r="D613" s="285"/>
      <c r="E613" s="270"/>
      <c r="F613" s="270"/>
      <c r="G613" s="271"/>
      <c r="H613" s="271"/>
      <c r="I613" s="285"/>
      <c r="J613" s="271"/>
    </row>
    <row r="614" spans="2:10" ht="15.75" customHeight="1" outlineLevel="3" x14ac:dyDescent="0.25">
      <c r="B614" s="572" t="str">
        <f>IF(ISBLANK(dms_E2_Projects_04),"",dms_E2_Projects_04)</f>
        <v>S_MRH575_CY24_PortPirie_1</v>
      </c>
      <c r="C614" s="538"/>
      <c r="D614" s="285"/>
      <c r="E614" s="270"/>
      <c r="F614" s="270"/>
      <c r="G614" s="271"/>
      <c r="H614" s="271"/>
      <c r="I614" s="285"/>
      <c r="J614" s="271"/>
    </row>
    <row r="615" spans="2:10" ht="15.75" customHeight="1" outlineLevel="3" x14ac:dyDescent="0.25">
      <c r="B615" s="572" t="str">
        <f>IF(ISBLANK(dms_E2_Projects_05),"",dms_E2_Projects_05)</f>
        <v>S_MRH575_CY24_SHEIDOW_PARK</v>
      </c>
      <c r="C615" s="538"/>
      <c r="D615" s="285"/>
      <c r="E615" s="270"/>
      <c r="F615" s="270"/>
      <c r="G615" s="271"/>
      <c r="H615" s="271"/>
      <c r="I615" s="285"/>
      <c r="J615" s="271"/>
    </row>
    <row r="616" spans="2:10" ht="15.75" customHeight="1" outlineLevel="3" x14ac:dyDescent="0.25">
      <c r="B616" s="572" t="str">
        <f>IF(ISBLANK(dms_E2_Projects_06),"",dms_E2_Projects_06)</f>
        <v>S_MRH575_CY24_ONKAPARINGAHILLS</v>
      </c>
      <c r="C616" s="538"/>
      <c r="D616" s="285"/>
      <c r="E616" s="270"/>
      <c r="F616" s="270"/>
      <c r="G616" s="271"/>
      <c r="H616" s="271"/>
      <c r="I616" s="285"/>
      <c r="J616" s="271"/>
    </row>
    <row r="617" spans="2:10" ht="15.75" customHeight="1" outlineLevel="3" x14ac:dyDescent="0.25">
      <c r="B617" s="572" t="str">
        <f>IF(ISBLANK(dms_E2_Projects_07),"",dms_E2_Projects_07)</f>
        <v>S_MRH575_CY25_Aberfoyle Park</v>
      </c>
      <c r="C617" s="538"/>
      <c r="D617" s="285"/>
      <c r="E617" s="270"/>
      <c r="F617" s="270"/>
      <c r="G617" s="271"/>
      <c r="H617" s="271"/>
      <c r="I617" s="285"/>
      <c r="J617" s="271"/>
    </row>
    <row r="618" spans="2:10" ht="15.75" customHeight="1" outlineLevel="3" x14ac:dyDescent="0.25">
      <c r="B618" s="572" t="str">
        <f>IF(ISBLANK(dms_E2_Projects_08),"",dms_E2_Projects_08)</f>
        <v>2362_MAINS RENEWAL - HDPE 575</v>
      </c>
      <c r="C618" s="538"/>
      <c r="D618" s="285"/>
      <c r="E618" s="270"/>
      <c r="F618" s="270"/>
      <c r="G618" s="271"/>
      <c r="H618" s="271"/>
      <c r="I618" s="285"/>
      <c r="J618" s="271"/>
    </row>
    <row r="619" spans="2:10" ht="15.75" customHeight="1" outlineLevel="3" x14ac:dyDescent="0.25">
      <c r="B619" s="572" t="str">
        <f>IF(ISBLANK(dms_E2_Projects_09),"",dms_E2_Projects_09)</f>
        <v>S_MRB_CY21 Semaphore</v>
      </c>
      <c r="C619" s="538"/>
      <c r="D619" s="285"/>
      <c r="E619" s="270"/>
      <c r="F619" s="270"/>
      <c r="G619" s="271"/>
      <c r="H619" s="271"/>
      <c r="I619" s="285"/>
      <c r="J619" s="271"/>
    </row>
    <row r="620" spans="2:10" ht="15.75" customHeight="1" outlineLevel="3" x14ac:dyDescent="0.25">
      <c r="B620" s="572" t="str">
        <f>IF(ISBLANK(dms_E2_Projects_10),"",dms_E2_Projects_10)</f>
        <v>2366_S_MRB_CY24_North Adelaide_C</v>
      </c>
      <c r="C620" s="538"/>
      <c r="D620" s="285"/>
      <c r="E620" s="270"/>
      <c r="F620" s="270"/>
      <c r="G620" s="271"/>
      <c r="H620" s="271"/>
      <c r="I620" s="285"/>
      <c r="J620" s="271"/>
    </row>
    <row r="621" spans="2:10" ht="15.75" customHeight="1" outlineLevel="3" x14ac:dyDescent="0.25">
      <c r="B621" s="572" t="str">
        <f>IF(ISBLANK(dms_E2_Projects_11),"",dms_E2_Projects_11)</f>
        <v>S_MRB_CY24_Semaphore_Sth</v>
      </c>
      <c r="C621" s="538"/>
      <c r="D621" s="285"/>
      <c r="E621" s="270"/>
      <c r="F621" s="270"/>
      <c r="G621" s="271"/>
      <c r="H621" s="271"/>
      <c r="I621" s="285"/>
      <c r="J621" s="271"/>
    </row>
    <row r="622" spans="2:10" ht="15.75" customHeight="1" outlineLevel="3" x14ac:dyDescent="0.25">
      <c r="B622" s="572" t="str">
        <f>IF(ISBLANK(dms_E2_Projects_12),"",dms_E2_Projects_12)</f>
        <v>S_MRB_CY24_Millswood</v>
      </c>
      <c r="C622" s="538"/>
      <c r="D622" s="285"/>
      <c r="E622" s="270"/>
      <c r="F622" s="270"/>
      <c r="G622" s="271"/>
      <c r="H622" s="271"/>
      <c r="I622" s="285"/>
      <c r="J622" s="271"/>
    </row>
    <row r="623" spans="2:10" ht="15.75" customHeight="1" outlineLevel="3" x14ac:dyDescent="0.25">
      <c r="B623" s="572" t="str">
        <f>IF(ISBLANK(dms_E2_Projects_13),"",dms_E2_Projects_13)</f>
        <v>S_MRB_CY24_PASADENA</v>
      </c>
      <c r="C623" s="538"/>
      <c r="D623" s="285"/>
      <c r="E623" s="270"/>
      <c r="F623" s="270"/>
      <c r="G623" s="271"/>
      <c r="H623" s="271"/>
      <c r="I623" s="285"/>
      <c r="J623" s="271"/>
    </row>
    <row r="624" spans="2:10" ht="15.75" customHeight="1" outlineLevel="3" x14ac:dyDescent="0.25">
      <c r="B624" s="572" t="str">
        <f>IF(ISBLANK(dms_E2_Projects_14),"",dms_E2_Projects_14)</f>
        <v>S_MRB_CY24_ROSTREVOR</v>
      </c>
      <c r="C624" s="538"/>
      <c r="D624" s="285"/>
      <c r="E624" s="270"/>
      <c r="F624" s="270"/>
      <c r="G624" s="271"/>
      <c r="H624" s="271"/>
      <c r="I624" s="285"/>
      <c r="J624" s="271"/>
    </row>
    <row r="625" spans="2:10" ht="15.75" customHeight="1" outlineLevel="3" x14ac:dyDescent="0.25">
      <c r="B625" s="572" t="str">
        <f>IF(ISBLANK(dms_E2_Projects_15),"",dms_E2_Projects_15)</f>
        <v>S_MRB_CY24_WOODVILLE_PARK</v>
      </c>
      <c r="C625" s="538"/>
      <c r="D625" s="285"/>
      <c r="E625" s="270"/>
      <c r="F625" s="270"/>
      <c r="G625" s="271"/>
      <c r="H625" s="271"/>
      <c r="I625" s="285"/>
      <c r="J625" s="271"/>
    </row>
    <row r="626" spans="2:10" ht="15.75" customHeight="1" outlineLevel="3" x14ac:dyDescent="0.25">
      <c r="B626" s="536" t="str">
        <f>IF(ISBLANK(dms_E2_Projects_16),"",dms_E2_Projects_16)</f>
        <v>S_MRB_CY24_PORT_ADELAIDE_A</v>
      </c>
      <c r="C626" s="573"/>
      <c r="D626" s="556"/>
      <c r="E626" s="324"/>
      <c r="F626" s="324"/>
      <c r="G626" s="557"/>
      <c r="H626" s="557"/>
      <c r="I626" s="556"/>
      <c r="J626" s="557"/>
    </row>
    <row r="627" spans="2:10" ht="15.75" customHeight="1" outlineLevel="3" x14ac:dyDescent="0.25">
      <c r="B627" s="541" t="str">
        <f>IF(ISBLANK(dms_E2_Projects_17),"",dms_E2_Projects_17)</f>
        <v>S_MRB_CY25_Edwardstown A</v>
      </c>
      <c r="C627" s="573"/>
      <c r="D627" s="556"/>
      <c r="E627" s="324"/>
      <c r="F627" s="324"/>
      <c r="G627" s="557"/>
      <c r="H627" s="557"/>
      <c r="I627" s="556"/>
      <c r="J627" s="557"/>
    </row>
    <row r="628" spans="2:10" ht="15.75" customHeight="1" outlineLevel="3" x14ac:dyDescent="0.25">
      <c r="B628" s="541" t="str">
        <f>IF(ISBLANK(dms_E2_Projects_18),"",dms_E2_Projects_18)</f>
        <v>S_MRB_CY25_Burnside A</v>
      </c>
      <c r="C628" s="573"/>
      <c r="D628" s="556"/>
      <c r="E628" s="324"/>
      <c r="F628" s="324"/>
      <c r="G628" s="557"/>
      <c r="H628" s="557"/>
      <c r="I628" s="556"/>
      <c r="J628" s="557"/>
    </row>
    <row r="629" spans="2:10" ht="15.75" customHeight="1" outlineLevel="3" x14ac:dyDescent="0.25">
      <c r="B629" s="541" t="str">
        <f>IF(ISBLANK(dms_E2_Projects_19),"",dms_E2_Projects_19)</f>
        <v>S_MRB_CY25_Auldana_A</v>
      </c>
      <c r="C629" s="573"/>
      <c r="D629" s="556"/>
      <c r="E629" s="324"/>
      <c r="F629" s="324"/>
      <c r="G629" s="557"/>
      <c r="H629" s="557"/>
      <c r="I629" s="556"/>
      <c r="J629" s="557"/>
    </row>
    <row r="630" spans="2:10" ht="15.75" customHeight="1" outlineLevel="3" x14ac:dyDescent="0.25">
      <c r="B630" s="541" t="str">
        <f>IF(ISBLANK(dms_E2_Projects_20),"",dms_E2_Projects_20)</f>
        <v>S_MRB_CY25_Devon Park</v>
      </c>
      <c r="C630" s="573"/>
      <c r="D630" s="556"/>
      <c r="E630" s="324"/>
      <c r="F630" s="324"/>
      <c r="G630" s="557"/>
      <c r="H630" s="557"/>
      <c r="I630" s="556"/>
      <c r="J630" s="557"/>
    </row>
    <row r="631" spans="2:10" ht="15.75" customHeight="1" outlineLevel="3" x14ac:dyDescent="0.25">
      <c r="B631" s="541" t="str">
        <f>IF(ISBLANK(dms_E2_Projects_21),"",dms_E2_Projects_21)</f>
        <v>S_MRB_CY25_Gilles Plains</v>
      </c>
      <c r="C631" s="573"/>
      <c r="D631" s="556"/>
      <c r="E631" s="324"/>
      <c r="F631" s="324"/>
      <c r="G631" s="557"/>
      <c r="H631" s="557"/>
      <c r="I631" s="556"/>
      <c r="J631" s="557"/>
    </row>
    <row r="632" spans="2:10" ht="15.75" customHeight="1" outlineLevel="3" x14ac:dyDescent="0.25">
      <c r="B632" s="541" t="str">
        <f>IF(ISBLANK(dms_E2_Projects_22),"",dms_E2_Projects_22)</f>
        <v>S_MRB_CY25_Ingle Farm A</v>
      </c>
      <c r="C632" s="573"/>
      <c r="D632" s="556"/>
      <c r="E632" s="324"/>
      <c r="F632" s="324"/>
      <c r="G632" s="557"/>
      <c r="H632" s="557"/>
      <c r="I632" s="556"/>
      <c r="J632" s="557"/>
    </row>
    <row r="633" spans="2:10" ht="15.75" customHeight="1" outlineLevel="3" x14ac:dyDescent="0.25">
      <c r="B633" s="541" t="str">
        <f>IF(ISBLANK(dms_E2_Projects_23),"",dms_E2_Projects_23)</f>
        <v>S_MRB_CY25_Ingle Farm B</v>
      </c>
      <c r="C633" s="573"/>
      <c r="D633" s="556"/>
      <c r="E633" s="324"/>
      <c r="F633" s="324"/>
      <c r="G633" s="557"/>
      <c r="H633" s="557"/>
      <c r="I633" s="556"/>
      <c r="J633" s="557"/>
    </row>
    <row r="634" spans="2:10" ht="15.75" customHeight="1" outlineLevel="3" x14ac:dyDescent="0.25">
      <c r="B634" s="541" t="str">
        <f>IF(ISBLANK(dms_E2_Projects_24),"",dms_E2_Projects_24)</f>
        <v>S_MRB_CY25_Para Hills West</v>
      </c>
      <c r="C634" s="573"/>
      <c r="D634" s="556"/>
      <c r="E634" s="324"/>
      <c r="F634" s="324"/>
      <c r="G634" s="557"/>
      <c r="H634" s="557"/>
      <c r="I634" s="556"/>
      <c r="J634" s="557"/>
    </row>
    <row r="635" spans="2:10" ht="15.75" customHeight="1" outlineLevel="3" x14ac:dyDescent="0.25">
      <c r="B635" s="541" t="str">
        <f>IF(ISBLANK(dms_E2_Projects_25),"",dms_E2_Projects_25)</f>
        <v>S_MRB_CY25_Para Vista A</v>
      </c>
      <c r="C635" s="573"/>
      <c r="D635" s="556"/>
      <c r="E635" s="324"/>
      <c r="F635" s="324"/>
      <c r="G635" s="557"/>
      <c r="H635" s="557"/>
      <c r="I635" s="556"/>
      <c r="J635" s="557"/>
    </row>
    <row r="636" spans="2:10" ht="15.75" customHeight="1" outlineLevel="3" x14ac:dyDescent="0.25">
      <c r="B636" s="541" t="str">
        <f>IF(ISBLANK(dms_E2_Projects_26),"",dms_E2_Projects_26)</f>
        <v>HDPE 575 Camera Inspection and sampling</v>
      </c>
      <c r="C636" s="573"/>
      <c r="D636" s="556"/>
      <c r="E636" s="324"/>
      <c r="F636" s="324"/>
      <c r="G636" s="557"/>
      <c r="H636" s="557"/>
      <c r="I636" s="556"/>
      <c r="J636" s="557"/>
    </row>
    <row r="637" spans="2:10" ht="15.75" customHeight="1" outlineLevel="3" x14ac:dyDescent="0.25">
      <c r="B637" s="541" t="str">
        <f>IF(ISBLANK(dms_E2_Projects_27),"",dms_E2_Projects_27)</f>
        <v>Steel Mains Replacement</v>
      </c>
      <c r="C637" s="573"/>
      <c r="D637" s="556"/>
      <c r="E637" s="324"/>
      <c r="F637" s="324"/>
      <c r="G637" s="557"/>
      <c r="H637" s="557"/>
      <c r="I637" s="556"/>
      <c r="J637" s="557"/>
    </row>
    <row r="638" spans="2:10" ht="15.75" customHeight="1" outlineLevel="3" x14ac:dyDescent="0.25">
      <c r="B638" s="541" t="str">
        <f>IF(ISBLANK(dms_E2_Projects_28),"",dms_E2_Projects_28)</f>
        <v>Multi User Sites (MUS) renewal</v>
      </c>
      <c r="C638" s="573"/>
      <c r="D638" s="556"/>
      <c r="E638" s="324"/>
      <c r="F638" s="324"/>
      <c r="G638" s="557"/>
      <c r="H638" s="557"/>
      <c r="I638" s="556"/>
      <c r="J638" s="557"/>
    </row>
    <row r="639" spans="2:10" ht="15.75" customHeight="1" outlineLevel="3" x14ac:dyDescent="0.25">
      <c r="B639" s="541" t="str">
        <f>IF(ISBLANK(dms_E2_Projects_29),"",dms_E2_Projects_29)</f>
        <v/>
      </c>
      <c r="C639" s="573"/>
      <c r="D639" s="556"/>
      <c r="E639" s="324"/>
      <c r="F639" s="324"/>
      <c r="G639" s="557"/>
      <c r="H639" s="557"/>
      <c r="I639" s="556"/>
      <c r="J639" s="557"/>
    </row>
    <row r="640" spans="2:10" ht="15.75" customHeight="1" outlineLevel="3" x14ac:dyDescent="0.25">
      <c r="B640" s="541" t="str">
        <f>IF(ISBLANK(dms_E2_Projects_30),"",dms_E2_Projects_30)</f>
        <v/>
      </c>
      <c r="C640" s="573"/>
      <c r="D640" s="556"/>
      <c r="E640" s="324"/>
      <c r="F640" s="324"/>
      <c r="G640" s="557"/>
      <c r="H640" s="557"/>
      <c r="I640" s="556"/>
      <c r="J640" s="557"/>
    </row>
    <row r="641" spans="2:10" ht="15.75" customHeight="1" outlineLevel="3" x14ac:dyDescent="0.25">
      <c r="B641" s="541" t="str">
        <f>IF(ISBLANK(dms_E2_Projects_31),"",dms_E2_Projects_31)</f>
        <v/>
      </c>
      <c r="C641" s="573"/>
      <c r="D641" s="556"/>
      <c r="E641" s="324"/>
      <c r="F641" s="324"/>
      <c r="G641" s="557"/>
      <c r="H641" s="557"/>
      <c r="I641" s="556"/>
      <c r="J641" s="557"/>
    </row>
    <row r="642" spans="2:10" ht="15.75" customHeight="1" outlineLevel="3" x14ac:dyDescent="0.25">
      <c r="B642" s="541" t="str">
        <f>IF(ISBLANK(dms_E2_Projects_32),"",dms_E2_Projects_32)</f>
        <v/>
      </c>
      <c r="C642" s="573"/>
      <c r="D642" s="556"/>
      <c r="E642" s="324"/>
      <c r="F642" s="324"/>
      <c r="G642" s="557"/>
      <c r="H642" s="557"/>
      <c r="I642" s="556"/>
      <c r="J642" s="557"/>
    </row>
    <row r="643" spans="2:10" ht="15.75" customHeight="1" outlineLevel="3" x14ac:dyDescent="0.25">
      <c r="B643" s="541" t="str">
        <f>IF(ISBLANK(dms_E2_Projects_33),"",dms_E2_Projects_33)</f>
        <v/>
      </c>
      <c r="C643" s="573"/>
      <c r="D643" s="556"/>
      <c r="E643" s="324"/>
      <c r="F643" s="324"/>
      <c r="G643" s="557"/>
      <c r="H643" s="557"/>
      <c r="I643" s="556"/>
      <c r="J643" s="557"/>
    </row>
    <row r="644" spans="2:10" ht="15.75" customHeight="1" outlineLevel="3" x14ac:dyDescent="0.25">
      <c r="B644" s="541" t="str">
        <f>IF(ISBLANK(dms_E2_Projects_34),"",dms_E2_Projects_34)</f>
        <v/>
      </c>
      <c r="C644" s="573"/>
      <c r="D644" s="556"/>
      <c r="E644" s="324"/>
      <c r="F644" s="324"/>
      <c r="G644" s="557"/>
      <c r="H644" s="557"/>
      <c r="I644" s="556"/>
      <c r="J644" s="557"/>
    </row>
    <row r="645" spans="2:10" ht="15.75" customHeight="1" outlineLevel="3" x14ac:dyDescent="0.25">
      <c r="B645" s="541" t="str">
        <f>IF(ISBLANK(dms_E2_Projects_35),"",dms_E2_Projects_35)</f>
        <v/>
      </c>
      <c r="C645" s="573"/>
      <c r="D645" s="556"/>
      <c r="E645" s="324"/>
      <c r="F645" s="324"/>
      <c r="G645" s="557"/>
      <c r="H645" s="557"/>
      <c r="I645" s="556"/>
      <c r="J645" s="557"/>
    </row>
    <row r="646" spans="2:10" ht="15.75" customHeight="1" outlineLevel="3" x14ac:dyDescent="0.25">
      <c r="B646" s="541" t="str">
        <f>IF(ISBLANK(dms_E2_Projects_36),"",dms_E2_Projects_36)</f>
        <v/>
      </c>
      <c r="C646" s="573"/>
      <c r="D646" s="556"/>
      <c r="E646" s="324"/>
      <c r="F646" s="324"/>
      <c r="G646" s="557"/>
      <c r="H646" s="557"/>
      <c r="I646" s="556"/>
      <c r="J646" s="557"/>
    </row>
    <row r="647" spans="2:10" ht="15.75" customHeight="1" outlineLevel="3" x14ac:dyDescent="0.25">
      <c r="B647" s="541" t="str">
        <f>IF(ISBLANK(dms_E2_Projects_37),"",dms_E2_Projects_37)</f>
        <v/>
      </c>
      <c r="C647" s="573"/>
      <c r="D647" s="556"/>
      <c r="E647" s="324"/>
      <c r="F647" s="324"/>
      <c r="G647" s="557"/>
      <c r="H647" s="557"/>
      <c r="I647" s="556"/>
      <c r="J647" s="557"/>
    </row>
    <row r="648" spans="2:10" ht="15.75" customHeight="1" outlineLevel="3" x14ac:dyDescent="0.25">
      <c r="B648" s="541" t="str">
        <f>IF(ISBLANK(dms_E2_Projects_38),"",dms_E2_Projects_38)</f>
        <v/>
      </c>
      <c r="C648" s="573"/>
      <c r="D648" s="556"/>
      <c r="E648" s="324"/>
      <c r="F648" s="324"/>
      <c r="G648" s="557"/>
      <c r="H648" s="557"/>
      <c r="I648" s="556"/>
      <c r="J648" s="557"/>
    </row>
    <row r="649" spans="2:10" ht="15.75" customHeight="1" outlineLevel="3" x14ac:dyDescent="0.25">
      <c r="B649" s="541" t="str">
        <f>IF(ISBLANK(dms_E2_Projects_39),"",dms_E2_Projects_39)</f>
        <v/>
      </c>
      <c r="C649" s="573"/>
      <c r="D649" s="556"/>
      <c r="E649" s="324"/>
      <c r="F649" s="324"/>
      <c r="G649" s="557"/>
      <c r="H649" s="557"/>
      <c r="I649" s="556"/>
      <c r="J649" s="557"/>
    </row>
    <row r="650" spans="2:10" ht="15.75" customHeight="1" outlineLevel="3" x14ac:dyDescent="0.25">
      <c r="B650" s="541" t="str">
        <f>IF(ISBLANK(dms_E2_Projects_40),"",dms_E2_Projects_40)</f>
        <v/>
      </c>
      <c r="C650" s="573"/>
      <c r="D650" s="556"/>
      <c r="E650" s="324"/>
      <c r="F650" s="324"/>
      <c r="G650" s="557"/>
      <c r="H650" s="557"/>
      <c r="I650" s="556"/>
      <c r="J650" s="557"/>
    </row>
    <row r="651" spans="2:10" ht="15.75" customHeight="1" outlineLevel="3" x14ac:dyDescent="0.25">
      <c r="B651" s="541" t="str">
        <f>IF(ISBLANK(dms_E2_Projects_41),"",dms_E2_Projects_41)</f>
        <v/>
      </c>
      <c r="C651" s="573"/>
      <c r="D651" s="556"/>
      <c r="E651" s="324"/>
      <c r="F651" s="324"/>
      <c r="G651" s="557"/>
      <c r="H651" s="557"/>
      <c r="I651" s="556"/>
      <c r="J651" s="557"/>
    </row>
    <row r="652" spans="2:10" ht="15.75" customHeight="1" outlineLevel="3" x14ac:dyDescent="0.25">
      <c r="B652" s="541" t="str">
        <f>IF(ISBLANK(dms_E2_Projects_42),"",dms_E2_Projects_42)</f>
        <v/>
      </c>
      <c r="C652" s="573"/>
      <c r="D652" s="556"/>
      <c r="E652" s="324"/>
      <c r="F652" s="324"/>
      <c r="G652" s="557"/>
      <c r="H652" s="557"/>
      <c r="I652" s="556"/>
      <c r="J652" s="557"/>
    </row>
    <row r="653" spans="2:10" ht="15.75" customHeight="1" outlineLevel="3" x14ac:dyDescent="0.25">
      <c r="B653" s="541" t="str">
        <f>IF(ISBLANK(dms_E2_Projects_43),"",dms_E2_Projects_43)</f>
        <v/>
      </c>
      <c r="C653" s="573"/>
      <c r="D653" s="556"/>
      <c r="E653" s="324"/>
      <c r="F653" s="324"/>
      <c r="G653" s="557"/>
      <c r="H653" s="557"/>
      <c r="I653" s="556"/>
      <c r="J653" s="557"/>
    </row>
    <row r="654" spans="2:10" ht="15.75" customHeight="1" outlineLevel="3" x14ac:dyDescent="0.25">
      <c r="B654" s="541" t="str">
        <f>IF(ISBLANK(dms_E2_Projects_44),"",dms_E2_Projects_44)</f>
        <v/>
      </c>
      <c r="C654" s="573"/>
      <c r="D654" s="556"/>
      <c r="E654" s="324"/>
      <c r="F654" s="324"/>
      <c r="G654" s="557"/>
      <c r="H654" s="557"/>
      <c r="I654" s="556"/>
      <c r="J654" s="557"/>
    </row>
    <row r="655" spans="2:10" ht="15.75" customHeight="1" outlineLevel="3" x14ac:dyDescent="0.25">
      <c r="B655" s="541" t="str">
        <f>IF(ISBLANK(dms_E2_Projects_45),"",dms_E2_Projects_45)</f>
        <v/>
      </c>
      <c r="C655" s="573"/>
      <c r="D655" s="556"/>
      <c r="E655" s="324"/>
      <c r="F655" s="324"/>
      <c r="G655" s="557"/>
      <c r="H655" s="557"/>
      <c r="I655" s="556"/>
      <c r="J655" s="557"/>
    </row>
    <row r="656" spans="2:10" ht="15.75" customHeight="1" outlineLevel="3" x14ac:dyDescent="0.25">
      <c r="B656" s="541" t="str">
        <f>IF(ISBLANK(dms_E2_Projects_46),"",dms_E2_Projects_46)</f>
        <v/>
      </c>
      <c r="C656" s="573"/>
      <c r="D656" s="556"/>
      <c r="E656" s="324"/>
      <c r="F656" s="324"/>
      <c r="G656" s="557"/>
      <c r="H656" s="557"/>
      <c r="I656" s="556"/>
      <c r="J656" s="557"/>
    </row>
    <row r="657" spans="1:11" ht="15.75" customHeight="1" outlineLevel="3" x14ac:dyDescent="0.25">
      <c r="B657" s="541" t="str">
        <f>IF(ISBLANK(dms_E2_Projects_47),"",dms_E2_Projects_47)</f>
        <v/>
      </c>
      <c r="C657" s="573"/>
      <c r="D657" s="556"/>
      <c r="E657" s="324"/>
      <c r="F657" s="324"/>
      <c r="G657" s="557"/>
      <c r="H657" s="557"/>
      <c r="I657" s="556"/>
      <c r="J657" s="557"/>
    </row>
    <row r="658" spans="1:11" ht="15.75" customHeight="1" outlineLevel="3" x14ac:dyDescent="0.25">
      <c r="B658" s="541" t="str">
        <f>IF(ISBLANK(dms_E2_Projects_48),"",dms_E2_Projects_48)</f>
        <v/>
      </c>
      <c r="C658" s="573"/>
      <c r="D658" s="556"/>
      <c r="E658" s="324"/>
      <c r="F658" s="324"/>
      <c r="G658" s="557"/>
      <c r="H658" s="557"/>
      <c r="I658" s="556"/>
      <c r="J658" s="557"/>
    </row>
    <row r="659" spans="1:11" ht="15.75" customHeight="1" outlineLevel="3" x14ac:dyDescent="0.25">
      <c r="B659" s="541" t="str">
        <f>IF(ISBLANK(dms_E2_Projects_49),"",dms_E2_Projects_49)</f>
        <v/>
      </c>
      <c r="C659" s="573"/>
      <c r="D659" s="556"/>
      <c r="E659" s="324"/>
      <c r="F659" s="324"/>
      <c r="G659" s="557"/>
      <c r="H659" s="557"/>
      <c r="I659" s="556"/>
      <c r="J659" s="557"/>
    </row>
    <row r="660" spans="1:11" ht="15.75" customHeight="1" outlineLevel="3" x14ac:dyDescent="0.25">
      <c r="B660" s="541" t="str">
        <f>IF(ISBLANK(dms_E2_Projects_50),"",dms_E2_Projects_50)</f>
        <v/>
      </c>
      <c r="C660" s="573"/>
      <c r="D660" s="556"/>
      <c r="E660" s="324"/>
      <c r="F660" s="324"/>
      <c r="G660" s="557"/>
      <c r="H660" s="557"/>
      <c r="I660" s="556"/>
      <c r="J660" s="557"/>
    </row>
    <row r="661" spans="1:11" ht="15.75" customHeight="1" outlineLevel="3" thickBot="1" x14ac:dyDescent="0.3">
      <c r="B661" s="574" t="s">
        <v>152</v>
      </c>
      <c r="C661" s="543"/>
      <c r="D661" s="287"/>
      <c r="E661" s="273"/>
      <c r="F661" s="273"/>
      <c r="G661" s="274"/>
      <c r="H661" s="274"/>
      <c r="I661" s="287"/>
      <c r="J661" s="274"/>
    </row>
    <row r="662" spans="1:11" ht="15.75" customHeight="1" outlineLevel="3" thickBot="1" x14ac:dyDescent="0.3">
      <c r="B662" s="544"/>
      <c r="C662" s="545" t="s">
        <v>120</v>
      </c>
      <c r="D662" s="545">
        <f>SUM(D611:D661)</f>
        <v>0</v>
      </c>
      <c r="E662" s="545">
        <f t="shared" ref="E662:J662" si="52">SUM(E611:E661)</f>
        <v>0</v>
      </c>
      <c r="F662" s="545">
        <f t="shared" si="52"/>
        <v>0</v>
      </c>
      <c r="G662" s="545">
        <f t="shared" si="52"/>
        <v>0</v>
      </c>
      <c r="H662" s="545">
        <f t="shared" si="52"/>
        <v>0</v>
      </c>
      <c r="I662" s="545">
        <f t="shared" si="52"/>
        <v>0</v>
      </c>
      <c r="J662" s="545">
        <f t="shared" si="52"/>
        <v>0</v>
      </c>
    </row>
    <row r="663" spans="1:11" s="42" customFormat="1" ht="13.5" customHeight="1" outlineLevel="2" thickBot="1" x14ac:dyDescent="0.3">
      <c r="A663"/>
      <c r="B663"/>
      <c r="C663"/>
      <c r="D663"/>
      <c r="E663"/>
      <c r="F663"/>
      <c r="G663"/>
      <c r="H663"/>
      <c r="I663"/>
      <c r="J663"/>
      <c r="K663"/>
    </row>
    <row r="664" spans="1:11" ht="20.25" customHeight="1" outlineLevel="2" thickBot="1" x14ac:dyDescent="0.3">
      <c r="B664" s="250" t="s">
        <v>157</v>
      </c>
      <c r="C664" s="251"/>
      <c r="D664" s="251"/>
      <c r="E664" s="251"/>
      <c r="F664" s="251"/>
      <c r="G664" s="251"/>
      <c r="H664" s="251"/>
      <c r="I664" s="251"/>
      <c r="J664" s="251"/>
    </row>
    <row r="665" spans="1:11" ht="15.75" customHeight="1" outlineLevel="3" x14ac:dyDescent="0.25">
      <c r="B665" s="572" t="str">
        <f>IF(ISBLANK(dms_E2_Projects_01),"",dms_E2_Projects_01)</f>
        <v>S_MRH575_CY23 North West</v>
      </c>
      <c r="C665" s="537"/>
      <c r="D665" s="285">
        <v>2661</v>
      </c>
      <c r="E665" s="270">
        <v>0</v>
      </c>
      <c r="F665" s="270"/>
      <c r="G665" s="271"/>
      <c r="H665" s="271"/>
      <c r="I665" s="285"/>
      <c r="J665" s="271"/>
    </row>
    <row r="666" spans="1:11" ht="15.75" customHeight="1" outlineLevel="3" x14ac:dyDescent="0.25">
      <c r="B666" s="572" t="str">
        <f>IF(ISBLANK(dms_E2_Projects_02),"",dms_E2_Projects_02)</f>
        <v>S_MRH575_CY24 HDPE575 South</v>
      </c>
      <c r="C666" s="538"/>
      <c r="D666" s="285">
        <v>5743</v>
      </c>
      <c r="E666" s="270">
        <v>0</v>
      </c>
      <c r="F666" s="270"/>
      <c r="G666" s="271"/>
      <c r="H666" s="271"/>
      <c r="I666" s="285"/>
      <c r="J666" s="271"/>
    </row>
    <row r="667" spans="1:11" ht="15.75" customHeight="1" outlineLevel="3" x14ac:dyDescent="0.25">
      <c r="B667" s="572" t="str">
        <f>IF(ISBLANK(dms_E2_Projects_03),"",dms_E2_Projects_03)</f>
        <v>S_MRH575_CY24 GoldenGroveB</v>
      </c>
      <c r="C667" s="538"/>
      <c r="D667" s="285">
        <v>5025</v>
      </c>
      <c r="E667" s="270">
        <v>6396</v>
      </c>
      <c r="F667" s="270"/>
      <c r="G667" s="271"/>
      <c r="H667" s="271"/>
      <c r="I667" s="285"/>
      <c r="J667" s="271"/>
    </row>
    <row r="668" spans="1:11" ht="15.75" customHeight="1" outlineLevel="3" x14ac:dyDescent="0.25">
      <c r="B668" s="572" t="str">
        <f>IF(ISBLANK(dms_E2_Projects_04),"",dms_E2_Projects_04)</f>
        <v>S_MRH575_CY24_PortPirie_1</v>
      </c>
      <c r="C668" s="538"/>
      <c r="D668" s="285">
        <v>0</v>
      </c>
      <c r="E668" s="270">
        <v>0</v>
      </c>
      <c r="F668" s="270"/>
      <c r="G668" s="271"/>
      <c r="H668" s="271"/>
      <c r="I668" s="285"/>
      <c r="J668" s="271"/>
    </row>
    <row r="669" spans="1:11" ht="15.75" customHeight="1" outlineLevel="3" x14ac:dyDescent="0.25">
      <c r="B669" s="572" t="str">
        <f>IF(ISBLANK(dms_E2_Projects_05),"",dms_E2_Projects_05)</f>
        <v>S_MRH575_CY24_SHEIDOW_PARK</v>
      </c>
      <c r="C669" s="538"/>
      <c r="D669" s="285">
        <v>6795</v>
      </c>
      <c r="E669" s="270">
        <v>650</v>
      </c>
      <c r="F669" s="270"/>
      <c r="G669" s="271"/>
      <c r="H669" s="271"/>
      <c r="I669" s="285"/>
      <c r="J669" s="271"/>
    </row>
    <row r="670" spans="1:11" ht="15.75" customHeight="1" outlineLevel="3" x14ac:dyDescent="0.25">
      <c r="B670" s="572" t="str">
        <f>IF(ISBLANK(dms_E2_Projects_06),"",dms_E2_Projects_06)</f>
        <v>S_MRH575_CY24_ONKAPARINGAHILLS</v>
      </c>
      <c r="C670" s="538"/>
      <c r="D670" s="285">
        <v>8677</v>
      </c>
      <c r="E670" s="270">
        <v>0</v>
      </c>
      <c r="F670" s="270"/>
      <c r="G670" s="271"/>
      <c r="H670" s="271"/>
      <c r="I670" s="285"/>
      <c r="J670" s="271"/>
    </row>
    <row r="671" spans="1:11" ht="15.75" customHeight="1" outlineLevel="3" x14ac:dyDescent="0.25">
      <c r="B671" s="572" t="str">
        <f>IF(ISBLANK(dms_E2_Projects_07),"",dms_E2_Projects_07)</f>
        <v>S_MRH575_CY25_Aberfoyle Park</v>
      </c>
      <c r="C671" s="538"/>
      <c r="D671" s="285">
        <v>7073</v>
      </c>
      <c r="E671" s="270">
        <v>0</v>
      </c>
      <c r="F671" s="270"/>
      <c r="G671" s="271"/>
      <c r="H671" s="271"/>
      <c r="I671" s="285"/>
      <c r="J671" s="271"/>
    </row>
    <row r="672" spans="1:11" ht="15.75" customHeight="1" outlineLevel="3" x14ac:dyDescent="0.25">
      <c r="B672" s="572" t="str">
        <f>IF(ISBLANK(dms_E2_Projects_08),"",dms_E2_Projects_08)</f>
        <v>2362_MAINS RENEWAL - HDPE 575</v>
      </c>
      <c r="C672" s="538"/>
      <c r="D672" s="285">
        <v>0</v>
      </c>
      <c r="E672" s="270">
        <v>0</v>
      </c>
      <c r="F672" s="270"/>
      <c r="G672" s="271"/>
      <c r="H672" s="271"/>
      <c r="I672" s="285"/>
      <c r="J672" s="271"/>
    </row>
    <row r="673" spans="2:10" ht="15.75" customHeight="1" outlineLevel="3" x14ac:dyDescent="0.25">
      <c r="B673" s="572" t="str">
        <f>IF(ISBLANK(dms_E2_Projects_09),"",dms_E2_Projects_09)</f>
        <v>S_MRB_CY21 Semaphore</v>
      </c>
      <c r="C673" s="538"/>
      <c r="D673" s="285">
        <v>0</v>
      </c>
      <c r="E673" s="270">
        <v>0</v>
      </c>
      <c r="F673" s="270"/>
      <c r="G673" s="271"/>
      <c r="H673" s="271"/>
      <c r="I673" s="285"/>
      <c r="J673" s="271"/>
    </row>
    <row r="674" spans="2:10" ht="15.75" customHeight="1" outlineLevel="3" x14ac:dyDescent="0.25">
      <c r="B674" s="572" t="str">
        <f>IF(ISBLANK(dms_E2_Projects_10),"",dms_E2_Projects_10)</f>
        <v>2366_S_MRB_CY24_North Adelaide_C</v>
      </c>
      <c r="C674" s="538"/>
      <c r="D674" s="285">
        <v>0</v>
      </c>
      <c r="E674" s="270">
        <v>0</v>
      </c>
      <c r="F674" s="270"/>
      <c r="G674" s="271"/>
      <c r="H674" s="271"/>
      <c r="I674" s="285"/>
      <c r="J674" s="271"/>
    </row>
    <row r="675" spans="2:10" ht="15.75" customHeight="1" outlineLevel="3" x14ac:dyDescent="0.25">
      <c r="B675" s="572" t="str">
        <f>IF(ISBLANK(dms_E2_Projects_11),"",dms_E2_Projects_11)</f>
        <v>S_MRB_CY24_Semaphore_Sth</v>
      </c>
      <c r="C675" s="538"/>
      <c r="D675" s="285">
        <v>0</v>
      </c>
      <c r="E675" s="270">
        <v>0</v>
      </c>
      <c r="F675" s="270"/>
      <c r="G675" s="271"/>
      <c r="H675" s="271"/>
      <c r="I675" s="285"/>
      <c r="J675" s="271"/>
    </row>
    <row r="676" spans="2:10" ht="15.75" customHeight="1" outlineLevel="3" x14ac:dyDescent="0.25">
      <c r="B676" s="572" t="str">
        <f>IF(ISBLANK(dms_E2_Projects_12),"",dms_E2_Projects_12)</f>
        <v>S_MRB_CY24_Millswood</v>
      </c>
      <c r="C676" s="538"/>
      <c r="D676" s="285">
        <v>0</v>
      </c>
      <c r="E676" s="270">
        <v>0</v>
      </c>
      <c r="F676" s="270"/>
      <c r="G676" s="271"/>
      <c r="H676" s="271"/>
      <c r="I676" s="285"/>
      <c r="J676" s="271"/>
    </row>
    <row r="677" spans="2:10" ht="15.75" customHeight="1" outlineLevel="3" x14ac:dyDescent="0.25">
      <c r="B677" s="572" t="str">
        <f>IF(ISBLANK(dms_E2_Projects_13),"",dms_E2_Projects_13)</f>
        <v>S_MRB_CY24_PASADENA</v>
      </c>
      <c r="C677" s="538"/>
      <c r="D677" s="285">
        <v>0</v>
      </c>
      <c r="E677" s="270">
        <v>0</v>
      </c>
      <c r="F677" s="270"/>
      <c r="G677" s="271"/>
      <c r="H677" s="271"/>
      <c r="I677" s="285"/>
      <c r="J677" s="271"/>
    </row>
    <row r="678" spans="2:10" ht="15.75" customHeight="1" outlineLevel="3" x14ac:dyDescent="0.25">
      <c r="B678" s="572" t="str">
        <f>IF(ISBLANK(dms_E2_Projects_14),"",dms_E2_Projects_14)</f>
        <v>S_MRB_CY24_ROSTREVOR</v>
      </c>
      <c r="C678" s="538"/>
      <c r="D678" s="285">
        <v>0</v>
      </c>
      <c r="E678" s="270">
        <v>0</v>
      </c>
      <c r="F678" s="270"/>
      <c r="G678" s="271"/>
      <c r="H678" s="271"/>
      <c r="I678" s="285"/>
      <c r="J678" s="271"/>
    </row>
    <row r="679" spans="2:10" ht="15.75" customHeight="1" outlineLevel="3" x14ac:dyDescent="0.25">
      <c r="B679" s="572" t="str">
        <f>IF(ISBLANK(dms_E2_Projects_15),"",dms_E2_Projects_15)</f>
        <v>S_MRB_CY24_WOODVILLE_PARK</v>
      </c>
      <c r="C679" s="538"/>
      <c r="D679" s="285">
        <v>0</v>
      </c>
      <c r="E679" s="270">
        <v>0</v>
      </c>
      <c r="F679" s="270"/>
      <c r="G679" s="271"/>
      <c r="H679" s="271"/>
      <c r="I679" s="285"/>
      <c r="J679" s="271"/>
    </row>
    <row r="680" spans="2:10" ht="15.75" customHeight="1" outlineLevel="3" x14ac:dyDescent="0.25">
      <c r="B680" s="536" t="str">
        <f>IF(ISBLANK(dms_E2_Projects_16),"",dms_E2_Projects_16)</f>
        <v>S_MRB_CY24_PORT_ADELAIDE_A</v>
      </c>
      <c r="C680" s="573"/>
      <c r="D680" s="556">
        <v>0</v>
      </c>
      <c r="E680" s="324">
        <v>0</v>
      </c>
      <c r="F680" s="324"/>
      <c r="G680" s="557"/>
      <c r="H680" s="557"/>
      <c r="I680" s="556"/>
      <c r="J680" s="557"/>
    </row>
    <row r="681" spans="2:10" ht="15.75" customHeight="1" outlineLevel="3" x14ac:dyDescent="0.25">
      <c r="B681" s="541" t="str">
        <f>IF(ISBLANK(dms_E2_Projects_17),"",dms_E2_Projects_17)</f>
        <v>S_MRB_CY25_Edwardstown A</v>
      </c>
      <c r="C681" s="573"/>
      <c r="D681" s="556">
        <v>0</v>
      </c>
      <c r="E681" s="324">
        <v>0</v>
      </c>
      <c r="F681" s="324"/>
      <c r="G681" s="557"/>
      <c r="H681" s="557"/>
      <c r="I681" s="556"/>
      <c r="J681" s="557"/>
    </row>
    <row r="682" spans="2:10" ht="15.75" customHeight="1" outlineLevel="3" x14ac:dyDescent="0.25">
      <c r="B682" s="541" t="str">
        <f>IF(ISBLANK(dms_E2_Projects_18),"",dms_E2_Projects_18)</f>
        <v>S_MRB_CY25_Burnside A</v>
      </c>
      <c r="C682" s="573"/>
      <c r="D682" s="556">
        <v>0</v>
      </c>
      <c r="E682" s="324">
        <v>0</v>
      </c>
      <c r="F682" s="324"/>
      <c r="G682" s="557"/>
      <c r="H682" s="557"/>
      <c r="I682" s="556"/>
      <c r="J682" s="557"/>
    </row>
    <row r="683" spans="2:10" ht="15.75" customHeight="1" outlineLevel="3" x14ac:dyDescent="0.25">
      <c r="B683" s="541" t="str">
        <f>IF(ISBLANK(dms_E2_Projects_19),"",dms_E2_Projects_19)</f>
        <v>S_MRB_CY25_Auldana_A</v>
      </c>
      <c r="C683" s="573"/>
      <c r="D683" s="556">
        <v>0</v>
      </c>
      <c r="E683" s="324">
        <v>0</v>
      </c>
      <c r="F683" s="324"/>
      <c r="G683" s="557"/>
      <c r="H683" s="557"/>
      <c r="I683" s="556"/>
      <c r="J683" s="557"/>
    </row>
    <row r="684" spans="2:10" ht="15.75" customHeight="1" outlineLevel="3" x14ac:dyDescent="0.25">
      <c r="B684" s="541" t="str">
        <f>IF(ISBLANK(dms_E2_Projects_20),"",dms_E2_Projects_20)</f>
        <v>S_MRB_CY25_Devon Park</v>
      </c>
      <c r="C684" s="573"/>
      <c r="D684" s="556">
        <v>0</v>
      </c>
      <c r="E684" s="324">
        <v>0</v>
      </c>
      <c r="F684" s="324"/>
      <c r="G684" s="557"/>
      <c r="H684" s="557"/>
      <c r="I684" s="556"/>
      <c r="J684" s="557"/>
    </row>
    <row r="685" spans="2:10" ht="15.75" customHeight="1" outlineLevel="3" x14ac:dyDescent="0.25">
      <c r="B685" s="541" t="str">
        <f>IF(ISBLANK(dms_E2_Projects_21),"",dms_E2_Projects_21)</f>
        <v>S_MRB_CY25_Gilles Plains</v>
      </c>
      <c r="C685" s="573"/>
      <c r="D685" s="556">
        <v>0</v>
      </c>
      <c r="E685" s="324">
        <v>0</v>
      </c>
      <c r="F685" s="324"/>
      <c r="G685" s="557"/>
      <c r="H685" s="557"/>
      <c r="I685" s="556"/>
      <c r="J685" s="557"/>
    </row>
    <row r="686" spans="2:10" ht="15.75" customHeight="1" outlineLevel="3" x14ac:dyDescent="0.25">
      <c r="B686" s="541" t="str">
        <f>IF(ISBLANK(dms_E2_Projects_22),"",dms_E2_Projects_22)</f>
        <v>S_MRB_CY25_Ingle Farm A</v>
      </c>
      <c r="C686" s="573"/>
      <c r="D686" s="556">
        <v>0</v>
      </c>
      <c r="E686" s="324">
        <v>0</v>
      </c>
      <c r="F686" s="324"/>
      <c r="G686" s="557"/>
      <c r="H686" s="557"/>
      <c r="I686" s="556"/>
      <c r="J686" s="557"/>
    </row>
    <row r="687" spans="2:10" ht="15.75" customHeight="1" outlineLevel="3" x14ac:dyDescent="0.25">
      <c r="B687" s="541" t="str">
        <f>IF(ISBLANK(dms_E2_Projects_23),"",dms_E2_Projects_23)</f>
        <v>S_MRB_CY25_Ingle Farm B</v>
      </c>
      <c r="C687" s="573"/>
      <c r="D687" s="556">
        <v>0</v>
      </c>
      <c r="E687" s="324">
        <v>0</v>
      </c>
      <c r="F687" s="324"/>
      <c r="G687" s="557"/>
      <c r="H687" s="557"/>
      <c r="I687" s="556"/>
      <c r="J687" s="557"/>
    </row>
    <row r="688" spans="2:10" ht="15.75" customHeight="1" outlineLevel="3" x14ac:dyDescent="0.25">
      <c r="B688" s="541" t="str">
        <f>IF(ISBLANK(dms_E2_Projects_24),"",dms_E2_Projects_24)</f>
        <v>S_MRB_CY25_Para Hills West</v>
      </c>
      <c r="C688" s="573"/>
      <c r="D688" s="556">
        <v>0</v>
      </c>
      <c r="E688" s="324">
        <v>0</v>
      </c>
      <c r="F688" s="324"/>
      <c r="G688" s="557"/>
      <c r="H688" s="557"/>
      <c r="I688" s="556"/>
      <c r="J688" s="557"/>
    </row>
    <row r="689" spans="2:10" ht="15.75" customHeight="1" outlineLevel="3" x14ac:dyDescent="0.25">
      <c r="B689" s="541" t="str">
        <f>IF(ISBLANK(dms_E2_Projects_25),"",dms_E2_Projects_25)</f>
        <v>S_MRB_CY25_Para Vista A</v>
      </c>
      <c r="C689" s="573"/>
      <c r="D689" s="556">
        <v>0</v>
      </c>
      <c r="E689" s="324">
        <v>0</v>
      </c>
      <c r="F689" s="324"/>
      <c r="G689" s="557"/>
      <c r="H689" s="557"/>
      <c r="I689" s="556"/>
      <c r="J689" s="557"/>
    </row>
    <row r="690" spans="2:10" ht="15.75" customHeight="1" outlineLevel="3" x14ac:dyDescent="0.25">
      <c r="B690" s="541" t="str">
        <f>IF(ISBLANK(dms_E2_Projects_26),"",dms_E2_Projects_26)</f>
        <v>HDPE 575 Camera Inspection and sampling</v>
      </c>
      <c r="C690" s="573"/>
      <c r="D690" s="556">
        <v>0</v>
      </c>
      <c r="E690" s="324">
        <v>0</v>
      </c>
      <c r="F690" s="324"/>
      <c r="G690" s="557"/>
      <c r="H690" s="557"/>
      <c r="I690" s="556"/>
      <c r="J690" s="557"/>
    </row>
    <row r="691" spans="2:10" ht="15.75" customHeight="1" outlineLevel="3" x14ac:dyDescent="0.25">
      <c r="B691" s="541" t="str">
        <f>IF(ISBLANK(dms_E2_Projects_27),"",dms_E2_Projects_27)</f>
        <v>Steel Mains Replacement</v>
      </c>
      <c r="C691" s="573"/>
      <c r="D691" s="556"/>
      <c r="E691" s="324"/>
      <c r="F691" s="324">
        <v>2520</v>
      </c>
      <c r="G691" s="557">
        <v>2520</v>
      </c>
      <c r="H691" s="557">
        <v>2520</v>
      </c>
      <c r="I691" s="556">
        <v>2520</v>
      </c>
      <c r="J691" s="557">
        <v>2520</v>
      </c>
    </row>
    <row r="692" spans="2:10" ht="15.75" customHeight="1" outlineLevel="3" x14ac:dyDescent="0.25">
      <c r="B692" s="541" t="str">
        <f>IF(ISBLANK(dms_E2_Projects_28),"",dms_E2_Projects_28)</f>
        <v>Multi User Sites (MUS) renewal</v>
      </c>
      <c r="C692" s="573"/>
      <c r="D692" s="556"/>
      <c r="E692" s="324"/>
      <c r="F692" s="324"/>
      <c r="G692" s="557"/>
      <c r="H692" s="557"/>
      <c r="I692" s="556"/>
      <c r="J692" s="557"/>
    </row>
    <row r="693" spans="2:10" ht="15.75" customHeight="1" outlineLevel="3" x14ac:dyDescent="0.25">
      <c r="B693" s="541" t="str">
        <f>IF(ISBLANK(dms_E2_Projects_29),"",dms_E2_Projects_29)</f>
        <v/>
      </c>
      <c r="C693" s="573"/>
      <c r="D693" s="556"/>
      <c r="E693" s="324"/>
      <c r="F693" s="324"/>
      <c r="G693" s="557"/>
      <c r="H693" s="557"/>
      <c r="I693" s="556"/>
      <c r="J693" s="557"/>
    </row>
    <row r="694" spans="2:10" ht="15.75" customHeight="1" outlineLevel="3" x14ac:dyDescent="0.25">
      <c r="B694" s="541" t="str">
        <f>IF(ISBLANK(dms_E2_Projects_30),"",dms_E2_Projects_30)</f>
        <v/>
      </c>
      <c r="C694" s="573"/>
      <c r="D694" s="556"/>
      <c r="E694" s="324"/>
      <c r="F694" s="324"/>
      <c r="G694" s="557"/>
      <c r="H694" s="557"/>
      <c r="I694" s="556"/>
      <c r="J694" s="557"/>
    </row>
    <row r="695" spans="2:10" ht="15.75" customHeight="1" outlineLevel="3" x14ac:dyDescent="0.25">
      <c r="B695" s="541" t="str">
        <f>IF(ISBLANK(dms_E2_Projects_31),"",dms_E2_Projects_31)</f>
        <v/>
      </c>
      <c r="C695" s="573"/>
      <c r="D695" s="556"/>
      <c r="E695" s="324"/>
      <c r="F695" s="324"/>
      <c r="G695" s="557"/>
      <c r="H695" s="557"/>
      <c r="I695" s="556"/>
      <c r="J695" s="557"/>
    </row>
    <row r="696" spans="2:10" ht="15.75" customHeight="1" outlineLevel="3" x14ac:dyDescent="0.25">
      <c r="B696" s="541" t="str">
        <f>IF(ISBLANK(dms_E2_Projects_32),"",dms_E2_Projects_32)</f>
        <v/>
      </c>
      <c r="C696" s="573"/>
      <c r="D696" s="556"/>
      <c r="E696" s="324"/>
      <c r="F696" s="324"/>
      <c r="G696" s="557"/>
      <c r="H696" s="557"/>
      <c r="I696" s="556"/>
      <c r="J696" s="557"/>
    </row>
    <row r="697" spans="2:10" ht="15.75" customHeight="1" outlineLevel="3" x14ac:dyDescent="0.25">
      <c r="B697" s="541" t="str">
        <f>IF(ISBLANK(dms_E2_Projects_33),"",dms_E2_Projects_33)</f>
        <v/>
      </c>
      <c r="C697" s="573"/>
      <c r="D697" s="556"/>
      <c r="E697" s="324"/>
      <c r="F697" s="324"/>
      <c r="G697" s="557"/>
      <c r="H697" s="557"/>
      <c r="I697" s="556"/>
      <c r="J697" s="557"/>
    </row>
    <row r="698" spans="2:10" ht="15.75" customHeight="1" outlineLevel="3" x14ac:dyDescent="0.25">
      <c r="B698" s="541" t="str">
        <f>IF(ISBLANK(dms_E2_Projects_34),"",dms_E2_Projects_34)</f>
        <v/>
      </c>
      <c r="C698" s="573"/>
      <c r="D698" s="556"/>
      <c r="E698" s="324"/>
      <c r="F698" s="324"/>
      <c r="G698" s="557"/>
      <c r="H698" s="557"/>
      <c r="I698" s="556"/>
      <c r="J698" s="557"/>
    </row>
    <row r="699" spans="2:10" ht="15.75" customHeight="1" outlineLevel="3" x14ac:dyDescent="0.25">
      <c r="B699" s="541" t="str">
        <f>IF(ISBLANK(dms_E2_Projects_35),"",dms_E2_Projects_35)</f>
        <v/>
      </c>
      <c r="C699" s="573"/>
      <c r="D699" s="556"/>
      <c r="E699" s="324"/>
      <c r="F699" s="324"/>
      <c r="G699" s="557"/>
      <c r="H699" s="557"/>
      <c r="I699" s="556"/>
      <c r="J699" s="557"/>
    </row>
    <row r="700" spans="2:10" ht="15.75" customHeight="1" outlineLevel="3" x14ac:dyDescent="0.25">
      <c r="B700" s="541" t="str">
        <f>IF(ISBLANK(dms_E2_Projects_36),"",dms_E2_Projects_36)</f>
        <v/>
      </c>
      <c r="C700" s="573"/>
      <c r="D700" s="556"/>
      <c r="E700" s="324"/>
      <c r="F700" s="324"/>
      <c r="G700" s="557"/>
      <c r="H700" s="557"/>
      <c r="I700" s="556"/>
      <c r="J700" s="557"/>
    </row>
    <row r="701" spans="2:10" ht="15.75" customHeight="1" outlineLevel="3" x14ac:dyDescent="0.25">
      <c r="B701" s="541" t="str">
        <f>IF(ISBLANK(dms_E2_Projects_37),"",dms_E2_Projects_37)</f>
        <v/>
      </c>
      <c r="C701" s="573"/>
      <c r="D701" s="556"/>
      <c r="E701" s="324"/>
      <c r="F701" s="324"/>
      <c r="G701" s="557"/>
      <c r="H701" s="557"/>
      <c r="I701" s="556"/>
      <c r="J701" s="557"/>
    </row>
    <row r="702" spans="2:10" ht="15.75" customHeight="1" outlineLevel="3" x14ac:dyDescent="0.25">
      <c r="B702" s="541" t="str">
        <f>IF(ISBLANK(dms_E2_Projects_38),"",dms_E2_Projects_38)</f>
        <v/>
      </c>
      <c r="C702" s="573"/>
      <c r="D702" s="556"/>
      <c r="E702" s="324"/>
      <c r="F702" s="324"/>
      <c r="G702" s="557"/>
      <c r="H702" s="557"/>
      <c r="I702" s="556"/>
      <c r="J702" s="557"/>
    </row>
    <row r="703" spans="2:10" ht="15.75" customHeight="1" outlineLevel="3" x14ac:dyDescent="0.25">
      <c r="B703" s="541" t="str">
        <f>IF(ISBLANK(dms_E2_Projects_39),"",dms_E2_Projects_39)</f>
        <v/>
      </c>
      <c r="C703" s="573"/>
      <c r="D703" s="556"/>
      <c r="E703" s="324"/>
      <c r="F703" s="324"/>
      <c r="G703" s="557"/>
      <c r="H703" s="557"/>
      <c r="I703" s="556"/>
      <c r="J703" s="557"/>
    </row>
    <row r="704" spans="2:10" ht="15.75" customHeight="1" outlineLevel="3" x14ac:dyDescent="0.25">
      <c r="B704" s="541" t="str">
        <f>IF(ISBLANK(dms_E2_Projects_40),"",dms_E2_Projects_40)</f>
        <v/>
      </c>
      <c r="C704" s="573"/>
      <c r="D704" s="556"/>
      <c r="E704" s="324"/>
      <c r="F704" s="324"/>
      <c r="G704" s="557"/>
      <c r="H704" s="557"/>
      <c r="I704" s="556"/>
      <c r="J704" s="557"/>
    </row>
    <row r="705" spans="1:11" ht="15.75" customHeight="1" outlineLevel="3" x14ac:dyDescent="0.25">
      <c r="B705" s="541" t="str">
        <f>IF(ISBLANK(dms_E2_Projects_41),"",dms_E2_Projects_41)</f>
        <v/>
      </c>
      <c r="C705" s="573"/>
      <c r="D705" s="556"/>
      <c r="E705" s="324"/>
      <c r="F705" s="324"/>
      <c r="G705" s="557"/>
      <c r="H705" s="557"/>
      <c r="I705" s="556"/>
      <c r="J705" s="557"/>
    </row>
    <row r="706" spans="1:11" ht="15.75" customHeight="1" outlineLevel="3" x14ac:dyDescent="0.25">
      <c r="B706" s="541" t="str">
        <f>IF(ISBLANK(dms_E2_Projects_42),"",dms_E2_Projects_42)</f>
        <v/>
      </c>
      <c r="C706" s="573"/>
      <c r="D706" s="556"/>
      <c r="E706" s="324"/>
      <c r="F706" s="324"/>
      <c r="G706" s="557"/>
      <c r="H706" s="557"/>
      <c r="I706" s="556"/>
      <c r="J706" s="557"/>
    </row>
    <row r="707" spans="1:11" ht="15.75" customHeight="1" outlineLevel="3" x14ac:dyDescent="0.25">
      <c r="B707" s="541" t="str">
        <f>IF(ISBLANK(dms_E2_Projects_43),"",dms_E2_Projects_43)</f>
        <v/>
      </c>
      <c r="C707" s="573"/>
      <c r="D707" s="556"/>
      <c r="E707" s="324"/>
      <c r="F707" s="324"/>
      <c r="G707" s="557"/>
      <c r="H707" s="557"/>
      <c r="I707" s="556"/>
      <c r="J707" s="557"/>
    </row>
    <row r="708" spans="1:11" ht="15.75" customHeight="1" outlineLevel="3" x14ac:dyDescent="0.25">
      <c r="B708" s="541" t="str">
        <f>IF(ISBLANK(dms_E2_Projects_44),"",dms_E2_Projects_44)</f>
        <v/>
      </c>
      <c r="C708" s="573"/>
      <c r="D708" s="556"/>
      <c r="E708" s="324"/>
      <c r="F708" s="324"/>
      <c r="G708" s="557"/>
      <c r="H708" s="557"/>
      <c r="I708" s="556"/>
      <c r="J708" s="557"/>
    </row>
    <row r="709" spans="1:11" ht="15.75" customHeight="1" outlineLevel="3" x14ac:dyDescent="0.25">
      <c r="B709" s="541" t="str">
        <f>IF(ISBLANK(dms_E2_Projects_45),"",dms_E2_Projects_45)</f>
        <v/>
      </c>
      <c r="C709" s="573"/>
      <c r="D709" s="556"/>
      <c r="E709" s="324"/>
      <c r="F709" s="324"/>
      <c r="G709" s="557"/>
      <c r="H709" s="557"/>
      <c r="I709" s="556"/>
      <c r="J709" s="557"/>
    </row>
    <row r="710" spans="1:11" ht="15.75" customHeight="1" outlineLevel="3" x14ac:dyDescent="0.25">
      <c r="B710" s="541" t="str">
        <f>IF(ISBLANK(dms_E2_Projects_46),"",dms_E2_Projects_46)</f>
        <v/>
      </c>
      <c r="C710" s="573"/>
      <c r="D710" s="556"/>
      <c r="E710" s="324"/>
      <c r="F710" s="324"/>
      <c r="G710" s="557"/>
      <c r="H710" s="557"/>
      <c r="I710" s="556"/>
      <c r="J710" s="557"/>
    </row>
    <row r="711" spans="1:11" ht="15.75" customHeight="1" outlineLevel="3" x14ac:dyDescent="0.25">
      <c r="B711" s="541" t="str">
        <f>IF(ISBLANK(dms_E2_Projects_47),"",dms_E2_Projects_47)</f>
        <v/>
      </c>
      <c r="C711" s="573"/>
      <c r="D711" s="556"/>
      <c r="E711" s="324"/>
      <c r="F711" s="324"/>
      <c r="G711" s="557"/>
      <c r="H711" s="557"/>
      <c r="I711" s="556"/>
      <c r="J711" s="557"/>
    </row>
    <row r="712" spans="1:11" ht="15.75" customHeight="1" outlineLevel="3" x14ac:dyDescent="0.25">
      <c r="B712" s="541" t="str">
        <f>IF(ISBLANK(dms_E2_Projects_48),"",dms_E2_Projects_48)</f>
        <v/>
      </c>
      <c r="C712" s="573"/>
      <c r="D712" s="556"/>
      <c r="E712" s="324"/>
      <c r="F712" s="324"/>
      <c r="G712" s="557"/>
      <c r="H712" s="557"/>
      <c r="I712" s="556"/>
      <c r="J712" s="557"/>
    </row>
    <row r="713" spans="1:11" ht="15.75" customHeight="1" outlineLevel="3" x14ac:dyDescent="0.25">
      <c r="B713" s="541" t="str">
        <f>IF(ISBLANK(dms_E2_Projects_49),"",dms_E2_Projects_49)</f>
        <v/>
      </c>
      <c r="C713" s="573"/>
      <c r="D713" s="556"/>
      <c r="E713" s="324"/>
      <c r="F713" s="324"/>
      <c r="G713" s="557"/>
      <c r="H713" s="557"/>
      <c r="I713" s="556"/>
      <c r="J713" s="557"/>
    </row>
    <row r="714" spans="1:11" ht="15.75" customHeight="1" outlineLevel="3" x14ac:dyDescent="0.25">
      <c r="B714" s="541" t="str">
        <f>IF(ISBLANK(dms_E2_Projects_50),"",dms_E2_Projects_50)</f>
        <v/>
      </c>
      <c r="C714" s="573"/>
      <c r="D714" s="556"/>
      <c r="E714" s="324"/>
      <c r="F714" s="324"/>
      <c r="G714" s="557"/>
      <c r="H714" s="557"/>
      <c r="I714" s="556"/>
      <c r="J714" s="557"/>
    </row>
    <row r="715" spans="1:11" ht="15.75" customHeight="1" outlineLevel="3" thickBot="1" x14ac:dyDescent="0.3">
      <c r="B715" s="574" t="s">
        <v>152</v>
      </c>
      <c r="C715" s="543"/>
      <c r="D715" s="287">
        <v>4846</v>
      </c>
      <c r="E715" s="273"/>
      <c r="F715" s="273"/>
      <c r="G715" s="274"/>
      <c r="H715" s="274"/>
      <c r="I715" s="287"/>
      <c r="J715" s="274"/>
    </row>
    <row r="716" spans="1:11" ht="15.75" customHeight="1" outlineLevel="3" thickBot="1" x14ac:dyDescent="0.3">
      <c r="B716" s="544"/>
      <c r="C716" s="545" t="s">
        <v>120</v>
      </c>
      <c r="D716" s="545">
        <f>SUM(D665:D715)</f>
        <v>40820</v>
      </c>
      <c r="E716" s="545">
        <f t="shared" ref="E716:J716" si="53">SUM(E665:E715)</f>
        <v>7046</v>
      </c>
      <c r="F716" s="545">
        <f t="shared" si="53"/>
        <v>2520</v>
      </c>
      <c r="G716" s="545">
        <f t="shared" si="53"/>
        <v>2520</v>
      </c>
      <c r="H716" s="545">
        <f t="shared" si="53"/>
        <v>2520</v>
      </c>
      <c r="I716" s="545">
        <f t="shared" si="53"/>
        <v>2520</v>
      </c>
      <c r="J716" s="545">
        <f t="shared" si="53"/>
        <v>2520</v>
      </c>
    </row>
    <row r="717" spans="1:11" s="42" customFormat="1" ht="13.5" customHeight="1" outlineLevel="2" x14ac:dyDescent="0.25">
      <c r="A717"/>
      <c r="B717"/>
      <c r="C717"/>
      <c r="D717"/>
      <c r="E717"/>
      <c r="F717"/>
      <c r="G717"/>
      <c r="H717"/>
      <c r="I717"/>
      <c r="J717"/>
      <c r="K717"/>
    </row>
    <row r="718" spans="1:11" ht="23.25" customHeight="1" outlineLevel="1" thickBot="1" x14ac:dyDescent="0.3">
      <c r="B718" s="75"/>
    </row>
    <row r="719" spans="1:11" s="318" customFormat="1" ht="24" customHeight="1" outlineLevel="1" thickBot="1" x14ac:dyDescent="0.3">
      <c r="B719" s="247" t="s">
        <v>158</v>
      </c>
      <c r="C719" s="248"/>
      <c r="D719" s="248"/>
      <c r="E719" s="248"/>
      <c r="F719" s="248"/>
      <c r="G719" s="248"/>
      <c r="H719" s="248"/>
      <c r="I719" s="248"/>
      <c r="J719" s="248"/>
    </row>
    <row r="720" spans="1:11" s="42" customFormat="1" outlineLevel="2" x14ac:dyDescent="0.25">
      <c r="A720" s="291"/>
      <c r="B720" s="75"/>
      <c r="C720"/>
      <c r="D720" s="1655" t="s">
        <v>159</v>
      </c>
      <c r="E720" s="1656"/>
      <c r="F720" s="1656"/>
      <c r="G720" s="1656"/>
      <c r="H720" s="1656"/>
      <c r="I720" s="1656"/>
      <c r="J720" s="1656"/>
    </row>
    <row r="721" spans="1:10" s="42" customFormat="1" ht="15.75" outlineLevel="2" thickBot="1" x14ac:dyDescent="0.3">
      <c r="A721" s="291"/>
      <c r="B721" s="75"/>
      <c r="C721"/>
      <c r="D721" s="1657" t="s">
        <v>160</v>
      </c>
      <c r="E721" s="1658"/>
      <c r="F721" s="1658"/>
      <c r="G721" s="1658"/>
      <c r="H721" s="1658"/>
      <c r="I721" s="1658"/>
      <c r="J721" s="1658"/>
    </row>
    <row r="722" spans="1:10" s="42" customFormat="1" ht="15.75" outlineLevel="2" thickBot="1" x14ac:dyDescent="0.3">
      <c r="A722" s="291"/>
      <c r="B722" s="75"/>
      <c r="C722" s="63"/>
      <c r="D722" s="405" t="str">
        <f ca="1">dms_y1</f>
        <v>2024-25</v>
      </c>
      <c r="E722" s="306" t="str">
        <f ca="1">dms_y2</f>
        <v>2025-26</v>
      </c>
      <c r="F722" s="305" t="str">
        <f ca="1">dms_y3</f>
        <v>2026-27</v>
      </c>
      <c r="G722" s="305" t="str">
        <f ca="1">dms_y4</f>
        <v>2027-28</v>
      </c>
      <c r="H722" s="305" t="str">
        <f ca="1">dms_y5</f>
        <v>2028-29</v>
      </c>
      <c r="I722" s="305" t="str">
        <f ca="1">dms_y6</f>
        <v>2029-30</v>
      </c>
      <c r="J722" s="406" t="str">
        <f ca="1">dms_y7</f>
        <v>2030-31</v>
      </c>
    </row>
    <row r="723" spans="1:10" ht="21.75" customHeight="1" outlineLevel="2" thickBot="1" x14ac:dyDescent="0.3">
      <c r="B723" s="250" t="s">
        <v>151</v>
      </c>
      <c r="C723" s="251"/>
      <c r="D723" s="251"/>
      <c r="E723" s="251"/>
      <c r="F723" s="251"/>
      <c r="G723" s="251"/>
      <c r="H723" s="251"/>
      <c r="I723" s="251"/>
      <c r="J723" s="251"/>
    </row>
    <row r="724" spans="1:10" ht="15.75" customHeight="1" outlineLevel="3" x14ac:dyDescent="0.25">
      <c r="B724" s="579" t="s">
        <v>144</v>
      </c>
      <c r="C724" s="36" t="s">
        <v>161</v>
      </c>
      <c r="D724" s="285">
        <v>1565</v>
      </c>
      <c r="E724" s="270">
        <v>1150</v>
      </c>
      <c r="F724" s="270">
        <v>1000</v>
      </c>
      <c r="G724" s="271">
        <v>1000</v>
      </c>
      <c r="H724" s="271">
        <v>1000</v>
      </c>
      <c r="I724" s="285">
        <v>1000</v>
      </c>
      <c r="J724" s="271">
        <v>1000</v>
      </c>
    </row>
    <row r="725" spans="1:10" ht="15.75" customHeight="1" outlineLevel="3" x14ac:dyDescent="0.25">
      <c r="B725" s="580" t="s">
        <v>145</v>
      </c>
      <c r="C725" s="592" t="s">
        <v>162</v>
      </c>
      <c r="D725" s="298">
        <v>427</v>
      </c>
      <c r="E725" s="300">
        <v>593</v>
      </c>
      <c r="F725" s="300">
        <v>682</v>
      </c>
      <c r="G725" s="301">
        <v>682</v>
      </c>
      <c r="H725" s="301">
        <v>682</v>
      </c>
      <c r="I725" s="298">
        <v>682</v>
      </c>
      <c r="J725" s="301">
        <v>682</v>
      </c>
    </row>
    <row r="726" spans="1:10" ht="15.75" customHeight="1" outlineLevel="3" thickBot="1" x14ac:dyDescent="0.3">
      <c r="B726" s="552"/>
      <c r="C726" s="553" t="s">
        <v>120</v>
      </c>
      <c r="D726" s="550">
        <f>SUM(D724:D725)</f>
        <v>1992</v>
      </c>
      <c r="E726" s="550">
        <f t="shared" ref="E726:J726" si="54">SUM(E724:E725)</f>
        <v>1743</v>
      </c>
      <c r="F726" s="550">
        <f t="shared" si="54"/>
        <v>1682</v>
      </c>
      <c r="G726" s="550">
        <f t="shared" si="54"/>
        <v>1682</v>
      </c>
      <c r="H726" s="550">
        <f t="shared" si="54"/>
        <v>1682</v>
      </c>
      <c r="I726" s="550">
        <f t="shared" si="54"/>
        <v>1682</v>
      </c>
      <c r="J726" s="550">
        <f t="shared" si="54"/>
        <v>1682</v>
      </c>
    </row>
    <row r="727" spans="1:10" ht="21.75" customHeight="1" outlineLevel="2" thickBot="1" x14ac:dyDescent="0.3">
      <c r="B727" s="250" t="s">
        <v>153</v>
      </c>
      <c r="C727" s="251"/>
      <c r="D727" s="251"/>
      <c r="E727" s="251"/>
      <c r="F727" s="251"/>
      <c r="G727" s="251"/>
      <c r="H727" s="251"/>
      <c r="I727" s="251"/>
      <c r="J727" s="251"/>
    </row>
    <row r="728" spans="1:10" ht="15.75" customHeight="1" outlineLevel="3" x14ac:dyDescent="0.25">
      <c r="B728" s="579" t="s">
        <v>144</v>
      </c>
      <c r="C728" s="36" t="s">
        <v>161</v>
      </c>
      <c r="D728" s="285"/>
      <c r="E728" s="270"/>
      <c r="F728" s="270"/>
      <c r="G728" s="271"/>
      <c r="H728" s="271"/>
      <c r="I728" s="285"/>
      <c r="J728" s="271"/>
    </row>
    <row r="729" spans="1:10" ht="15.75" customHeight="1" outlineLevel="3" x14ac:dyDescent="0.25">
      <c r="B729" s="580" t="s">
        <v>145</v>
      </c>
      <c r="C729" s="36" t="s">
        <v>162</v>
      </c>
      <c r="D729" s="298"/>
      <c r="E729" s="300"/>
      <c r="F729" s="300"/>
      <c r="G729" s="301"/>
      <c r="H729" s="301"/>
      <c r="I729" s="298"/>
      <c r="J729" s="301"/>
    </row>
    <row r="730" spans="1:10" ht="15.75" customHeight="1" outlineLevel="3" thickBot="1" x14ac:dyDescent="0.3">
      <c r="B730" s="549"/>
      <c r="C730" s="550" t="s">
        <v>120</v>
      </c>
      <c r="D730" s="550">
        <f>SUM(D728:D729)</f>
        <v>0</v>
      </c>
      <c r="E730" s="550">
        <f t="shared" ref="E730:J730" si="55">SUM(E728:E729)</f>
        <v>0</v>
      </c>
      <c r="F730" s="550">
        <f t="shared" si="55"/>
        <v>0</v>
      </c>
      <c r="G730" s="550">
        <f t="shared" si="55"/>
        <v>0</v>
      </c>
      <c r="H730" s="550">
        <f t="shared" si="55"/>
        <v>0</v>
      </c>
      <c r="I730" s="550">
        <f t="shared" si="55"/>
        <v>0</v>
      </c>
      <c r="J730" s="550">
        <f t="shared" si="55"/>
        <v>0</v>
      </c>
    </row>
    <row r="731" spans="1:10" ht="21.75" customHeight="1" outlineLevel="2" thickBot="1" x14ac:dyDescent="0.3">
      <c r="B731" s="250" t="s">
        <v>154</v>
      </c>
      <c r="C731" s="251"/>
      <c r="D731" s="251"/>
      <c r="E731" s="251"/>
      <c r="F731" s="251"/>
      <c r="G731" s="251"/>
      <c r="H731" s="251"/>
      <c r="I731" s="251"/>
      <c r="J731" s="251"/>
    </row>
    <row r="732" spans="1:10" ht="15.75" customHeight="1" outlineLevel="3" x14ac:dyDescent="0.25">
      <c r="B732" s="579" t="s">
        <v>144</v>
      </c>
      <c r="C732" s="36" t="s">
        <v>161</v>
      </c>
      <c r="D732" s="285"/>
      <c r="E732" s="270"/>
      <c r="F732" s="270"/>
      <c r="G732" s="271"/>
      <c r="H732" s="271"/>
      <c r="I732" s="285"/>
      <c r="J732" s="271"/>
    </row>
    <row r="733" spans="1:10" ht="15.75" customHeight="1" outlineLevel="3" x14ac:dyDescent="0.25">
      <c r="B733" s="580" t="s">
        <v>145</v>
      </c>
      <c r="C733" s="36" t="s">
        <v>162</v>
      </c>
      <c r="D733" s="298"/>
      <c r="E733" s="300"/>
      <c r="F733" s="300"/>
      <c r="G733" s="301"/>
      <c r="H733" s="301"/>
      <c r="I733" s="298"/>
      <c r="J733" s="301"/>
    </row>
    <row r="734" spans="1:10" ht="15.75" customHeight="1" outlineLevel="3" thickBot="1" x14ac:dyDescent="0.3">
      <c r="B734" s="549"/>
      <c r="C734" s="550" t="s">
        <v>120</v>
      </c>
      <c r="D734" s="550">
        <f>SUM(D732:D733)</f>
        <v>0</v>
      </c>
      <c r="E734" s="550">
        <f t="shared" ref="E734:J734" si="56">SUM(E732:E733)</f>
        <v>0</v>
      </c>
      <c r="F734" s="550">
        <f t="shared" si="56"/>
        <v>0</v>
      </c>
      <c r="G734" s="550">
        <f t="shared" si="56"/>
        <v>0</v>
      </c>
      <c r="H734" s="550">
        <f t="shared" si="56"/>
        <v>0</v>
      </c>
      <c r="I734" s="550">
        <f t="shared" si="56"/>
        <v>0</v>
      </c>
      <c r="J734" s="550">
        <f t="shared" si="56"/>
        <v>0</v>
      </c>
    </row>
    <row r="735" spans="1:10" ht="21.75" customHeight="1" outlineLevel="2" thickBot="1" x14ac:dyDescent="0.3">
      <c r="B735" s="250" t="s">
        <v>155</v>
      </c>
      <c r="C735" s="251"/>
      <c r="D735" s="251"/>
      <c r="E735" s="251"/>
      <c r="F735" s="251"/>
      <c r="G735" s="251"/>
      <c r="H735" s="251"/>
      <c r="I735" s="251"/>
      <c r="J735" s="251"/>
    </row>
    <row r="736" spans="1:10" ht="15.75" customHeight="1" outlineLevel="3" x14ac:dyDescent="0.25">
      <c r="B736" s="579" t="s">
        <v>144</v>
      </c>
      <c r="C736" s="36" t="s">
        <v>161</v>
      </c>
      <c r="D736" s="285"/>
      <c r="E736" s="270"/>
      <c r="F736" s="270"/>
      <c r="G736" s="271"/>
      <c r="H736" s="271"/>
      <c r="I736" s="285"/>
      <c r="J736" s="271"/>
    </row>
    <row r="737" spans="2:10" ht="15.75" customHeight="1" outlineLevel="3" x14ac:dyDescent="0.25">
      <c r="B737" s="580" t="s">
        <v>145</v>
      </c>
      <c r="C737" s="36" t="s">
        <v>162</v>
      </c>
      <c r="D737" s="298"/>
      <c r="E737" s="300"/>
      <c r="F737" s="300"/>
      <c r="G737" s="301"/>
      <c r="H737" s="301"/>
      <c r="I737" s="298"/>
      <c r="J737" s="301"/>
    </row>
    <row r="738" spans="2:10" ht="15.75" customHeight="1" outlineLevel="3" thickBot="1" x14ac:dyDescent="0.3">
      <c r="B738" s="549"/>
      <c r="C738" s="550" t="s">
        <v>120</v>
      </c>
      <c r="D738" s="550">
        <f>SUM(D736:D737)</f>
        <v>0</v>
      </c>
      <c r="E738" s="550">
        <f t="shared" ref="E738:J738" si="57">SUM(E736:E737)</f>
        <v>0</v>
      </c>
      <c r="F738" s="550">
        <f t="shared" si="57"/>
        <v>0</v>
      </c>
      <c r="G738" s="550">
        <f t="shared" si="57"/>
        <v>0</v>
      </c>
      <c r="H738" s="550">
        <f t="shared" si="57"/>
        <v>0</v>
      </c>
      <c r="I738" s="550">
        <f t="shared" si="57"/>
        <v>0</v>
      </c>
      <c r="J738" s="550">
        <f t="shared" si="57"/>
        <v>0</v>
      </c>
    </row>
    <row r="739" spans="2:10" ht="21.75" customHeight="1" outlineLevel="2" thickBot="1" x14ac:dyDescent="0.3">
      <c r="B739" s="250" t="s">
        <v>156</v>
      </c>
      <c r="C739" s="251"/>
      <c r="D739" s="251"/>
      <c r="E739" s="251"/>
      <c r="F739" s="251"/>
      <c r="G739" s="251"/>
      <c r="H739" s="251"/>
      <c r="I739" s="251"/>
      <c r="J739" s="251"/>
    </row>
    <row r="740" spans="2:10" ht="15.75" customHeight="1" outlineLevel="3" x14ac:dyDescent="0.25">
      <c r="B740" s="579" t="s">
        <v>144</v>
      </c>
      <c r="C740" s="36" t="s">
        <v>161</v>
      </c>
      <c r="D740" s="285"/>
      <c r="E740" s="270"/>
      <c r="F740" s="270"/>
      <c r="G740" s="271"/>
      <c r="H740" s="271"/>
      <c r="I740" s="285"/>
      <c r="J740" s="271"/>
    </row>
    <row r="741" spans="2:10" ht="15.75" customHeight="1" outlineLevel="3" x14ac:dyDescent="0.25">
      <c r="B741" s="580" t="s">
        <v>145</v>
      </c>
      <c r="C741" s="36" t="s">
        <v>162</v>
      </c>
      <c r="D741" s="298"/>
      <c r="E741" s="300"/>
      <c r="F741" s="300"/>
      <c r="G741" s="301"/>
      <c r="H741" s="301"/>
      <c r="I741" s="298"/>
      <c r="J741" s="301"/>
    </row>
    <row r="742" spans="2:10" ht="15.75" customHeight="1" outlineLevel="3" thickBot="1" x14ac:dyDescent="0.3">
      <c r="B742" s="549"/>
      <c r="C742" s="550" t="s">
        <v>120</v>
      </c>
      <c r="D742" s="550">
        <f>SUM(D740:D741)</f>
        <v>0</v>
      </c>
      <c r="E742" s="550">
        <f t="shared" ref="E742:J742" si="58">SUM(E740:E741)</f>
        <v>0</v>
      </c>
      <c r="F742" s="550">
        <f t="shared" si="58"/>
        <v>0</v>
      </c>
      <c r="G742" s="550">
        <f t="shared" si="58"/>
        <v>0</v>
      </c>
      <c r="H742" s="550">
        <f t="shared" si="58"/>
        <v>0</v>
      </c>
      <c r="I742" s="550">
        <f t="shared" si="58"/>
        <v>0</v>
      </c>
      <c r="J742" s="550">
        <f t="shared" si="58"/>
        <v>0</v>
      </c>
    </row>
    <row r="743" spans="2:10" ht="21.75" customHeight="1" outlineLevel="2" thickBot="1" x14ac:dyDescent="0.3">
      <c r="B743" s="250" t="s">
        <v>157</v>
      </c>
      <c r="C743" s="251"/>
      <c r="D743" s="251"/>
      <c r="E743" s="251"/>
      <c r="F743" s="251"/>
      <c r="G743" s="251"/>
      <c r="H743" s="251"/>
      <c r="I743" s="251"/>
      <c r="J743" s="251"/>
    </row>
    <row r="744" spans="2:10" ht="15.75" customHeight="1" outlineLevel="3" x14ac:dyDescent="0.25">
      <c r="B744" s="579" t="s">
        <v>144</v>
      </c>
      <c r="C744" s="36" t="s">
        <v>161</v>
      </c>
      <c r="D744" s="285"/>
      <c r="E744" s="270"/>
      <c r="F744" s="270"/>
      <c r="G744" s="271"/>
      <c r="H744" s="271"/>
      <c r="I744" s="285"/>
      <c r="J744" s="271"/>
    </row>
    <row r="745" spans="2:10" ht="15.75" customHeight="1" outlineLevel="3" x14ac:dyDescent="0.25">
      <c r="B745" s="580" t="s">
        <v>145</v>
      </c>
      <c r="C745" s="36" t="s">
        <v>162</v>
      </c>
      <c r="D745" s="298"/>
      <c r="E745" s="300"/>
      <c r="F745" s="300"/>
      <c r="G745" s="301"/>
      <c r="H745" s="301"/>
      <c r="I745" s="298"/>
      <c r="J745" s="301"/>
    </row>
    <row r="746" spans="2:10" ht="15.75" customHeight="1" outlineLevel="3" thickBot="1" x14ac:dyDescent="0.3">
      <c r="B746" s="549"/>
      <c r="C746" s="550" t="s">
        <v>120</v>
      </c>
      <c r="D746" s="550">
        <f>SUM(D744:D745)</f>
        <v>0</v>
      </c>
      <c r="E746" s="550">
        <f t="shared" ref="E746:J746" si="59">SUM(E744:E745)</f>
        <v>0</v>
      </c>
      <c r="F746" s="550">
        <f t="shared" si="59"/>
        <v>0</v>
      </c>
      <c r="G746" s="550">
        <f t="shared" si="59"/>
        <v>0</v>
      </c>
      <c r="H746" s="550">
        <f t="shared" si="59"/>
        <v>0</v>
      </c>
      <c r="I746" s="550">
        <f t="shared" si="59"/>
        <v>0</v>
      </c>
      <c r="J746" s="550">
        <f t="shared" si="59"/>
        <v>0</v>
      </c>
    </row>
    <row r="747" spans="2:10" ht="21.75" customHeight="1" outlineLevel="2" x14ac:dyDescent="0.25"/>
    <row r="748" spans="2:10" ht="15.75" customHeight="1" outlineLevel="1" x14ac:dyDescent="0.25"/>
    <row r="749" spans="2:10" ht="15.75" customHeight="1" x14ac:dyDescent="0.25"/>
  </sheetData>
  <mergeCells count="2">
    <mergeCell ref="D720:J720"/>
    <mergeCell ref="D721:J7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3" tint="-0.249977111117893"/>
  </sheetPr>
  <dimension ref="A1:J698"/>
  <sheetViews>
    <sheetView showGridLines="0" zoomScale="70" zoomScaleNormal="70" workbookViewId="0"/>
  </sheetViews>
  <sheetFormatPr defaultRowHeight="15" outlineLevelRow="2" x14ac:dyDescent="0.25"/>
  <cols>
    <col min="1" max="1" width="21.42578125" customWidth="1"/>
    <col min="2" max="2" width="103.140625" customWidth="1"/>
    <col min="3" max="9" width="20.7109375" customWidth="1"/>
    <col min="208" max="209" width="16.28515625" customWidth="1"/>
    <col min="210" max="210" width="93.28515625" customWidth="1"/>
    <col min="211" max="211" width="26.140625" customWidth="1"/>
    <col min="212" max="213" width="11.7109375" bestFit="1" customWidth="1"/>
    <col min="214" max="214" width="11.7109375" customWidth="1"/>
    <col min="215" max="216" width="17.42578125" bestFit="1" customWidth="1"/>
    <col min="217" max="218" width="14" bestFit="1" customWidth="1"/>
    <col min="219" max="219" width="20" bestFit="1" customWidth="1"/>
    <col min="220" max="220" width="17.42578125" customWidth="1"/>
    <col min="221" max="221" width="10.7109375" bestFit="1" customWidth="1"/>
    <col min="222" max="222" width="11" bestFit="1" customWidth="1"/>
    <col min="223" max="223" width="10.5703125" bestFit="1" customWidth="1"/>
    <col min="224" max="224" width="15.85546875" bestFit="1" customWidth="1"/>
    <col min="225" max="225" width="17.42578125" bestFit="1" customWidth="1"/>
    <col min="464" max="465" width="16.28515625" customWidth="1"/>
    <col min="466" max="466" width="93.28515625" customWidth="1"/>
    <col min="467" max="467" width="26.140625" customWidth="1"/>
    <col min="468" max="469" width="11.7109375" bestFit="1" customWidth="1"/>
    <col min="470" max="470" width="11.7109375" customWidth="1"/>
    <col min="471" max="472" width="17.42578125" bestFit="1" customWidth="1"/>
    <col min="473" max="474" width="14" bestFit="1" customWidth="1"/>
    <col min="475" max="475" width="20" bestFit="1" customWidth="1"/>
    <col min="476" max="476" width="17.42578125" customWidth="1"/>
    <col min="477" max="477" width="10.7109375" bestFit="1" customWidth="1"/>
    <col min="478" max="478" width="11" bestFit="1" customWidth="1"/>
    <col min="479" max="479" width="10.5703125" bestFit="1" customWidth="1"/>
    <col min="480" max="480" width="15.85546875" bestFit="1" customWidth="1"/>
    <col min="481" max="481" width="17.42578125" bestFit="1" customWidth="1"/>
    <col min="720" max="721" width="16.28515625" customWidth="1"/>
    <col min="722" max="722" width="93.28515625" customWidth="1"/>
    <col min="723" max="723" width="26.140625" customWidth="1"/>
    <col min="724" max="725" width="11.7109375" bestFit="1" customWidth="1"/>
    <col min="726" max="726" width="11.7109375" customWidth="1"/>
    <col min="727" max="728" width="17.42578125" bestFit="1" customWidth="1"/>
    <col min="729" max="730" width="14" bestFit="1" customWidth="1"/>
    <col min="731" max="731" width="20" bestFit="1" customWidth="1"/>
    <col min="732" max="732" width="17.42578125" customWidth="1"/>
    <col min="733" max="733" width="10.7109375" bestFit="1" customWidth="1"/>
    <col min="734" max="734" width="11" bestFit="1" customWidth="1"/>
    <col min="735" max="735" width="10.5703125" bestFit="1" customWidth="1"/>
    <col min="736" max="736" width="15.85546875" bestFit="1" customWidth="1"/>
    <col min="737" max="737" width="17.42578125" bestFit="1" customWidth="1"/>
    <col min="976" max="977" width="16.28515625" customWidth="1"/>
    <col min="978" max="978" width="93.28515625" customWidth="1"/>
    <col min="979" max="979" width="26.140625" customWidth="1"/>
    <col min="980" max="981" width="11.7109375" bestFit="1" customWidth="1"/>
    <col min="982" max="982" width="11.7109375" customWidth="1"/>
    <col min="983" max="984" width="17.42578125" bestFit="1" customWidth="1"/>
    <col min="985" max="986" width="14" bestFit="1" customWidth="1"/>
    <col min="987" max="987" width="20" bestFit="1" customWidth="1"/>
    <col min="988" max="988" width="17.42578125" customWidth="1"/>
    <col min="989" max="989" width="10.7109375" bestFit="1" customWidth="1"/>
    <col min="990" max="990" width="11" bestFit="1" customWidth="1"/>
    <col min="991" max="991" width="10.5703125" bestFit="1" customWidth="1"/>
    <col min="992" max="992" width="15.85546875" bestFit="1" customWidth="1"/>
    <col min="993" max="993" width="17.42578125" bestFit="1" customWidth="1"/>
    <col min="1232" max="1233" width="16.28515625" customWidth="1"/>
    <col min="1234" max="1234" width="93.28515625" customWidth="1"/>
    <col min="1235" max="1235" width="26.140625" customWidth="1"/>
    <col min="1236" max="1237" width="11.7109375" bestFit="1" customWidth="1"/>
    <col min="1238" max="1238" width="11.7109375" customWidth="1"/>
    <col min="1239" max="1240" width="17.42578125" bestFit="1" customWidth="1"/>
    <col min="1241" max="1242" width="14" bestFit="1" customWidth="1"/>
    <col min="1243" max="1243" width="20" bestFit="1" customWidth="1"/>
    <col min="1244" max="1244" width="17.42578125" customWidth="1"/>
    <col min="1245" max="1245" width="10.7109375" bestFit="1" customWidth="1"/>
    <col min="1246" max="1246" width="11" bestFit="1" customWidth="1"/>
    <col min="1247" max="1247" width="10.5703125" bestFit="1" customWidth="1"/>
    <col min="1248" max="1248" width="15.85546875" bestFit="1" customWidth="1"/>
    <col min="1249" max="1249" width="17.42578125" bestFit="1" customWidth="1"/>
    <col min="1488" max="1489" width="16.28515625" customWidth="1"/>
    <col min="1490" max="1490" width="93.28515625" customWidth="1"/>
    <col min="1491" max="1491" width="26.140625" customWidth="1"/>
    <col min="1492" max="1493" width="11.7109375" bestFit="1" customWidth="1"/>
    <col min="1494" max="1494" width="11.7109375" customWidth="1"/>
    <col min="1495" max="1496" width="17.42578125" bestFit="1" customWidth="1"/>
    <col min="1497" max="1498" width="14" bestFit="1" customWidth="1"/>
    <col min="1499" max="1499" width="20" bestFit="1" customWidth="1"/>
    <col min="1500" max="1500" width="17.42578125" customWidth="1"/>
    <col min="1501" max="1501" width="10.7109375" bestFit="1" customWidth="1"/>
    <col min="1502" max="1502" width="11" bestFit="1" customWidth="1"/>
    <col min="1503" max="1503" width="10.5703125" bestFit="1" customWidth="1"/>
    <col min="1504" max="1504" width="15.85546875" bestFit="1" customWidth="1"/>
    <col min="1505" max="1505" width="17.42578125" bestFit="1" customWidth="1"/>
    <col min="1744" max="1745" width="16.28515625" customWidth="1"/>
    <col min="1746" max="1746" width="93.28515625" customWidth="1"/>
    <col min="1747" max="1747" width="26.140625" customWidth="1"/>
    <col min="1748" max="1749" width="11.7109375" bestFit="1" customWidth="1"/>
    <col min="1750" max="1750" width="11.7109375" customWidth="1"/>
    <col min="1751" max="1752" width="17.42578125" bestFit="1" customWidth="1"/>
    <col min="1753" max="1754" width="14" bestFit="1" customWidth="1"/>
    <col min="1755" max="1755" width="20" bestFit="1" customWidth="1"/>
    <col min="1756" max="1756" width="17.42578125" customWidth="1"/>
    <col min="1757" max="1757" width="10.7109375" bestFit="1" customWidth="1"/>
    <col min="1758" max="1758" width="11" bestFit="1" customWidth="1"/>
    <col min="1759" max="1759" width="10.5703125" bestFit="1" customWidth="1"/>
    <col min="1760" max="1760" width="15.85546875" bestFit="1" customWidth="1"/>
    <col min="1761" max="1761" width="17.42578125" bestFit="1" customWidth="1"/>
    <col min="2000" max="2001" width="16.28515625" customWidth="1"/>
    <col min="2002" max="2002" width="93.28515625" customWidth="1"/>
    <col min="2003" max="2003" width="26.140625" customWidth="1"/>
    <col min="2004" max="2005" width="11.7109375" bestFit="1" customWidth="1"/>
    <col min="2006" max="2006" width="11.7109375" customWidth="1"/>
    <col min="2007" max="2008" width="17.42578125" bestFit="1" customWidth="1"/>
    <col min="2009" max="2010" width="14" bestFit="1" customWidth="1"/>
    <col min="2011" max="2011" width="20" bestFit="1" customWidth="1"/>
    <col min="2012" max="2012" width="17.42578125" customWidth="1"/>
    <col min="2013" max="2013" width="10.7109375" bestFit="1" customWidth="1"/>
    <col min="2014" max="2014" width="11" bestFit="1" customWidth="1"/>
    <col min="2015" max="2015" width="10.5703125" bestFit="1" customWidth="1"/>
    <col min="2016" max="2016" width="15.85546875" bestFit="1" customWidth="1"/>
    <col min="2017" max="2017" width="17.42578125" bestFit="1" customWidth="1"/>
    <col min="2256" max="2257" width="16.28515625" customWidth="1"/>
    <col min="2258" max="2258" width="93.28515625" customWidth="1"/>
    <col min="2259" max="2259" width="26.140625" customWidth="1"/>
    <col min="2260" max="2261" width="11.7109375" bestFit="1" customWidth="1"/>
    <col min="2262" max="2262" width="11.7109375" customWidth="1"/>
    <col min="2263" max="2264" width="17.42578125" bestFit="1" customWidth="1"/>
    <col min="2265" max="2266" width="14" bestFit="1" customWidth="1"/>
    <col min="2267" max="2267" width="20" bestFit="1" customWidth="1"/>
    <col min="2268" max="2268" width="17.42578125" customWidth="1"/>
    <col min="2269" max="2269" width="10.7109375" bestFit="1" customWidth="1"/>
    <col min="2270" max="2270" width="11" bestFit="1" customWidth="1"/>
    <col min="2271" max="2271" width="10.5703125" bestFit="1" customWidth="1"/>
    <col min="2272" max="2272" width="15.85546875" bestFit="1" customWidth="1"/>
    <col min="2273" max="2273" width="17.42578125" bestFit="1" customWidth="1"/>
    <col min="2512" max="2513" width="16.28515625" customWidth="1"/>
    <col min="2514" max="2514" width="93.28515625" customWidth="1"/>
    <col min="2515" max="2515" width="26.140625" customWidth="1"/>
    <col min="2516" max="2517" width="11.7109375" bestFit="1" customWidth="1"/>
    <col min="2518" max="2518" width="11.7109375" customWidth="1"/>
    <col min="2519" max="2520" width="17.42578125" bestFit="1" customWidth="1"/>
    <col min="2521" max="2522" width="14" bestFit="1" customWidth="1"/>
    <col min="2523" max="2523" width="20" bestFit="1" customWidth="1"/>
    <col min="2524" max="2524" width="17.42578125" customWidth="1"/>
    <col min="2525" max="2525" width="10.7109375" bestFit="1" customWidth="1"/>
    <col min="2526" max="2526" width="11" bestFit="1" customWidth="1"/>
    <col min="2527" max="2527" width="10.5703125" bestFit="1" customWidth="1"/>
    <col min="2528" max="2528" width="15.85546875" bestFit="1" customWidth="1"/>
    <col min="2529" max="2529" width="17.42578125" bestFit="1" customWidth="1"/>
    <col min="2768" max="2769" width="16.28515625" customWidth="1"/>
    <col min="2770" max="2770" width="93.28515625" customWidth="1"/>
    <col min="2771" max="2771" width="26.140625" customWidth="1"/>
    <col min="2772" max="2773" width="11.7109375" bestFit="1" customWidth="1"/>
    <col min="2774" max="2774" width="11.7109375" customWidth="1"/>
    <col min="2775" max="2776" width="17.42578125" bestFit="1" customWidth="1"/>
    <col min="2777" max="2778" width="14" bestFit="1" customWidth="1"/>
    <col min="2779" max="2779" width="20" bestFit="1" customWidth="1"/>
    <col min="2780" max="2780" width="17.42578125" customWidth="1"/>
    <col min="2781" max="2781" width="10.7109375" bestFit="1" customWidth="1"/>
    <col min="2782" max="2782" width="11" bestFit="1" customWidth="1"/>
    <col min="2783" max="2783" width="10.5703125" bestFit="1" customWidth="1"/>
    <col min="2784" max="2784" width="15.85546875" bestFit="1" customWidth="1"/>
    <col min="2785" max="2785" width="17.42578125" bestFit="1" customWidth="1"/>
    <col min="3024" max="3025" width="16.28515625" customWidth="1"/>
    <col min="3026" max="3026" width="93.28515625" customWidth="1"/>
    <col min="3027" max="3027" width="26.140625" customWidth="1"/>
    <col min="3028" max="3029" width="11.7109375" bestFit="1" customWidth="1"/>
    <col min="3030" max="3030" width="11.7109375" customWidth="1"/>
    <col min="3031" max="3032" width="17.42578125" bestFit="1" customWidth="1"/>
    <col min="3033" max="3034" width="14" bestFit="1" customWidth="1"/>
    <col min="3035" max="3035" width="20" bestFit="1" customWidth="1"/>
    <col min="3036" max="3036" width="17.42578125" customWidth="1"/>
    <col min="3037" max="3037" width="10.7109375" bestFit="1" customWidth="1"/>
    <col min="3038" max="3038" width="11" bestFit="1" customWidth="1"/>
    <col min="3039" max="3039" width="10.5703125" bestFit="1" customWidth="1"/>
    <col min="3040" max="3040" width="15.85546875" bestFit="1" customWidth="1"/>
    <col min="3041" max="3041" width="17.42578125" bestFit="1" customWidth="1"/>
    <col min="3280" max="3281" width="16.28515625" customWidth="1"/>
    <col min="3282" max="3282" width="93.28515625" customWidth="1"/>
    <col min="3283" max="3283" width="26.140625" customWidth="1"/>
    <col min="3284" max="3285" width="11.7109375" bestFit="1" customWidth="1"/>
    <col min="3286" max="3286" width="11.7109375" customWidth="1"/>
    <col min="3287" max="3288" width="17.42578125" bestFit="1" customWidth="1"/>
    <col min="3289" max="3290" width="14" bestFit="1" customWidth="1"/>
    <col min="3291" max="3291" width="20" bestFit="1" customWidth="1"/>
    <col min="3292" max="3292" width="17.42578125" customWidth="1"/>
    <col min="3293" max="3293" width="10.7109375" bestFit="1" customWidth="1"/>
    <col min="3294" max="3294" width="11" bestFit="1" customWidth="1"/>
    <col min="3295" max="3295" width="10.5703125" bestFit="1" customWidth="1"/>
    <col min="3296" max="3296" width="15.85546875" bestFit="1" customWidth="1"/>
    <col min="3297" max="3297" width="17.42578125" bestFit="1" customWidth="1"/>
    <col min="3536" max="3537" width="16.28515625" customWidth="1"/>
    <col min="3538" max="3538" width="93.28515625" customWidth="1"/>
    <col min="3539" max="3539" width="26.140625" customWidth="1"/>
    <col min="3540" max="3541" width="11.7109375" bestFit="1" customWidth="1"/>
    <col min="3542" max="3542" width="11.7109375" customWidth="1"/>
    <col min="3543" max="3544" width="17.42578125" bestFit="1" customWidth="1"/>
    <col min="3545" max="3546" width="14" bestFit="1" customWidth="1"/>
    <col min="3547" max="3547" width="20" bestFit="1" customWidth="1"/>
    <col min="3548" max="3548" width="17.42578125" customWidth="1"/>
    <col min="3549" max="3549" width="10.7109375" bestFit="1" customWidth="1"/>
    <col min="3550" max="3550" width="11" bestFit="1" customWidth="1"/>
    <col min="3551" max="3551" width="10.5703125" bestFit="1" customWidth="1"/>
    <col min="3552" max="3552" width="15.85546875" bestFit="1" customWidth="1"/>
    <col min="3553" max="3553" width="17.42578125" bestFit="1" customWidth="1"/>
    <col min="3792" max="3793" width="16.28515625" customWidth="1"/>
    <col min="3794" max="3794" width="93.28515625" customWidth="1"/>
    <col min="3795" max="3795" width="26.140625" customWidth="1"/>
    <col min="3796" max="3797" width="11.7109375" bestFit="1" customWidth="1"/>
    <col min="3798" max="3798" width="11.7109375" customWidth="1"/>
    <col min="3799" max="3800" width="17.42578125" bestFit="1" customWidth="1"/>
    <col min="3801" max="3802" width="14" bestFit="1" customWidth="1"/>
    <col min="3803" max="3803" width="20" bestFit="1" customWidth="1"/>
    <col min="3804" max="3804" width="17.42578125" customWidth="1"/>
    <col min="3805" max="3805" width="10.7109375" bestFit="1" customWidth="1"/>
    <col min="3806" max="3806" width="11" bestFit="1" customWidth="1"/>
    <col min="3807" max="3807" width="10.5703125" bestFit="1" customWidth="1"/>
    <col min="3808" max="3808" width="15.85546875" bestFit="1" customWidth="1"/>
    <col min="3809" max="3809" width="17.42578125" bestFit="1" customWidth="1"/>
    <col min="4048" max="4049" width="16.28515625" customWidth="1"/>
    <col min="4050" max="4050" width="93.28515625" customWidth="1"/>
    <col min="4051" max="4051" width="26.140625" customWidth="1"/>
    <col min="4052" max="4053" width="11.7109375" bestFit="1" customWidth="1"/>
    <col min="4054" max="4054" width="11.7109375" customWidth="1"/>
    <col min="4055" max="4056" width="17.42578125" bestFit="1" customWidth="1"/>
    <col min="4057" max="4058" width="14" bestFit="1" customWidth="1"/>
    <col min="4059" max="4059" width="20" bestFit="1" customWidth="1"/>
    <col min="4060" max="4060" width="17.42578125" customWidth="1"/>
    <col min="4061" max="4061" width="10.7109375" bestFit="1" customWidth="1"/>
    <col min="4062" max="4062" width="11" bestFit="1" customWidth="1"/>
    <col min="4063" max="4063" width="10.5703125" bestFit="1" customWidth="1"/>
    <col min="4064" max="4064" width="15.85546875" bestFit="1" customWidth="1"/>
    <col min="4065" max="4065" width="17.42578125" bestFit="1" customWidth="1"/>
    <col min="4304" max="4305" width="16.28515625" customWidth="1"/>
    <col min="4306" max="4306" width="93.28515625" customWidth="1"/>
    <col min="4307" max="4307" width="26.140625" customWidth="1"/>
    <col min="4308" max="4309" width="11.7109375" bestFit="1" customWidth="1"/>
    <col min="4310" max="4310" width="11.7109375" customWidth="1"/>
    <col min="4311" max="4312" width="17.42578125" bestFit="1" customWidth="1"/>
    <col min="4313" max="4314" width="14" bestFit="1" customWidth="1"/>
    <col min="4315" max="4315" width="20" bestFit="1" customWidth="1"/>
    <col min="4316" max="4316" width="17.42578125" customWidth="1"/>
    <col min="4317" max="4317" width="10.7109375" bestFit="1" customWidth="1"/>
    <col min="4318" max="4318" width="11" bestFit="1" customWidth="1"/>
    <col min="4319" max="4319" width="10.5703125" bestFit="1" customWidth="1"/>
    <col min="4320" max="4320" width="15.85546875" bestFit="1" customWidth="1"/>
    <col min="4321" max="4321" width="17.42578125" bestFit="1" customWidth="1"/>
    <col min="4560" max="4561" width="16.28515625" customWidth="1"/>
    <col min="4562" max="4562" width="93.28515625" customWidth="1"/>
    <col min="4563" max="4563" width="26.140625" customWidth="1"/>
    <col min="4564" max="4565" width="11.7109375" bestFit="1" customWidth="1"/>
    <col min="4566" max="4566" width="11.7109375" customWidth="1"/>
    <col min="4567" max="4568" width="17.42578125" bestFit="1" customWidth="1"/>
    <col min="4569" max="4570" width="14" bestFit="1" customWidth="1"/>
    <col min="4571" max="4571" width="20" bestFit="1" customWidth="1"/>
    <col min="4572" max="4572" width="17.42578125" customWidth="1"/>
    <col min="4573" max="4573" width="10.7109375" bestFit="1" customWidth="1"/>
    <col min="4574" max="4574" width="11" bestFit="1" customWidth="1"/>
    <col min="4575" max="4575" width="10.5703125" bestFit="1" customWidth="1"/>
    <col min="4576" max="4576" width="15.85546875" bestFit="1" customWidth="1"/>
    <col min="4577" max="4577" width="17.42578125" bestFit="1" customWidth="1"/>
    <col min="4816" max="4817" width="16.28515625" customWidth="1"/>
    <col min="4818" max="4818" width="93.28515625" customWidth="1"/>
    <col min="4819" max="4819" width="26.140625" customWidth="1"/>
    <col min="4820" max="4821" width="11.7109375" bestFit="1" customWidth="1"/>
    <col min="4822" max="4822" width="11.7109375" customWidth="1"/>
    <col min="4823" max="4824" width="17.42578125" bestFit="1" customWidth="1"/>
    <col min="4825" max="4826" width="14" bestFit="1" customWidth="1"/>
    <col min="4827" max="4827" width="20" bestFit="1" customWidth="1"/>
    <col min="4828" max="4828" width="17.42578125" customWidth="1"/>
    <col min="4829" max="4829" width="10.7109375" bestFit="1" customWidth="1"/>
    <col min="4830" max="4830" width="11" bestFit="1" customWidth="1"/>
    <col min="4831" max="4831" width="10.5703125" bestFit="1" customWidth="1"/>
    <col min="4832" max="4832" width="15.85546875" bestFit="1" customWidth="1"/>
    <col min="4833" max="4833" width="17.42578125" bestFit="1" customWidth="1"/>
    <col min="5072" max="5073" width="16.28515625" customWidth="1"/>
    <col min="5074" max="5074" width="93.28515625" customWidth="1"/>
    <col min="5075" max="5075" width="26.140625" customWidth="1"/>
    <col min="5076" max="5077" width="11.7109375" bestFit="1" customWidth="1"/>
    <col min="5078" max="5078" width="11.7109375" customWidth="1"/>
    <col min="5079" max="5080" width="17.42578125" bestFit="1" customWidth="1"/>
    <col min="5081" max="5082" width="14" bestFit="1" customWidth="1"/>
    <col min="5083" max="5083" width="20" bestFit="1" customWidth="1"/>
    <col min="5084" max="5084" width="17.42578125" customWidth="1"/>
    <col min="5085" max="5085" width="10.7109375" bestFit="1" customWidth="1"/>
    <col min="5086" max="5086" width="11" bestFit="1" customWidth="1"/>
    <col min="5087" max="5087" width="10.5703125" bestFit="1" customWidth="1"/>
    <col min="5088" max="5088" width="15.85546875" bestFit="1" customWidth="1"/>
    <col min="5089" max="5089" width="17.42578125" bestFit="1" customWidth="1"/>
    <col min="5328" max="5329" width="16.28515625" customWidth="1"/>
    <col min="5330" max="5330" width="93.28515625" customWidth="1"/>
    <col min="5331" max="5331" width="26.140625" customWidth="1"/>
    <col min="5332" max="5333" width="11.7109375" bestFit="1" customWidth="1"/>
    <col min="5334" max="5334" width="11.7109375" customWidth="1"/>
    <col min="5335" max="5336" width="17.42578125" bestFit="1" customWidth="1"/>
    <col min="5337" max="5338" width="14" bestFit="1" customWidth="1"/>
    <col min="5339" max="5339" width="20" bestFit="1" customWidth="1"/>
    <col min="5340" max="5340" width="17.42578125" customWidth="1"/>
    <col min="5341" max="5341" width="10.7109375" bestFit="1" customWidth="1"/>
    <col min="5342" max="5342" width="11" bestFit="1" customWidth="1"/>
    <col min="5343" max="5343" width="10.5703125" bestFit="1" customWidth="1"/>
    <col min="5344" max="5344" width="15.85546875" bestFit="1" customWidth="1"/>
    <col min="5345" max="5345" width="17.42578125" bestFit="1" customWidth="1"/>
    <col min="5584" max="5585" width="16.28515625" customWidth="1"/>
    <col min="5586" max="5586" width="93.28515625" customWidth="1"/>
    <col min="5587" max="5587" width="26.140625" customWidth="1"/>
    <col min="5588" max="5589" width="11.7109375" bestFit="1" customWidth="1"/>
    <col min="5590" max="5590" width="11.7109375" customWidth="1"/>
    <col min="5591" max="5592" width="17.42578125" bestFit="1" customWidth="1"/>
    <col min="5593" max="5594" width="14" bestFit="1" customWidth="1"/>
    <col min="5595" max="5595" width="20" bestFit="1" customWidth="1"/>
    <col min="5596" max="5596" width="17.42578125" customWidth="1"/>
    <col min="5597" max="5597" width="10.7109375" bestFit="1" customWidth="1"/>
    <col min="5598" max="5598" width="11" bestFit="1" customWidth="1"/>
    <col min="5599" max="5599" width="10.5703125" bestFit="1" customWidth="1"/>
    <col min="5600" max="5600" width="15.85546875" bestFit="1" customWidth="1"/>
    <col min="5601" max="5601" width="17.42578125" bestFit="1" customWidth="1"/>
    <col min="5840" max="5841" width="16.28515625" customWidth="1"/>
    <col min="5842" max="5842" width="93.28515625" customWidth="1"/>
    <col min="5843" max="5843" width="26.140625" customWidth="1"/>
    <col min="5844" max="5845" width="11.7109375" bestFit="1" customWidth="1"/>
    <col min="5846" max="5846" width="11.7109375" customWidth="1"/>
    <col min="5847" max="5848" width="17.42578125" bestFit="1" customWidth="1"/>
    <col min="5849" max="5850" width="14" bestFit="1" customWidth="1"/>
    <col min="5851" max="5851" width="20" bestFit="1" customWidth="1"/>
    <col min="5852" max="5852" width="17.42578125" customWidth="1"/>
    <col min="5853" max="5853" width="10.7109375" bestFit="1" customWidth="1"/>
    <col min="5854" max="5854" width="11" bestFit="1" customWidth="1"/>
    <col min="5855" max="5855" width="10.5703125" bestFit="1" customWidth="1"/>
    <col min="5856" max="5856" width="15.85546875" bestFit="1" customWidth="1"/>
    <col min="5857" max="5857" width="17.42578125" bestFit="1" customWidth="1"/>
    <col min="6096" max="6097" width="16.28515625" customWidth="1"/>
    <col min="6098" max="6098" width="93.28515625" customWidth="1"/>
    <col min="6099" max="6099" width="26.140625" customWidth="1"/>
    <col min="6100" max="6101" width="11.7109375" bestFit="1" customWidth="1"/>
    <col min="6102" max="6102" width="11.7109375" customWidth="1"/>
    <col min="6103" max="6104" width="17.42578125" bestFit="1" customWidth="1"/>
    <col min="6105" max="6106" width="14" bestFit="1" customWidth="1"/>
    <col min="6107" max="6107" width="20" bestFit="1" customWidth="1"/>
    <col min="6108" max="6108" width="17.42578125" customWidth="1"/>
    <col min="6109" max="6109" width="10.7109375" bestFit="1" customWidth="1"/>
    <col min="6110" max="6110" width="11" bestFit="1" customWidth="1"/>
    <col min="6111" max="6111" width="10.5703125" bestFit="1" customWidth="1"/>
    <col min="6112" max="6112" width="15.85546875" bestFit="1" customWidth="1"/>
    <col min="6113" max="6113" width="17.42578125" bestFit="1" customWidth="1"/>
    <col min="6352" max="6353" width="16.28515625" customWidth="1"/>
    <col min="6354" max="6354" width="93.28515625" customWidth="1"/>
    <col min="6355" max="6355" width="26.140625" customWidth="1"/>
    <col min="6356" max="6357" width="11.7109375" bestFit="1" customWidth="1"/>
    <col min="6358" max="6358" width="11.7109375" customWidth="1"/>
    <col min="6359" max="6360" width="17.42578125" bestFit="1" customWidth="1"/>
    <col min="6361" max="6362" width="14" bestFit="1" customWidth="1"/>
    <col min="6363" max="6363" width="20" bestFit="1" customWidth="1"/>
    <col min="6364" max="6364" width="17.42578125" customWidth="1"/>
    <col min="6365" max="6365" width="10.7109375" bestFit="1" customWidth="1"/>
    <col min="6366" max="6366" width="11" bestFit="1" customWidth="1"/>
    <col min="6367" max="6367" width="10.5703125" bestFit="1" customWidth="1"/>
    <col min="6368" max="6368" width="15.85546875" bestFit="1" customWidth="1"/>
    <col min="6369" max="6369" width="17.42578125" bestFit="1" customWidth="1"/>
    <col min="6608" max="6609" width="16.28515625" customWidth="1"/>
    <col min="6610" max="6610" width="93.28515625" customWidth="1"/>
    <col min="6611" max="6611" width="26.140625" customWidth="1"/>
    <col min="6612" max="6613" width="11.7109375" bestFit="1" customWidth="1"/>
    <col min="6614" max="6614" width="11.7109375" customWidth="1"/>
    <col min="6615" max="6616" width="17.42578125" bestFit="1" customWidth="1"/>
    <col min="6617" max="6618" width="14" bestFit="1" customWidth="1"/>
    <col min="6619" max="6619" width="20" bestFit="1" customWidth="1"/>
    <col min="6620" max="6620" width="17.42578125" customWidth="1"/>
    <col min="6621" max="6621" width="10.7109375" bestFit="1" customWidth="1"/>
    <col min="6622" max="6622" width="11" bestFit="1" customWidth="1"/>
    <col min="6623" max="6623" width="10.5703125" bestFit="1" customWidth="1"/>
    <col min="6624" max="6624" width="15.85546875" bestFit="1" customWidth="1"/>
    <col min="6625" max="6625" width="17.42578125" bestFit="1" customWidth="1"/>
    <col min="6864" max="6865" width="16.28515625" customWidth="1"/>
    <col min="6866" max="6866" width="93.28515625" customWidth="1"/>
    <col min="6867" max="6867" width="26.140625" customWidth="1"/>
    <col min="6868" max="6869" width="11.7109375" bestFit="1" customWidth="1"/>
    <col min="6870" max="6870" width="11.7109375" customWidth="1"/>
    <col min="6871" max="6872" width="17.42578125" bestFit="1" customWidth="1"/>
    <col min="6873" max="6874" width="14" bestFit="1" customWidth="1"/>
    <col min="6875" max="6875" width="20" bestFit="1" customWidth="1"/>
    <col min="6876" max="6876" width="17.42578125" customWidth="1"/>
    <col min="6877" max="6877" width="10.7109375" bestFit="1" customWidth="1"/>
    <col min="6878" max="6878" width="11" bestFit="1" customWidth="1"/>
    <col min="6879" max="6879" width="10.5703125" bestFit="1" customWidth="1"/>
    <col min="6880" max="6880" width="15.85546875" bestFit="1" customWidth="1"/>
    <col min="6881" max="6881" width="17.42578125" bestFit="1" customWidth="1"/>
    <col min="7120" max="7121" width="16.28515625" customWidth="1"/>
    <col min="7122" max="7122" width="93.28515625" customWidth="1"/>
    <col min="7123" max="7123" width="26.140625" customWidth="1"/>
    <col min="7124" max="7125" width="11.7109375" bestFit="1" customWidth="1"/>
    <col min="7126" max="7126" width="11.7109375" customWidth="1"/>
    <col min="7127" max="7128" width="17.42578125" bestFit="1" customWidth="1"/>
    <col min="7129" max="7130" width="14" bestFit="1" customWidth="1"/>
    <col min="7131" max="7131" width="20" bestFit="1" customWidth="1"/>
    <col min="7132" max="7132" width="17.42578125" customWidth="1"/>
    <col min="7133" max="7133" width="10.7109375" bestFit="1" customWidth="1"/>
    <col min="7134" max="7134" width="11" bestFit="1" customWidth="1"/>
    <col min="7135" max="7135" width="10.5703125" bestFit="1" customWidth="1"/>
    <col min="7136" max="7136" width="15.85546875" bestFit="1" customWidth="1"/>
    <col min="7137" max="7137" width="17.42578125" bestFit="1" customWidth="1"/>
    <col min="7376" max="7377" width="16.28515625" customWidth="1"/>
    <col min="7378" max="7378" width="93.28515625" customWidth="1"/>
    <col min="7379" max="7379" width="26.140625" customWidth="1"/>
    <col min="7380" max="7381" width="11.7109375" bestFit="1" customWidth="1"/>
    <col min="7382" max="7382" width="11.7109375" customWidth="1"/>
    <col min="7383" max="7384" width="17.42578125" bestFit="1" customWidth="1"/>
    <col min="7385" max="7386" width="14" bestFit="1" customWidth="1"/>
    <col min="7387" max="7387" width="20" bestFit="1" customWidth="1"/>
    <col min="7388" max="7388" width="17.42578125" customWidth="1"/>
    <col min="7389" max="7389" width="10.7109375" bestFit="1" customWidth="1"/>
    <col min="7390" max="7390" width="11" bestFit="1" customWidth="1"/>
    <col min="7391" max="7391" width="10.5703125" bestFit="1" customWidth="1"/>
    <col min="7392" max="7392" width="15.85546875" bestFit="1" customWidth="1"/>
    <col min="7393" max="7393" width="17.42578125" bestFit="1" customWidth="1"/>
    <col min="7632" max="7633" width="16.28515625" customWidth="1"/>
    <col min="7634" max="7634" width="93.28515625" customWidth="1"/>
    <col min="7635" max="7635" width="26.140625" customWidth="1"/>
    <col min="7636" max="7637" width="11.7109375" bestFit="1" customWidth="1"/>
    <col min="7638" max="7638" width="11.7109375" customWidth="1"/>
    <col min="7639" max="7640" width="17.42578125" bestFit="1" customWidth="1"/>
    <col min="7641" max="7642" width="14" bestFit="1" customWidth="1"/>
    <col min="7643" max="7643" width="20" bestFit="1" customWidth="1"/>
    <col min="7644" max="7644" width="17.42578125" customWidth="1"/>
    <col min="7645" max="7645" width="10.7109375" bestFit="1" customWidth="1"/>
    <col min="7646" max="7646" width="11" bestFit="1" customWidth="1"/>
    <col min="7647" max="7647" width="10.5703125" bestFit="1" customWidth="1"/>
    <col min="7648" max="7648" width="15.85546875" bestFit="1" customWidth="1"/>
    <col min="7649" max="7649" width="17.42578125" bestFit="1" customWidth="1"/>
    <col min="7888" max="7889" width="16.28515625" customWidth="1"/>
    <col min="7890" max="7890" width="93.28515625" customWidth="1"/>
    <col min="7891" max="7891" width="26.140625" customWidth="1"/>
    <col min="7892" max="7893" width="11.7109375" bestFit="1" customWidth="1"/>
    <col min="7894" max="7894" width="11.7109375" customWidth="1"/>
    <col min="7895" max="7896" width="17.42578125" bestFit="1" customWidth="1"/>
    <col min="7897" max="7898" width="14" bestFit="1" customWidth="1"/>
    <col min="7899" max="7899" width="20" bestFit="1" customWidth="1"/>
    <col min="7900" max="7900" width="17.42578125" customWidth="1"/>
    <col min="7901" max="7901" width="10.7109375" bestFit="1" customWidth="1"/>
    <col min="7902" max="7902" width="11" bestFit="1" customWidth="1"/>
    <col min="7903" max="7903" width="10.5703125" bestFit="1" customWidth="1"/>
    <col min="7904" max="7904" width="15.85546875" bestFit="1" customWidth="1"/>
    <col min="7905" max="7905" width="17.42578125" bestFit="1" customWidth="1"/>
    <col min="8144" max="8145" width="16.28515625" customWidth="1"/>
    <col min="8146" max="8146" width="93.28515625" customWidth="1"/>
    <col min="8147" max="8147" width="26.140625" customWidth="1"/>
    <col min="8148" max="8149" width="11.7109375" bestFit="1" customWidth="1"/>
    <col min="8150" max="8150" width="11.7109375" customWidth="1"/>
    <col min="8151" max="8152" width="17.42578125" bestFit="1" customWidth="1"/>
    <col min="8153" max="8154" width="14" bestFit="1" customWidth="1"/>
    <col min="8155" max="8155" width="20" bestFit="1" customWidth="1"/>
    <col min="8156" max="8156" width="17.42578125" customWidth="1"/>
    <col min="8157" max="8157" width="10.7109375" bestFit="1" customWidth="1"/>
    <col min="8158" max="8158" width="11" bestFit="1" customWidth="1"/>
    <col min="8159" max="8159" width="10.5703125" bestFit="1" customWidth="1"/>
    <col min="8160" max="8160" width="15.85546875" bestFit="1" customWidth="1"/>
    <col min="8161" max="8161" width="17.42578125" bestFit="1" customWidth="1"/>
    <col min="8400" max="8401" width="16.28515625" customWidth="1"/>
    <col min="8402" max="8402" width="93.28515625" customWidth="1"/>
    <col min="8403" max="8403" width="26.140625" customWidth="1"/>
    <col min="8404" max="8405" width="11.7109375" bestFit="1" customWidth="1"/>
    <col min="8406" max="8406" width="11.7109375" customWidth="1"/>
    <col min="8407" max="8408" width="17.42578125" bestFit="1" customWidth="1"/>
    <col min="8409" max="8410" width="14" bestFit="1" customWidth="1"/>
    <col min="8411" max="8411" width="20" bestFit="1" customWidth="1"/>
    <col min="8412" max="8412" width="17.42578125" customWidth="1"/>
    <col min="8413" max="8413" width="10.7109375" bestFit="1" customWidth="1"/>
    <col min="8414" max="8414" width="11" bestFit="1" customWidth="1"/>
    <col min="8415" max="8415" width="10.5703125" bestFit="1" customWidth="1"/>
    <col min="8416" max="8416" width="15.85546875" bestFit="1" customWidth="1"/>
    <col min="8417" max="8417" width="17.42578125" bestFit="1" customWidth="1"/>
    <col min="8656" max="8657" width="16.28515625" customWidth="1"/>
    <col min="8658" max="8658" width="93.28515625" customWidth="1"/>
    <col min="8659" max="8659" width="26.140625" customWidth="1"/>
    <col min="8660" max="8661" width="11.7109375" bestFit="1" customWidth="1"/>
    <col min="8662" max="8662" width="11.7109375" customWidth="1"/>
    <col min="8663" max="8664" width="17.42578125" bestFit="1" customWidth="1"/>
    <col min="8665" max="8666" width="14" bestFit="1" customWidth="1"/>
    <col min="8667" max="8667" width="20" bestFit="1" customWidth="1"/>
    <col min="8668" max="8668" width="17.42578125" customWidth="1"/>
    <col min="8669" max="8669" width="10.7109375" bestFit="1" customWidth="1"/>
    <col min="8670" max="8670" width="11" bestFit="1" customWidth="1"/>
    <col min="8671" max="8671" width="10.5703125" bestFit="1" customWidth="1"/>
    <col min="8672" max="8672" width="15.85546875" bestFit="1" customWidth="1"/>
    <col min="8673" max="8673" width="17.42578125" bestFit="1" customWidth="1"/>
    <col min="8912" max="8913" width="16.28515625" customWidth="1"/>
    <col min="8914" max="8914" width="93.28515625" customWidth="1"/>
    <col min="8915" max="8915" width="26.140625" customWidth="1"/>
    <col min="8916" max="8917" width="11.7109375" bestFit="1" customWidth="1"/>
    <col min="8918" max="8918" width="11.7109375" customWidth="1"/>
    <col min="8919" max="8920" width="17.42578125" bestFit="1" customWidth="1"/>
    <col min="8921" max="8922" width="14" bestFit="1" customWidth="1"/>
    <col min="8923" max="8923" width="20" bestFit="1" customWidth="1"/>
    <col min="8924" max="8924" width="17.42578125" customWidth="1"/>
    <col min="8925" max="8925" width="10.7109375" bestFit="1" customWidth="1"/>
    <col min="8926" max="8926" width="11" bestFit="1" customWidth="1"/>
    <col min="8927" max="8927" width="10.5703125" bestFit="1" customWidth="1"/>
    <col min="8928" max="8928" width="15.85546875" bestFit="1" customWidth="1"/>
    <col min="8929" max="8929" width="17.42578125" bestFit="1" customWidth="1"/>
    <col min="9168" max="9169" width="16.28515625" customWidth="1"/>
    <col min="9170" max="9170" width="93.28515625" customWidth="1"/>
    <col min="9171" max="9171" width="26.140625" customWidth="1"/>
    <col min="9172" max="9173" width="11.7109375" bestFit="1" customWidth="1"/>
    <col min="9174" max="9174" width="11.7109375" customWidth="1"/>
    <col min="9175" max="9176" width="17.42578125" bestFit="1" customWidth="1"/>
    <col min="9177" max="9178" width="14" bestFit="1" customWidth="1"/>
    <col min="9179" max="9179" width="20" bestFit="1" customWidth="1"/>
    <col min="9180" max="9180" width="17.42578125" customWidth="1"/>
    <col min="9181" max="9181" width="10.7109375" bestFit="1" customWidth="1"/>
    <col min="9182" max="9182" width="11" bestFit="1" customWidth="1"/>
    <col min="9183" max="9183" width="10.5703125" bestFit="1" customWidth="1"/>
    <col min="9184" max="9184" width="15.85546875" bestFit="1" customWidth="1"/>
    <col min="9185" max="9185" width="17.42578125" bestFit="1" customWidth="1"/>
    <col min="9424" max="9425" width="16.28515625" customWidth="1"/>
    <col min="9426" max="9426" width="93.28515625" customWidth="1"/>
    <col min="9427" max="9427" width="26.140625" customWidth="1"/>
    <col min="9428" max="9429" width="11.7109375" bestFit="1" customWidth="1"/>
    <col min="9430" max="9430" width="11.7109375" customWidth="1"/>
    <col min="9431" max="9432" width="17.42578125" bestFit="1" customWidth="1"/>
    <col min="9433" max="9434" width="14" bestFit="1" customWidth="1"/>
    <col min="9435" max="9435" width="20" bestFit="1" customWidth="1"/>
    <col min="9436" max="9436" width="17.42578125" customWidth="1"/>
    <col min="9437" max="9437" width="10.7109375" bestFit="1" customWidth="1"/>
    <col min="9438" max="9438" width="11" bestFit="1" customWidth="1"/>
    <col min="9439" max="9439" width="10.5703125" bestFit="1" customWidth="1"/>
    <col min="9440" max="9440" width="15.85546875" bestFit="1" customWidth="1"/>
    <col min="9441" max="9441" width="17.42578125" bestFit="1" customWidth="1"/>
    <col min="9680" max="9681" width="16.28515625" customWidth="1"/>
    <col min="9682" max="9682" width="93.28515625" customWidth="1"/>
    <col min="9683" max="9683" width="26.140625" customWidth="1"/>
    <col min="9684" max="9685" width="11.7109375" bestFit="1" customWidth="1"/>
    <col min="9686" max="9686" width="11.7109375" customWidth="1"/>
    <col min="9687" max="9688" width="17.42578125" bestFit="1" customWidth="1"/>
    <col min="9689" max="9690" width="14" bestFit="1" customWidth="1"/>
    <col min="9691" max="9691" width="20" bestFit="1" customWidth="1"/>
    <col min="9692" max="9692" width="17.42578125" customWidth="1"/>
    <col min="9693" max="9693" width="10.7109375" bestFit="1" customWidth="1"/>
    <col min="9694" max="9694" width="11" bestFit="1" customWidth="1"/>
    <col min="9695" max="9695" width="10.5703125" bestFit="1" customWidth="1"/>
    <col min="9696" max="9696" width="15.85546875" bestFit="1" customWidth="1"/>
    <col min="9697" max="9697" width="17.42578125" bestFit="1" customWidth="1"/>
    <col min="9936" max="9937" width="16.28515625" customWidth="1"/>
    <col min="9938" max="9938" width="93.28515625" customWidth="1"/>
    <col min="9939" max="9939" width="26.140625" customWidth="1"/>
    <col min="9940" max="9941" width="11.7109375" bestFit="1" customWidth="1"/>
    <col min="9942" max="9942" width="11.7109375" customWidth="1"/>
    <col min="9943" max="9944" width="17.42578125" bestFit="1" customWidth="1"/>
    <col min="9945" max="9946" width="14" bestFit="1" customWidth="1"/>
    <col min="9947" max="9947" width="20" bestFit="1" customWidth="1"/>
    <col min="9948" max="9948" width="17.42578125" customWidth="1"/>
    <col min="9949" max="9949" width="10.7109375" bestFit="1" customWidth="1"/>
    <col min="9950" max="9950" width="11" bestFit="1" customWidth="1"/>
    <col min="9951" max="9951" width="10.5703125" bestFit="1" customWidth="1"/>
    <col min="9952" max="9952" width="15.85546875" bestFit="1" customWidth="1"/>
    <col min="9953" max="9953" width="17.42578125" bestFit="1" customWidth="1"/>
    <col min="10192" max="10193" width="16.28515625" customWidth="1"/>
    <col min="10194" max="10194" width="93.28515625" customWidth="1"/>
    <col min="10195" max="10195" width="26.140625" customWidth="1"/>
    <col min="10196" max="10197" width="11.7109375" bestFit="1" customWidth="1"/>
    <col min="10198" max="10198" width="11.7109375" customWidth="1"/>
    <col min="10199" max="10200" width="17.42578125" bestFit="1" customWidth="1"/>
    <col min="10201" max="10202" width="14" bestFit="1" customWidth="1"/>
    <col min="10203" max="10203" width="20" bestFit="1" customWidth="1"/>
    <col min="10204" max="10204" width="17.42578125" customWidth="1"/>
    <col min="10205" max="10205" width="10.7109375" bestFit="1" customWidth="1"/>
    <col min="10206" max="10206" width="11" bestFit="1" customWidth="1"/>
    <col min="10207" max="10207" width="10.5703125" bestFit="1" customWidth="1"/>
    <col min="10208" max="10208" width="15.85546875" bestFit="1" customWidth="1"/>
    <col min="10209" max="10209" width="17.42578125" bestFit="1" customWidth="1"/>
    <col min="10448" max="10449" width="16.28515625" customWidth="1"/>
    <col min="10450" max="10450" width="93.28515625" customWidth="1"/>
    <col min="10451" max="10451" width="26.140625" customWidth="1"/>
    <col min="10452" max="10453" width="11.7109375" bestFit="1" customWidth="1"/>
    <col min="10454" max="10454" width="11.7109375" customWidth="1"/>
    <col min="10455" max="10456" width="17.42578125" bestFit="1" customWidth="1"/>
    <col min="10457" max="10458" width="14" bestFit="1" customWidth="1"/>
    <col min="10459" max="10459" width="20" bestFit="1" customWidth="1"/>
    <col min="10460" max="10460" width="17.42578125" customWidth="1"/>
    <col min="10461" max="10461" width="10.7109375" bestFit="1" customWidth="1"/>
    <col min="10462" max="10462" width="11" bestFit="1" customWidth="1"/>
    <col min="10463" max="10463" width="10.5703125" bestFit="1" customWidth="1"/>
    <col min="10464" max="10464" width="15.85546875" bestFit="1" customWidth="1"/>
    <col min="10465" max="10465" width="17.42578125" bestFit="1" customWidth="1"/>
    <col min="10704" max="10705" width="16.28515625" customWidth="1"/>
    <col min="10706" max="10706" width="93.28515625" customWidth="1"/>
    <col min="10707" max="10707" width="26.140625" customWidth="1"/>
    <col min="10708" max="10709" width="11.7109375" bestFit="1" customWidth="1"/>
    <col min="10710" max="10710" width="11.7109375" customWidth="1"/>
    <col min="10711" max="10712" width="17.42578125" bestFit="1" customWidth="1"/>
    <col min="10713" max="10714" width="14" bestFit="1" customWidth="1"/>
    <col min="10715" max="10715" width="20" bestFit="1" customWidth="1"/>
    <col min="10716" max="10716" width="17.42578125" customWidth="1"/>
    <col min="10717" max="10717" width="10.7109375" bestFit="1" customWidth="1"/>
    <col min="10718" max="10718" width="11" bestFit="1" customWidth="1"/>
    <col min="10719" max="10719" width="10.5703125" bestFit="1" customWidth="1"/>
    <col min="10720" max="10720" width="15.85546875" bestFit="1" customWidth="1"/>
    <col min="10721" max="10721" width="17.42578125" bestFit="1" customWidth="1"/>
    <col min="10960" max="10961" width="16.28515625" customWidth="1"/>
    <col min="10962" max="10962" width="93.28515625" customWidth="1"/>
    <col min="10963" max="10963" width="26.140625" customWidth="1"/>
    <col min="10964" max="10965" width="11.7109375" bestFit="1" customWidth="1"/>
    <col min="10966" max="10966" width="11.7109375" customWidth="1"/>
    <col min="10967" max="10968" width="17.42578125" bestFit="1" customWidth="1"/>
    <col min="10969" max="10970" width="14" bestFit="1" customWidth="1"/>
    <col min="10971" max="10971" width="20" bestFit="1" customWidth="1"/>
    <col min="10972" max="10972" width="17.42578125" customWidth="1"/>
    <col min="10973" max="10973" width="10.7109375" bestFit="1" customWidth="1"/>
    <col min="10974" max="10974" width="11" bestFit="1" customWidth="1"/>
    <col min="10975" max="10975" width="10.5703125" bestFit="1" customWidth="1"/>
    <col min="10976" max="10976" width="15.85546875" bestFit="1" customWidth="1"/>
    <col min="10977" max="10977" width="17.42578125" bestFit="1" customWidth="1"/>
    <col min="11216" max="11217" width="16.28515625" customWidth="1"/>
    <col min="11218" max="11218" width="93.28515625" customWidth="1"/>
    <col min="11219" max="11219" width="26.140625" customWidth="1"/>
    <col min="11220" max="11221" width="11.7109375" bestFit="1" customWidth="1"/>
    <col min="11222" max="11222" width="11.7109375" customWidth="1"/>
    <col min="11223" max="11224" width="17.42578125" bestFit="1" customWidth="1"/>
    <col min="11225" max="11226" width="14" bestFit="1" customWidth="1"/>
    <col min="11227" max="11227" width="20" bestFit="1" customWidth="1"/>
    <col min="11228" max="11228" width="17.42578125" customWidth="1"/>
    <col min="11229" max="11229" width="10.7109375" bestFit="1" customWidth="1"/>
    <col min="11230" max="11230" width="11" bestFit="1" customWidth="1"/>
    <col min="11231" max="11231" width="10.5703125" bestFit="1" customWidth="1"/>
    <col min="11232" max="11232" width="15.85546875" bestFit="1" customWidth="1"/>
    <col min="11233" max="11233" width="17.42578125" bestFit="1" customWidth="1"/>
    <col min="11472" max="11473" width="16.28515625" customWidth="1"/>
    <col min="11474" max="11474" width="93.28515625" customWidth="1"/>
    <col min="11475" max="11475" width="26.140625" customWidth="1"/>
    <col min="11476" max="11477" width="11.7109375" bestFit="1" customWidth="1"/>
    <col min="11478" max="11478" width="11.7109375" customWidth="1"/>
    <col min="11479" max="11480" width="17.42578125" bestFit="1" customWidth="1"/>
    <col min="11481" max="11482" width="14" bestFit="1" customWidth="1"/>
    <col min="11483" max="11483" width="20" bestFit="1" customWidth="1"/>
    <col min="11484" max="11484" width="17.42578125" customWidth="1"/>
    <col min="11485" max="11485" width="10.7109375" bestFit="1" customWidth="1"/>
    <col min="11486" max="11486" width="11" bestFit="1" customWidth="1"/>
    <col min="11487" max="11487" width="10.5703125" bestFit="1" customWidth="1"/>
    <col min="11488" max="11488" width="15.85546875" bestFit="1" customWidth="1"/>
    <col min="11489" max="11489" width="17.42578125" bestFit="1" customWidth="1"/>
    <col min="11728" max="11729" width="16.28515625" customWidth="1"/>
    <col min="11730" max="11730" width="93.28515625" customWidth="1"/>
    <col min="11731" max="11731" width="26.140625" customWidth="1"/>
    <col min="11732" max="11733" width="11.7109375" bestFit="1" customWidth="1"/>
    <col min="11734" max="11734" width="11.7109375" customWidth="1"/>
    <col min="11735" max="11736" width="17.42578125" bestFit="1" customWidth="1"/>
    <col min="11737" max="11738" width="14" bestFit="1" customWidth="1"/>
    <col min="11739" max="11739" width="20" bestFit="1" customWidth="1"/>
    <col min="11740" max="11740" width="17.42578125" customWidth="1"/>
    <col min="11741" max="11741" width="10.7109375" bestFit="1" customWidth="1"/>
    <col min="11742" max="11742" width="11" bestFit="1" customWidth="1"/>
    <col min="11743" max="11743" width="10.5703125" bestFit="1" customWidth="1"/>
    <col min="11744" max="11744" width="15.85546875" bestFit="1" customWidth="1"/>
    <col min="11745" max="11745" width="17.42578125" bestFit="1" customWidth="1"/>
    <col min="11984" max="11985" width="16.28515625" customWidth="1"/>
    <col min="11986" max="11986" width="93.28515625" customWidth="1"/>
    <col min="11987" max="11987" width="26.140625" customWidth="1"/>
    <col min="11988" max="11989" width="11.7109375" bestFit="1" customWidth="1"/>
    <col min="11990" max="11990" width="11.7109375" customWidth="1"/>
    <col min="11991" max="11992" width="17.42578125" bestFit="1" customWidth="1"/>
    <col min="11993" max="11994" width="14" bestFit="1" customWidth="1"/>
    <col min="11995" max="11995" width="20" bestFit="1" customWidth="1"/>
    <col min="11996" max="11996" width="17.42578125" customWidth="1"/>
    <col min="11997" max="11997" width="10.7109375" bestFit="1" customWidth="1"/>
    <col min="11998" max="11998" width="11" bestFit="1" customWidth="1"/>
    <col min="11999" max="11999" width="10.5703125" bestFit="1" customWidth="1"/>
    <col min="12000" max="12000" width="15.85546875" bestFit="1" customWidth="1"/>
    <col min="12001" max="12001" width="17.42578125" bestFit="1" customWidth="1"/>
    <col min="12240" max="12241" width="16.28515625" customWidth="1"/>
    <col min="12242" max="12242" width="93.28515625" customWidth="1"/>
    <col min="12243" max="12243" width="26.140625" customWidth="1"/>
    <col min="12244" max="12245" width="11.7109375" bestFit="1" customWidth="1"/>
    <col min="12246" max="12246" width="11.7109375" customWidth="1"/>
    <col min="12247" max="12248" width="17.42578125" bestFit="1" customWidth="1"/>
    <col min="12249" max="12250" width="14" bestFit="1" customWidth="1"/>
    <col min="12251" max="12251" width="20" bestFit="1" customWidth="1"/>
    <col min="12252" max="12252" width="17.42578125" customWidth="1"/>
    <col min="12253" max="12253" width="10.7109375" bestFit="1" customWidth="1"/>
    <col min="12254" max="12254" width="11" bestFit="1" customWidth="1"/>
    <col min="12255" max="12255" width="10.5703125" bestFit="1" customWidth="1"/>
    <col min="12256" max="12256" width="15.85546875" bestFit="1" customWidth="1"/>
    <col min="12257" max="12257" width="17.42578125" bestFit="1" customWidth="1"/>
    <col min="12496" max="12497" width="16.28515625" customWidth="1"/>
    <col min="12498" max="12498" width="93.28515625" customWidth="1"/>
    <col min="12499" max="12499" width="26.140625" customWidth="1"/>
    <col min="12500" max="12501" width="11.7109375" bestFit="1" customWidth="1"/>
    <col min="12502" max="12502" width="11.7109375" customWidth="1"/>
    <col min="12503" max="12504" width="17.42578125" bestFit="1" customWidth="1"/>
    <col min="12505" max="12506" width="14" bestFit="1" customWidth="1"/>
    <col min="12507" max="12507" width="20" bestFit="1" customWidth="1"/>
    <col min="12508" max="12508" width="17.42578125" customWidth="1"/>
    <col min="12509" max="12509" width="10.7109375" bestFit="1" customWidth="1"/>
    <col min="12510" max="12510" width="11" bestFit="1" customWidth="1"/>
    <col min="12511" max="12511" width="10.5703125" bestFit="1" customWidth="1"/>
    <col min="12512" max="12512" width="15.85546875" bestFit="1" customWidth="1"/>
    <col min="12513" max="12513" width="17.42578125" bestFit="1" customWidth="1"/>
    <col min="12752" max="12753" width="16.28515625" customWidth="1"/>
    <col min="12754" max="12754" width="93.28515625" customWidth="1"/>
    <col min="12755" max="12755" width="26.140625" customWidth="1"/>
    <col min="12756" max="12757" width="11.7109375" bestFit="1" customWidth="1"/>
    <col min="12758" max="12758" width="11.7109375" customWidth="1"/>
    <col min="12759" max="12760" width="17.42578125" bestFit="1" customWidth="1"/>
    <col min="12761" max="12762" width="14" bestFit="1" customWidth="1"/>
    <col min="12763" max="12763" width="20" bestFit="1" customWidth="1"/>
    <col min="12764" max="12764" width="17.42578125" customWidth="1"/>
    <col min="12765" max="12765" width="10.7109375" bestFit="1" customWidth="1"/>
    <col min="12766" max="12766" width="11" bestFit="1" customWidth="1"/>
    <col min="12767" max="12767" width="10.5703125" bestFit="1" customWidth="1"/>
    <col min="12768" max="12768" width="15.85546875" bestFit="1" customWidth="1"/>
    <col min="12769" max="12769" width="17.42578125" bestFit="1" customWidth="1"/>
    <col min="13008" max="13009" width="16.28515625" customWidth="1"/>
    <col min="13010" max="13010" width="93.28515625" customWidth="1"/>
    <col min="13011" max="13011" width="26.140625" customWidth="1"/>
    <col min="13012" max="13013" width="11.7109375" bestFit="1" customWidth="1"/>
    <col min="13014" max="13014" width="11.7109375" customWidth="1"/>
    <col min="13015" max="13016" width="17.42578125" bestFit="1" customWidth="1"/>
    <col min="13017" max="13018" width="14" bestFit="1" customWidth="1"/>
    <col min="13019" max="13019" width="20" bestFit="1" customWidth="1"/>
    <col min="13020" max="13020" width="17.42578125" customWidth="1"/>
    <col min="13021" max="13021" width="10.7109375" bestFit="1" customWidth="1"/>
    <col min="13022" max="13022" width="11" bestFit="1" customWidth="1"/>
    <col min="13023" max="13023" width="10.5703125" bestFit="1" customWidth="1"/>
    <col min="13024" max="13024" width="15.85546875" bestFit="1" customWidth="1"/>
    <col min="13025" max="13025" width="17.42578125" bestFit="1" customWidth="1"/>
    <col min="13264" max="13265" width="16.28515625" customWidth="1"/>
    <col min="13266" max="13266" width="93.28515625" customWidth="1"/>
    <col min="13267" max="13267" width="26.140625" customWidth="1"/>
    <col min="13268" max="13269" width="11.7109375" bestFit="1" customWidth="1"/>
    <col min="13270" max="13270" width="11.7109375" customWidth="1"/>
    <col min="13271" max="13272" width="17.42578125" bestFit="1" customWidth="1"/>
    <col min="13273" max="13274" width="14" bestFit="1" customWidth="1"/>
    <col min="13275" max="13275" width="20" bestFit="1" customWidth="1"/>
    <col min="13276" max="13276" width="17.42578125" customWidth="1"/>
    <col min="13277" max="13277" width="10.7109375" bestFit="1" customWidth="1"/>
    <col min="13278" max="13278" width="11" bestFit="1" customWidth="1"/>
    <col min="13279" max="13279" width="10.5703125" bestFit="1" customWidth="1"/>
    <col min="13280" max="13280" width="15.85546875" bestFit="1" customWidth="1"/>
    <col min="13281" max="13281" width="17.42578125" bestFit="1" customWidth="1"/>
    <col min="13520" max="13521" width="16.28515625" customWidth="1"/>
    <col min="13522" max="13522" width="93.28515625" customWidth="1"/>
    <col min="13523" max="13523" width="26.140625" customWidth="1"/>
    <col min="13524" max="13525" width="11.7109375" bestFit="1" customWidth="1"/>
    <col min="13526" max="13526" width="11.7109375" customWidth="1"/>
    <col min="13527" max="13528" width="17.42578125" bestFit="1" customWidth="1"/>
    <col min="13529" max="13530" width="14" bestFit="1" customWidth="1"/>
    <col min="13531" max="13531" width="20" bestFit="1" customWidth="1"/>
    <col min="13532" max="13532" width="17.42578125" customWidth="1"/>
    <col min="13533" max="13533" width="10.7109375" bestFit="1" customWidth="1"/>
    <col min="13534" max="13534" width="11" bestFit="1" customWidth="1"/>
    <col min="13535" max="13535" width="10.5703125" bestFit="1" customWidth="1"/>
    <col min="13536" max="13536" width="15.85546875" bestFit="1" customWidth="1"/>
    <col min="13537" max="13537" width="17.42578125" bestFit="1" customWidth="1"/>
    <col min="13776" max="13777" width="16.28515625" customWidth="1"/>
    <col min="13778" max="13778" width="93.28515625" customWidth="1"/>
    <col min="13779" max="13779" width="26.140625" customWidth="1"/>
    <col min="13780" max="13781" width="11.7109375" bestFit="1" customWidth="1"/>
    <col min="13782" max="13782" width="11.7109375" customWidth="1"/>
    <col min="13783" max="13784" width="17.42578125" bestFit="1" customWidth="1"/>
    <col min="13785" max="13786" width="14" bestFit="1" customWidth="1"/>
    <col min="13787" max="13787" width="20" bestFit="1" customWidth="1"/>
    <col min="13788" max="13788" width="17.42578125" customWidth="1"/>
    <col min="13789" max="13789" width="10.7109375" bestFit="1" customWidth="1"/>
    <col min="13790" max="13790" width="11" bestFit="1" customWidth="1"/>
    <col min="13791" max="13791" width="10.5703125" bestFit="1" customWidth="1"/>
    <col min="13792" max="13792" width="15.85546875" bestFit="1" customWidth="1"/>
    <col min="13793" max="13793" width="17.42578125" bestFit="1" customWidth="1"/>
    <col min="14032" max="14033" width="16.28515625" customWidth="1"/>
    <col min="14034" max="14034" width="93.28515625" customWidth="1"/>
    <col min="14035" max="14035" width="26.140625" customWidth="1"/>
    <col min="14036" max="14037" width="11.7109375" bestFit="1" customWidth="1"/>
    <col min="14038" max="14038" width="11.7109375" customWidth="1"/>
    <col min="14039" max="14040" width="17.42578125" bestFit="1" customWidth="1"/>
    <col min="14041" max="14042" width="14" bestFit="1" customWidth="1"/>
    <col min="14043" max="14043" width="20" bestFit="1" customWidth="1"/>
    <col min="14044" max="14044" width="17.42578125" customWidth="1"/>
    <col min="14045" max="14045" width="10.7109375" bestFit="1" customWidth="1"/>
    <col min="14046" max="14046" width="11" bestFit="1" customWidth="1"/>
    <col min="14047" max="14047" width="10.5703125" bestFit="1" customWidth="1"/>
    <col min="14048" max="14048" width="15.85546875" bestFit="1" customWidth="1"/>
    <col min="14049" max="14049" width="17.42578125" bestFit="1" customWidth="1"/>
    <col min="14288" max="14289" width="16.28515625" customWidth="1"/>
    <col min="14290" max="14290" width="93.28515625" customWidth="1"/>
    <col min="14291" max="14291" width="26.140625" customWidth="1"/>
    <col min="14292" max="14293" width="11.7109375" bestFit="1" customWidth="1"/>
    <col min="14294" max="14294" width="11.7109375" customWidth="1"/>
    <col min="14295" max="14296" width="17.42578125" bestFit="1" customWidth="1"/>
    <col min="14297" max="14298" width="14" bestFit="1" customWidth="1"/>
    <col min="14299" max="14299" width="20" bestFit="1" customWidth="1"/>
    <col min="14300" max="14300" width="17.42578125" customWidth="1"/>
    <col min="14301" max="14301" width="10.7109375" bestFit="1" customWidth="1"/>
    <col min="14302" max="14302" width="11" bestFit="1" customWidth="1"/>
    <col min="14303" max="14303" width="10.5703125" bestFit="1" customWidth="1"/>
    <col min="14304" max="14304" width="15.85546875" bestFit="1" customWidth="1"/>
    <col min="14305" max="14305" width="17.42578125" bestFit="1" customWidth="1"/>
    <col min="14544" max="14545" width="16.28515625" customWidth="1"/>
    <col min="14546" max="14546" width="93.28515625" customWidth="1"/>
    <col min="14547" max="14547" width="26.140625" customWidth="1"/>
    <col min="14548" max="14549" width="11.7109375" bestFit="1" customWidth="1"/>
    <col min="14550" max="14550" width="11.7109375" customWidth="1"/>
    <col min="14551" max="14552" width="17.42578125" bestFit="1" customWidth="1"/>
    <col min="14553" max="14554" width="14" bestFit="1" customWidth="1"/>
    <col min="14555" max="14555" width="20" bestFit="1" customWidth="1"/>
    <col min="14556" max="14556" width="17.42578125" customWidth="1"/>
    <col min="14557" max="14557" width="10.7109375" bestFit="1" customWidth="1"/>
    <col min="14558" max="14558" width="11" bestFit="1" customWidth="1"/>
    <col min="14559" max="14559" width="10.5703125" bestFit="1" customWidth="1"/>
    <col min="14560" max="14560" width="15.85546875" bestFit="1" customWidth="1"/>
    <col min="14561" max="14561" width="17.42578125" bestFit="1" customWidth="1"/>
    <col min="14800" max="14801" width="16.28515625" customWidth="1"/>
    <col min="14802" max="14802" width="93.28515625" customWidth="1"/>
    <col min="14803" max="14803" width="26.140625" customWidth="1"/>
    <col min="14804" max="14805" width="11.7109375" bestFit="1" customWidth="1"/>
    <col min="14806" max="14806" width="11.7109375" customWidth="1"/>
    <col min="14807" max="14808" width="17.42578125" bestFit="1" customWidth="1"/>
    <col min="14809" max="14810" width="14" bestFit="1" customWidth="1"/>
    <col min="14811" max="14811" width="20" bestFit="1" customWidth="1"/>
    <col min="14812" max="14812" width="17.42578125" customWidth="1"/>
    <col min="14813" max="14813" width="10.7109375" bestFit="1" customWidth="1"/>
    <col min="14814" max="14814" width="11" bestFit="1" customWidth="1"/>
    <col min="14815" max="14815" width="10.5703125" bestFit="1" customWidth="1"/>
    <col min="14816" max="14816" width="15.85546875" bestFit="1" customWidth="1"/>
    <col min="14817" max="14817" width="17.42578125" bestFit="1" customWidth="1"/>
    <col min="15056" max="15057" width="16.28515625" customWidth="1"/>
    <col min="15058" max="15058" width="93.28515625" customWidth="1"/>
    <col min="15059" max="15059" width="26.140625" customWidth="1"/>
    <col min="15060" max="15061" width="11.7109375" bestFit="1" customWidth="1"/>
    <col min="15062" max="15062" width="11.7109375" customWidth="1"/>
    <col min="15063" max="15064" width="17.42578125" bestFit="1" customWidth="1"/>
    <col min="15065" max="15066" width="14" bestFit="1" customWidth="1"/>
    <col min="15067" max="15067" width="20" bestFit="1" customWidth="1"/>
    <col min="15068" max="15068" width="17.42578125" customWidth="1"/>
    <col min="15069" max="15069" width="10.7109375" bestFit="1" customWidth="1"/>
    <col min="15070" max="15070" width="11" bestFit="1" customWidth="1"/>
    <col min="15071" max="15071" width="10.5703125" bestFit="1" customWidth="1"/>
    <col min="15072" max="15072" width="15.85546875" bestFit="1" customWidth="1"/>
    <col min="15073" max="15073" width="17.42578125" bestFit="1" customWidth="1"/>
    <col min="15312" max="15313" width="16.28515625" customWidth="1"/>
    <col min="15314" max="15314" width="93.28515625" customWidth="1"/>
    <col min="15315" max="15315" width="26.140625" customWidth="1"/>
    <col min="15316" max="15317" width="11.7109375" bestFit="1" customWidth="1"/>
    <col min="15318" max="15318" width="11.7109375" customWidth="1"/>
    <col min="15319" max="15320" width="17.42578125" bestFit="1" customWidth="1"/>
    <col min="15321" max="15322" width="14" bestFit="1" customWidth="1"/>
    <col min="15323" max="15323" width="20" bestFit="1" customWidth="1"/>
    <col min="15324" max="15324" width="17.42578125" customWidth="1"/>
    <col min="15325" max="15325" width="10.7109375" bestFit="1" customWidth="1"/>
    <col min="15326" max="15326" width="11" bestFit="1" customWidth="1"/>
    <col min="15327" max="15327" width="10.5703125" bestFit="1" customWidth="1"/>
    <col min="15328" max="15328" width="15.85546875" bestFit="1" customWidth="1"/>
    <col min="15329" max="15329" width="17.42578125" bestFit="1" customWidth="1"/>
    <col min="15568" max="15569" width="16.28515625" customWidth="1"/>
    <col min="15570" max="15570" width="93.28515625" customWidth="1"/>
    <col min="15571" max="15571" width="26.140625" customWidth="1"/>
    <col min="15572" max="15573" width="11.7109375" bestFit="1" customWidth="1"/>
    <col min="15574" max="15574" width="11.7109375" customWidth="1"/>
    <col min="15575" max="15576" width="17.42578125" bestFit="1" customWidth="1"/>
    <col min="15577" max="15578" width="14" bestFit="1" customWidth="1"/>
    <col min="15579" max="15579" width="20" bestFit="1" customWidth="1"/>
    <col min="15580" max="15580" width="17.42578125" customWidth="1"/>
    <col min="15581" max="15581" width="10.7109375" bestFit="1" customWidth="1"/>
    <col min="15582" max="15582" width="11" bestFit="1" customWidth="1"/>
    <col min="15583" max="15583" width="10.5703125" bestFit="1" customWidth="1"/>
    <col min="15584" max="15584" width="15.85546875" bestFit="1" customWidth="1"/>
    <col min="15585" max="15585" width="17.42578125" bestFit="1" customWidth="1"/>
    <col min="15824" max="15825" width="16.28515625" customWidth="1"/>
    <col min="15826" max="15826" width="93.28515625" customWidth="1"/>
    <col min="15827" max="15827" width="26.140625" customWidth="1"/>
    <col min="15828" max="15829" width="11.7109375" bestFit="1" customWidth="1"/>
    <col min="15830" max="15830" width="11.7109375" customWidth="1"/>
    <col min="15831" max="15832" width="17.42578125" bestFit="1" customWidth="1"/>
    <col min="15833" max="15834" width="14" bestFit="1" customWidth="1"/>
    <col min="15835" max="15835" width="20" bestFit="1" customWidth="1"/>
    <col min="15836" max="15836" width="17.42578125" customWidth="1"/>
    <col min="15837" max="15837" width="10.7109375" bestFit="1" customWidth="1"/>
    <col min="15838" max="15838" width="11" bestFit="1" customWidth="1"/>
    <col min="15839" max="15839" width="10.5703125" bestFit="1" customWidth="1"/>
    <col min="15840" max="15840" width="15.85546875" bestFit="1" customWidth="1"/>
    <col min="15841" max="15841" width="17.42578125" bestFit="1" customWidth="1"/>
    <col min="16080" max="16081" width="16.28515625" customWidth="1"/>
    <col min="16082" max="16082" width="93.28515625" customWidth="1"/>
    <col min="16083" max="16083" width="26.140625" customWidth="1"/>
    <col min="16084" max="16085" width="11.7109375" bestFit="1" customWidth="1"/>
    <col min="16086" max="16086" width="11.7109375" customWidth="1"/>
    <col min="16087" max="16088" width="17.42578125" bestFit="1" customWidth="1"/>
    <col min="16089" max="16090" width="14" bestFit="1" customWidth="1"/>
    <col min="16091" max="16091" width="20" bestFit="1" customWidth="1"/>
    <col min="16092" max="16092" width="17.42578125" customWidth="1"/>
    <col min="16093" max="16093" width="10.7109375" bestFit="1" customWidth="1"/>
    <col min="16094" max="16094" width="11" bestFit="1" customWidth="1"/>
    <col min="16095" max="16095" width="10.5703125" bestFit="1" customWidth="1"/>
    <col min="16096" max="16096" width="15.85546875" bestFit="1" customWidth="1"/>
    <col min="16097" max="16097" width="17.42578125" bestFit="1" customWidth="1"/>
  </cols>
  <sheetData>
    <row r="1" spans="1:9" ht="30" customHeight="1" x14ac:dyDescent="0.25">
      <c r="A1" s="1112"/>
      <c r="B1" s="1112" t="str">
        <f>INDEX(dms_Worksheet_List,MATCH(dms_Model,dms_Model_List))</f>
        <v>REGULATORY REPORTING STATEMENT</v>
      </c>
      <c r="C1" s="26"/>
      <c r="D1" s="26"/>
      <c r="E1" s="26"/>
      <c r="F1" s="26"/>
      <c r="G1" s="1502" t="s">
        <v>96</v>
      </c>
      <c r="H1" s="1503" t="s">
        <v>97</v>
      </c>
      <c r="I1" s="26"/>
    </row>
    <row r="2" spans="1:9" ht="30" customHeight="1" x14ac:dyDescent="0.25">
      <c r="A2" s="1113"/>
      <c r="B2" s="1113" t="str">
        <f>dms_TradingNameFull</f>
        <v>Australian Gas Networks Limited (reporting data for SA)</v>
      </c>
      <c r="C2" s="26"/>
      <c r="D2" s="26"/>
      <c r="E2" s="26"/>
      <c r="F2" s="26"/>
      <c r="G2" s="1504" t="s">
        <v>98</v>
      </c>
      <c r="H2" s="1505" t="s">
        <v>92</v>
      </c>
      <c r="I2" s="26"/>
    </row>
    <row r="3" spans="1:9" ht="30" customHeight="1" x14ac:dyDescent="0.25">
      <c r="A3" s="1115"/>
      <c r="B3" s="1115" t="str">
        <f ca="1">dms_Header_Span</f>
        <v>2024-25 to 2030-31</v>
      </c>
      <c r="C3" s="26"/>
      <c r="D3" s="26"/>
      <c r="E3" s="26"/>
      <c r="F3" s="26"/>
      <c r="G3" s="1506" t="s">
        <v>99</v>
      </c>
      <c r="H3" s="1507" t="s">
        <v>100</v>
      </c>
      <c r="I3" s="26"/>
    </row>
    <row r="4" spans="1:9" ht="30" customHeight="1" x14ac:dyDescent="0.25">
      <c r="A4" s="621"/>
      <c r="B4" s="621" t="s">
        <v>163</v>
      </c>
      <c r="C4" s="621"/>
      <c r="D4" s="621"/>
      <c r="E4" s="621"/>
      <c r="F4" s="621"/>
      <c r="G4" s="1508" t="s">
        <v>102</v>
      </c>
      <c r="H4" s="1509" t="s">
        <v>103</v>
      </c>
      <c r="I4" s="621"/>
    </row>
    <row r="5" spans="1:9" ht="30" customHeight="1" x14ac:dyDescent="0.25">
      <c r="B5" s="1492" t="s">
        <v>104</v>
      </c>
      <c r="C5" s="1492"/>
      <c r="D5" s="1492"/>
      <c r="E5" s="1492"/>
      <c r="F5" s="1492"/>
      <c r="G5" s="1492"/>
      <c r="H5" s="1492"/>
      <c r="I5" s="1492"/>
    </row>
    <row r="7" spans="1:9" s="42" customFormat="1" x14ac:dyDescent="0.25">
      <c r="A7"/>
      <c r="B7"/>
      <c r="C7" s="291"/>
      <c r="D7" s="291"/>
      <c r="E7" s="291"/>
      <c r="F7" s="291"/>
      <c r="G7" s="291"/>
      <c r="H7" s="291"/>
      <c r="I7" s="291"/>
    </row>
    <row r="8" spans="1:9" ht="19.5" thickBot="1" x14ac:dyDescent="0.35">
      <c r="B8" s="523" t="s">
        <v>133</v>
      </c>
    </row>
    <row r="9" spans="1:9" x14ac:dyDescent="0.25">
      <c r="B9" s="1163" t="s">
        <v>1439</v>
      </c>
    </row>
    <row r="10" spans="1:9" x14ac:dyDescent="0.25">
      <c r="B10" s="1164" t="s">
        <v>1440</v>
      </c>
    </row>
    <row r="11" spans="1:9" x14ac:dyDescent="0.25">
      <c r="B11" s="1165" t="s">
        <v>1441</v>
      </c>
    </row>
    <row r="12" spans="1:9" x14ac:dyDescent="0.25">
      <c r="B12" s="1164"/>
    </row>
    <row r="13" spans="1:9" x14ac:dyDescent="0.25">
      <c r="B13" s="1165"/>
    </row>
    <row r="14" spans="1:9" x14ac:dyDescent="0.25">
      <c r="B14" s="1164"/>
    </row>
    <row r="15" spans="1:9" x14ac:dyDescent="0.25">
      <c r="B15" s="1165"/>
    </row>
    <row r="16" spans="1:9" x14ac:dyDescent="0.25">
      <c r="B16" s="1164"/>
    </row>
    <row r="17" spans="2:2" x14ac:dyDescent="0.25">
      <c r="B17" s="1165"/>
    </row>
    <row r="18" spans="2:2" x14ac:dyDescent="0.25">
      <c r="B18" s="1164"/>
    </row>
    <row r="19" spans="2:2" x14ac:dyDescent="0.25">
      <c r="B19" s="1165"/>
    </row>
    <row r="20" spans="2:2" x14ac:dyDescent="0.25">
      <c r="B20" s="1164"/>
    </row>
    <row r="21" spans="2:2" x14ac:dyDescent="0.25">
      <c r="B21" s="1165"/>
    </row>
    <row r="22" spans="2:2" x14ac:dyDescent="0.25">
      <c r="B22" s="1164"/>
    </row>
    <row r="23" spans="2:2" x14ac:dyDescent="0.25">
      <c r="B23" s="1165"/>
    </row>
    <row r="24" spans="2:2" x14ac:dyDescent="0.25">
      <c r="B24" s="1164"/>
    </row>
    <row r="25" spans="2:2" x14ac:dyDescent="0.25">
      <c r="B25" s="1165"/>
    </row>
    <row r="26" spans="2:2" x14ac:dyDescent="0.25">
      <c r="B26" s="1164"/>
    </row>
    <row r="27" spans="2:2" outlineLevel="2" x14ac:dyDescent="0.25">
      <c r="B27" s="1165"/>
    </row>
    <row r="28" spans="2:2" outlineLevel="2" x14ac:dyDescent="0.25">
      <c r="B28" s="1164"/>
    </row>
    <row r="29" spans="2:2" outlineLevel="2" x14ac:dyDescent="0.25">
      <c r="B29" s="1165"/>
    </row>
    <row r="30" spans="2:2" outlineLevel="2" x14ac:dyDescent="0.25">
      <c r="B30" s="1164"/>
    </row>
    <row r="31" spans="2:2" outlineLevel="2" x14ac:dyDescent="0.25">
      <c r="B31" s="1165"/>
    </row>
    <row r="32" spans="2:2" outlineLevel="2" x14ac:dyDescent="0.25">
      <c r="B32" s="1164"/>
    </row>
    <row r="33" spans="2:2" outlineLevel="2" x14ac:dyDescent="0.25">
      <c r="B33" s="1165"/>
    </row>
    <row r="34" spans="2:2" outlineLevel="2" x14ac:dyDescent="0.25">
      <c r="B34" s="1164"/>
    </row>
    <row r="35" spans="2:2" outlineLevel="2" x14ac:dyDescent="0.25">
      <c r="B35" s="1165"/>
    </row>
    <row r="36" spans="2:2" outlineLevel="2" x14ac:dyDescent="0.25">
      <c r="B36" s="1164"/>
    </row>
    <row r="37" spans="2:2" outlineLevel="2" x14ac:dyDescent="0.25">
      <c r="B37" s="1165"/>
    </row>
    <row r="38" spans="2:2" outlineLevel="2" x14ac:dyDescent="0.25">
      <c r="B38" s="1164"/>
    </row>
    <row r="39" spans="2:2" outlineLevel="2" x14ac:dyDescent="0.25">
      <c r="B39" s="1165"/>
    </row>
    <row r="40" spans="2:2" outlineLevel="2" x14ac:dyDescent="0.25">
      <c r="B40" s="1164"/>
    </row>
    <row r="41" spans="2:2" outlineLevel="2" x14ac:dyDescent="0.25">
      <c r="B41" s="1165"/>
    </row>
    <row r="42" spans="2:2" outlineLevel="2" x14ac:dyDescent="0.25">
      <c r="B42" s="1164"/>
    </row>
    <row r="43" spans="2:2" outlineLevel="2" x14ac:dyDescent="0.25">
      <c r="B43" s="1165"/>
    </row>
    <row r="44" spans="2:2" outlineLevel="2" x14ac:dyDescent="0.25">
      <c r="B44" s="1164"/>
    </row>
    <row r="45" spans="2:2" outlineLevel="2" x14ac:dyDescent="0.25">
      <c r="B45" s="1165"/>
    </row>
    <row r="46" spans="2:2" outlineLevel="2" x14ac:dyDescent="0.25">
      <c r="B46" s="1164"/>
    </row>
    <row r="47" spans="2:2" outlineLevel="2" x14ac:dyDescent="0.25">
      <c r="B47" s="1165"/>
    </row>
    <row r="48" spans="2:2" outlineLevel="2" x14ac:dyDescent="0.25">
      <c r="B48" s="1164"/>
    </row>
    <row r="49" spans="1:9" outlineLevel="2" x14ac:dyDescent="0.25">
      <c r="B49" s="1165"/>
    </row>
    <row r="50" spans="1:9" outlineLevel="2" x14ac:dyDescent="0.25">
      <c r="B50" s="1164"/>
    </row>
    <row r="51" spans="1:9" outlineLevel="2" x14ac:dyDescent="0.25">
      <c r="B51" s="1166"/>
    </row>
    <row r="52" spans="1:9" outlineLevel="2" x14ac:dyDescent="0.25">
      <c r="B52" s="1167"/>
    </row>
    <row r="53" spans="1:9" outlineLevel="2" x14ac:dyDescent="0.25">
      <c r="B53" s="1166"/>
    </row>
    <row r="54" spans="1:9" outlineLevel="2" x14ac:dyDescent="0.25">
      <c r="B54" s="1167"/>
    </row>
    <row r="55" spans="1:9" outlineLevel="2" x14ac:dyDescent="0.25">
      <c r="B55" s="1166"/>
    </row>
    <row r="56" spans="1:9" outlineLevel="2" x14ac:dyDescent="0.25">
      <c r="B56" s="1167"/>
    </row>
    <row r="57" spans="1:9" outlineLevel="2" x14ac:dyDescent="0.25">
      <c r="B57" s="1166"/>
    </row>
    <row r="58" spans="1:9" ht="15.75" outlineLevel="2" thickBot="1" x14ac:dyDescent="0.3">
      <c r="B58" s="1168"/>
    </row>
    <row r="59" spans="1:9" x14ac:dyDescent="0.25">
      <c r="B59" s="75"/>
    </row>
    <row r="60" spans="1:9" ht="15.75" thickBot="1" x14ac:dyDescent="0.3"/>
    <row r="61" spans="1:9" s="317" customFormat="1" ht="24" customHeight="1" thickBot="1" x14ac:dyDescent="0.25">
      <c r="B61" s="32" t="s">
        <v>164</v>
      </c>
      <c r="C61" s="32"/>
      <c r="D61" s="32"/>
      <c r="E61" s="32"/>
      <c r="F61" s="32"/>
      <c r="G61" s="32"/>
      <c r="H61" s="32"/>
      <c r="I61" s="32"/>
    </row>
    <row r="62" spans="1:9" ht="21.75" customHeight="1" outlineLevel="1" thickBot="1" x14ac:dyDescent="0.3">
      <c r="B62" s="250" t="s">
        <v>136</v>
      </c>
      <c r="C62" s="251"/>
      <c r="D62" s="251"/>
      <c r="E62" s="251"/>
      <c r="F62" s="251"/>
      <c r="G62" s="251"/>
      <c r="H62" s="251"/>
      <c r="I62" s="251"/>
    </row>
    <row r="63" spans="1:9" s="42" customFormat="1" ht="15" customHeight="1" outlineLevel="2" x14ac:dyDescent="0.25">
      <c r="A63" s="291"/>
      <c r="B63"/>
      <c r="C63" s="1378" t="s">
        <v>24</v>
      </c>
      <c r="D63" s="1378"/>
      <c r="E63" s="1378"/>
      <c r="F63" s="1378"/>
      <c r="G63" s="1378"/>
      <c r="H63" s="1378"/>
      <c r="I63" s="1378"/>
    </row>
    <row r="64" spans="1:9" s="42" customFormat="1" ht="15" customHeight="1" outlineLevel="2" x14ac:dyDescent="0.25">
      <c r="A64" s="291"/>
      <c r="B64"/>
      <c r="C64" s="1378" t="str">
        <f ca="1">CONCATENATE("$, real ",dms_DollarReal)</f>
        <v>$, real June 2026</v>
      </c>
      <c r="D64" s="1378"/>
      <c r="E64" s="1378"/>
      <c r="F64" s="1378"/>
      <c r="G64" s="1378"/>
      <c r="H64" s="1378"/>
      <c r="I64" s="1378"/>
    </row>
    <row r="65" spans="1:9" s="42" customFormat="1" ht="15.75" customHeight="1" outlineLevel="2" thickBot="1" x14ac:dyDescent="0.3">
      <c r="A65" s="291"/>
      <c r="B65" s="319"/>
      <c r="C65" s="314" t="str">
        <f ca="1">dms_y1</f>
        <v>2024-25</v>
      </c>
      <c r="D65" s="314" t="str">
        <f ca="1">dms_y2</f>
        <v>2025-26</v>
      </c>
      <c r="E65" s="314" t="str">
        <f ca="1">dms_y3</f>
        <v>2026-27</v>
      </c>
      <c r="F65" s="314" t="str">
        <f ca="1">dms_y4</f>
        <v>2027-28</v>
      </c>
      <c r="G65" s="314" t="str">
        <f ca="1">dms_y5</f>
        <v>2028-29</v>
      </c>
      <c r="H65" s="314" t="str">
        <f ca="1">dms_y6</f>
        <v>2029-30</v>
      </c>
      <c r="I65" s="314" t="str">
        <f ca="1">dms_y7</f>
        <v>2030-31</v>
      </c>
    </row>
    <row r="66" spans="1:9" ht="15.75" customHeight="1" outlineLevel="2" x14ac:dyDescent="0.25">
      <c r="B66" s="536" t="str">
        <f>IF(ISBLANK(dms_E3_Projects_01),"",dms_E3_Projects_01)</f>
        <v>Northern Corridor - Angle Vale</v>
      </c>
      <c r="C66" s="366"/>
      <c r="D66" s="265"/>
      <c r="E66" s="264"/>
      <c r="F66" s="257"/>
      <c r="G66" s="257"/>
      <c r="H66" s="257"/>
      <c r="I66" s="258"/>
    </row>
    <row r="67" spans="1:9" ht="15.75" customHeight="1" outlineLevel="2" x14ac:dyDescent="0.25">
      <c r="B67" s="536" t="str">
        <f>IF(ISBLANK(dms_E3_Projects_02),"",dms_E3_Projects_02)</f>
        <v>Southern Corridor - Seaford Aldinga</v>
      </c>
      <c r="C67" s="640"/>
      <c r="D67" s="641"/>
      <c r="E67" s="642"/>
      <c r="F67" s="643"/>
      <c r="G67" s="643"/>
      <c r="H67" s="643"/>
      <c r="I67" s="644"/>
    </row>
    <row r="68" spans="1:9" ht="15.75" customHeight="1" outlineLevel="2" x14ac:dyDescent="0.25">
      <c r="B68" s="536" t="str">
        <f>IF(ISBLANK(dms_E3_Projects_03),"",dms_E3_Projects_03)</f>
        <v>Northern Metro HP Main and Gawler Gate Station</v>
      </c>
      <c r="C68" s="380"/>
      <c r="D68" s="267"/>
      <c r="E68" s="266"/>
      <c r="F68" s="260"/>
      <c r="G68" s="260"/>
      <c r="H68" s="260"/>
      <c r="I68" s="245"/>
    </row>
    <row r="69" spans="1:9" ht="15.75" customHeight="1" outlineLevel="2" x14ac:dyDescent="0.25">
      <c r="B69" s="536" t="str">
        <f>IF(ISBLANK(dms_E3_Projects_04),"",dms_E3_Projects_04)</f>
        <v/>
      </c>
      <c r="C69" s="640"/>
      <c r="D69" s="641"/>
      <c r="E69" s="642"/>
      <c r="F69" s="643"/>
      <c r="G69" s="643"/>
      <c r="H69" s="643"/>
      <c r="I69" s="644"/>
    </row>
    <row r="70" spans="1:9" ht="15.75" customHeight="1" outlineLevel="2" x14ac:dyDescent="0.25">
      <c r="B70" s="536" t="str">
        <f>IF(ISBLANK(dms_E3_Projects_05),"",dms_E3_Projects_05)</f>
        <v/>
      </c>
      <c r="C70" s="380"/>
      <c r="D70" s="267"/>
      <c r="E70" s="266"/>
      <c r="F70" s="260"/>
      <c r="G70" s="260"/>
      <c r="H70" s="260"/>
      <c r="I70" s="245"/>
    </row>
    <row r="71" spans="1:9" ht="15.75" customHeight="1" outlineLevel="2" x14ac:dyDescent="0.25">
      <c r="B71" s="536" t="str">
        <f>IF(ISBLANK(dms_E3_Projects_06),"",dms_E3_Projects_06)</f>
        <v/>
      </c>
      <c r="C71" s="640"/>
      <c r="D71" s="641"/>
      <c r="E71" s="642"/>
      <c r="F71" s="643"/>
      <c r="G71" s="643"/>
      <c r="H71" s="643"/>
      <c r="I71" s="644"/>
    </row>
    <row r="72" spans="1:9" ht="15.75" customHeight="1" outlineLevel="2" x14ac:dyDescent="0.25">
      <c r="B72" s="536" t="str">
        <f>IF(ISBLANK(dms_E3_Projects_07),"",dms_E3_Projects_07)</f>
        <v/>
      </c>
      <c r="C72" s="380"/>
      <c r="D72" s="267"/>
      <c r="E72" s="266"/>
      <c r="F72" s="260"/>
      <c r="G72" s="260"/>
      <c r="H72" s="260"/>
      <c r="I72" s="245"/>
    </row>
    <row r="73" spans="1:9" ht="15.75" customHeight="1" outlineLevel="2" x14ac:dyDescent="0.25">
      <c r="B73" s="536" t="str">
        <f>IF(ISBLANK(dms_E3_Projects_08),"",dms_E3_Projects_08)</f>
        <v/>
      </c>
      <c r="C73" s="640"/>
      <c r="D73" s="641"/>
      <c r="E73" s="642"/>
      <c r="F73" s="643"/>
      <c r="G73" s="643"/>
      <c r="H73" s="643"/>
      <c r="I73" s="644"/>
    </row>
    <row r="74" spans="1:9" ht="15.75" customHeight="1" outlineLevel="2" x14ac:dyDescent="0.25">
      <c r="B74" s="536" t="str">
        <f>IF(ISBLANK(dms_E3_Projects_09),"",dms_E3_Projects_09)</f>
        <v/>
      </c>
      <c r="C74" s="380"/>
      <c r="D74" s="267"/>
      <c r="E74" s="266"/>
      <c r="F74" s="260"/>
      <c r="G74" s="260"/>
      <c r="H74" s="260"/>
      <c r="I74" s="245"/>
    </row>
    <row r="75" spans="1:9" ht="15.75" customHeight="1" outlineLevel="2" x14ac:dyDescent="0.25">
      <c r="B75" s="536" t="str">
        <f>IF(ISBLANK(dms_E3_Projects_10),"",dms_E3_Projects_10)</f>
        <v/>
      </c>
      <c r="C75" s="640"/>
      <c r="D75" s="641"/>
      <c r="E75" s="642"/>
      <c r="F75" s="643"/>
      <c r="G75" s="643"/>
      <c r="H75" s="643"/>
      <c r="I75" s="644"/>
    </row>
    <row r="76" spans="1:9" ht="15.75" customHeight="1" outlineLevel="2" x14ac:dyDescent="0.25">
      <c r="B76" s="536" t="str">
        <f>IF(ISBLANK(dms_E3_Projects_11),"",dms_E3_Projects_11)</f>
        <v/>
      </c>
      <c r="C76" s="380"/>
      <c r="D76" s="267"/>
      <c r="E76" s="266"/>
      <c r="F76" s="260"/>
      <c r="G76" s="260"/>
      <c r="H76" s="260"/>
      <c r="I76" s="245"/>
    </row>
    <row r="77" spans="1:9" ht="15.75" customHeight="1" outlineLevel="2" x14ac:dyDescent="0.25">
      <c r="B77" s="536" t="str">
        <f>IF(ISBLANK(dms_E3_Projects_12),"",dms_E3_Projects_12)</f>
        <v/>
      </c>
      <c r="C77" s="640"/>
      <c r="D77" s="641"/>
      <c r="E77" s="642"/>
      <c r="F77" s="643"/>
      <c r="G77" s="643"/>
      <c r="H77" s="643"/>
      <c r="I77" s="644"/>
    </row>
    <row r="78" spans="1:9" ht="15.75" customHeight="1" outlineLevel="2" x14ac:dyDescent="0.25">
      <c r="B78" s="536" t="str">
        <f>IF(ISBLANK(dms_E3_Projects_13),"",dms_E3_Projects_13)</f>
        <v/>
      </c>
      <c r="C78" s="380"/>
      <c r="D78" s="267"/>
      <c r="E78" s="266"/>
      <c r="F78" s="260"/>
      <c r="G78" s="260"/>
      <c r="H78" s="260"/>
      <c r="I78" s="245"/>
    </row>
    <row r="79" spans="1:9" ht="15.75" customHeight="1" outlineLevel="2" x14ac:dyDescent="0.25">
      <c r="B79" s="536" t="str">
        <f>IF(ISBLANK(dms_E3_Projects_14),"",dms_E3_Projects_14)</f>
        <v/>
      </c>
      <c r="C79" s="640"/>
      <c r="D79" s="641"/>
      <c r="E79" s="642"/>
      <c r="F79" s="643"/>
      <c r="G79" s="643"/>
      <c r="H79" s="643"/>
      <c r="I79" s="644"/>
    </row>
    <row r="80" spans="1:9" ht="15.75" customHeight="1" outlineLevel="2" x14ac:dyDescent="0.25">
      <c r="B80" s="536" t="str">
        <f>IF(ISBLANK(dms_E3_Projects_15),"",dms_E3_Projects_15)</f>
        <v/>
      </c>
      <c r="C80" s="380"/>
      <c r="D80" s="267"/>
      <c r="E80" s="266"/>
      <c r="F80" s="260"/>
      <c r="G80" s="260"/>
      <c r="H80" s="260"/>
      <c r="I80" s="245"/>
    </row>
    <row r="81" spans="2:9" ht="15.75" customHeight="1" outlineLevel="2" x14ac:dyDescent="0.25">
      <c r="B81" s="536" t="str">
        <f>IF(ISBLANK(dms_E3_Projects_16),"",dms_E3_Projects_16)</f>
        <v/>
      </c>
      <c r="C81" s="640"/>
      <c r="D81" s="641"/>
      <c r="E81" s="642"/>
      <c r="F81" s="643"/>
      <c r="G81" s="643"/>
      <c r="H81" s="643"/>
      <c r="I81" s="644"/>
    </row>
    <row r="82" spans="2:9" ht="15.75" customHeight="1" outlineLevel="2" x14ac:dyDescent="0.25">
      <c r="B82" s="541" t="str">
        <f>IF(ISBLANK(dms_E3_Projects_17),"",dms_E3_Projects_17)</f>
        <v/>
      </c>
      <c r="C82" s="380"/>
      <c r="D82" s="267"/>
      <c r="E82" s="266"/>
      <c r="F82" s="260"/>
      <c r="G82" s="260"/>
      <c r="H82" s="260"/>
      <c r="I82" s="245"/>
    </row>
    <row r="83" spans="2:9" ht="15.75" customHeight="1" outlineLevel="2" x14ac:dyDescent="0.25">
      <c r="B83" s="541" t="str">
        <f>IF(ISBLANK(dms_E3_Projects_18),"",dms_E3_Projects_18)</f>
        <v/>
      </c>
      <c r="C83" s="640"/>
      <c r="D83" s="641"/>
      <c r="E83" s="642"/>
      <c r="F83" s="643"/>
      <c r="G83" s="643"/>
      <c r="H83" s="643"/>
      <c r="I83" s="644"/>
    </row>
    <row r="84" spans="2:9" ht="15.75" customHeight="1" outlineLevel="2" x14ac:dyDescent="0.25">
      <c r="B84" s="541" t="str">
        <f>IF(ISBLANK(dms_E3_Projects_18),"",dms_E3_Projects_18)</f>
        <v/>
      </c>
      <c r="C84" s="380"/>
      <c r="D84" s="267"/>
      <c r="E84" s="266"/>
      <c r="F84" s="260"/>
      <c r="G84" s="260"/>
      <c r="H84" s="260"/>
      <c r="I84" s="245"/>
    </row>
    <row r="85" spans="2:9" ht="15.75" customHeight="1" outlineLevel="2" x14ac:dyDescent="0.25">
      <c r="B85" s="541" t="str">
        <f>IF(ISBLANK(dms_E3_Projects_19),"",dms_E3_Projects_19)</f>
        <v/>
      </c>
      <c r="C85" s="640"/>
      <c r="D85" s="641"/>
      <c r="E85" s="642"/>
      <c r="F85" s="643"/>
      <c r="G85" s="643"/>
      <c r="H85" s="643"/>
      <c r="I85" s="644"/>
    </row>
    <row r="86" spans="2:9" ht="15.75" customHeight="1" outlineLevel="2" x14ac:dyDescent="0.25">
      <c r="B86" s="541" t="str">
        <f>IF(ISBLANK(dms_E3_Projects_20),"",dms_E3_Projects_20)</f>
        <v/>
      </c>
      <c r="C86" s="380"/>
      <c r="D86" s="267"/>
      <c r="E86" s="266"/>
      <c r="F86" s="260"/>
      <c r="G86" s="260"/>
      <c r="H86" s="260"/>
      <c r="I86" s="245"/>
    </row>
    <row r="87" spans="2:9" ht="15.75" customHeight="1" outlineLevel="2" x14ac:dyDescent="0.25">
      <c r="B87" s="541" t="str">
        <f>IF(ISBLANK(dms_E3_Projects_21),"",dms_E3_Projects_21)</f>
        <v/>
      </c>
      <c r="C87" s="640"/>
      <c r="D87" s="641"/>
      <c r="E87" s="642"/>
      <c r="F87" s="643"/>
      <c r="G87" s="643"/>
      <c r="H87" s="643"/>
      <c r="I87" s="644"/>
    </row>
    <row r="88" spans="2:9" ht="15.75" customHeight="1" outlineLevel="2" x14ac:dyDescent="0.25">
      <c r="B88" s="541" t="str">
        <f>IF(ISBLANK(dms_E3_Projects_22),"",dms_E3_Projects_22)</f>
        <v/>
      </c>
      <c r="C88" s="380"/>
      <c r="D88" s="267"/>
      <c r="E88" s="266"/>
      <c r="F88" s="260"/>
      <c r="G88" s="260"/>
      <c r="H88" s="260"/>
      <c r="I88" s="245"/>
    </row>
    <row r="89" spans="2:9" ht="15.75" customHeight="1" outlineLevel="2" x14ac:dyDescent="0.25">
      <c r="B89" s="541" t="str">
        <f>IF(ISBLANK(dms_E3_Projects_23),"",dms_E3_Projects_23)</f>
        <v/>
      </c>
      <c r="C89" s="640"/>
      <c r="D89" s="641"/>
      <c r="E89" s="642"/>
      <c r="F89" s="643"/>
      <c r="G89" s="643"/>
      <c r="H89" s="643"/>
      <c r="I89" s="644"/>
    </row>
    <row r="90" spans="2:9" ht="15.75" customHeight="1" outlineLevel="2" x14ac:dyDescent="0.25">
      <c r="B90" s="541" t="str">
        <f>IF(ISBLANK(dms_E3_Projects_24),"",dms_E3_Projects_24)</f>
        <v/>
      </c>
      <c r="C90" s="380"/>
      <c r="D90" s="267"/>
      <c r="E90" s="266"/>
      <c r="F90" s="260"/>
      <c r="G90" s="260"/>
      <c r="H90" s="260"/>
      <c r="I90" s="245"/>
    </row>
    <row r="91" spans="2:9" ht="15.75" customHeight="1" outlineLevel="2" x14ac:dyDescent="0.25">
      <c r="B91" s="541" t="str">
        <f>IF(ISBLANK(dms_E3_Projects_25),"",dms_E3_Projects_26)</f>
        <v/>
      </c>
      <c r="C91" s="640"/>
      <c r="D91" s="641"/>
      <c r="E91" s="642"/>
      <c r="F91" s="643"/>
      <c r="G91" s="643"/>
      <c r="H91" s="643"/>
      <c r="I91" s="644"/>
    </row>
    <row r="92" spans="2:9" ht="15.75" customHeight="1" outlineLevel="2" x14ac:dyDescent="0.25">
      <c r="B92" s="541" t="str">
        <f>IF(ISBLANK(dms_E3_Projects_27),"",dms_E3_Projects_27)</f>
        <v/>
      </c>
      <c r="C92" s="380"/>
      <c r="D92" s="267"/>
      <c r="E92" s="266"/>
      <c r="F92" s="260"/>
      <c r="G92" s="260"/>
      <c r="H92" s="260"/>
      <c r="I92" s="245"/>
    </row>
    <row r="93" spans="2:9" ht="15.75" customHeight="1" outlineLevel="2" x14ac:dyDescent="0.25">
      <c r="B93" s="541" t="str">
        <f>IF(ISBLANK(dms_E3_Projects_28),"",dms_E3_Projects_28)</f>
        <v/>
      </c>
      <c r="C93" s="640"/>
      <c r="D93" s="641"/>
      <c r="E93" s="642"/>
      <c r="F93" s="643"/>
      <c r="G93" s="643"/>
      <c r="H93" s="643"/>
      <c r="I93" s="644"/>
    </row>
    <row r="94" spans="2:9" ht="15.75" customHeight="1" outlineLevel="2" x14ac:dyDescent="0.25">
      <c r="B94" s="541" t="str">
        <f>IF(ISBLANK(dms_E3_Projects_29),"",dms_E3_Projects_29)</f>
        <v/>
      </c>
      <c r="C94" s="380"/>
      <c r="D94" s="267"/>
      <c r="E94" s="266"/>
      <c r="F94" s="260"/>
      <c r="G94" s="260"/>
      <c r="H94" s="260"/>
      <c r="I94" s="245"/>
    </row>
    <row r="95" spans="2:9" ht="15.75" customHeight="1" outlineLevel="2" x14ac:dyDescent="0.25">
      <c r="B95" s="541" t="str">
        <f>IF(ISBLANK(dms_E3_Projects_30),"",dms_E3_Projects_30)</f>
        <v/>
      </c>
      <c r="C95" s="640"/>
      <c r="D95" s="641"/>
      <c r="E95" s="642"/>
      <c r="F95" s="643"/>
      <c r="G95" s="643"/>
      <c r="H95" s="643"/>
      <c r="I95" s="644"/>
    </row>
    <row r="96" spans="2:9" ht="15.75" customHeight="1" outlineLevel="2" x14ac:dyDescent="0.25">
      <c r="B96" s="541" t="str">
        <f>IF(ISBLANK(dms_E3_Projects_31),"",dms_E3_Projects_31)</f>
        <v/>
      </c>
      <c r="C96" s="380"/>
      <c r="D96" s="267"/>
      <c r="E96" s="266"/>
      <c r="F96" s="260"/>
      <c r="G96" s="260"/>
      <c r="H96" s="260"/>
      <c r="I96" s="245"/>
    </row>
    <row r="97" spans="2:9" ht="15.75" customHeight="1" outlineLevel="2" x14ac:dyDescent="0.25">
      <c r="B97" s="541" t="str">
        <f>IF(ISBLANK(dms_E3_Projects_32),"",dms_E3_Projects_32)</f>
        <v/>
      </c>
      <c r="C97" s="640"/>
      <c r="D97" s="641"/>
      <c r="E97" s="642"/>
      <c r="F97" s="643"/>
      <c r="G97" s="643"/>
      <c r="H97" s="643"/>
      <c r="I97" s="644"/>
    </row>
    <row r="98" spans="2:9" ht="15.75" customHeight="1" outlineLevel="2" x14ac:dyDescent="0.25">
      <c r="B98" s="541" t="str">
        <f>IF(ISBLANK(dms_E3_Projects_33),"",dms_E3_Projects_33)</f>
        <v/>
      </c>
      <c r="C98" s="380"/>
      <c r="D98" s="267"/>
      <c r="E98" s="266"/>
      <c r="F98" s="260"/>
      <c r="G98" s="260"/>
      <c r="H98" s="260"/>
      <c r="I98" s="245"/>
    </row>
    <row r="99" spans="2:9" ht="15.75" customHeight="1" outlineLevel="2" x14ac:dyDescent="0.25">
      <c r="B99" s="541" t="str">
        <f>IF(ISBLANK(dms_E3_Projects_34),"",dms_E3_Projects_34)</f>
        <v/>
      </c>
      <c r="C99" s="640"/>
      <c r="D99" s="641"/>
      <c r="E99" s="642"/>
      <c r="F99" s="643"/>
      <c r="G99" s="643"/>
      <c r="H99" s="643"/>
      <c r="I99" s="644"/>
    </row>
    <row r="100" spans="2:9" ht="15.75" customHeight="1" outlineLevel="2" x14ac:dyDescent="0.25">
      <c r="B100" s="541" t="str">
        <f>IF(ISBLANK(dms_E3_Projects_35),"",dms_E3_Projects_35)</f>
        <v/>
      </c>
      <c r="C100" s="380"/>
      <c r="D100" s="267"/>
      <c r="E100" s="266"/>
      <c r="F100" s="260"/>
      <c r="G100" s="260"/>
      <c r="H100" s="260"/>
      <c r="I100" s="245"/>
    </row>
    <row r="101" spans="2:9" ht="15.75" customHeight="1" outlineLevel="2" x14ac:dyDescent="0.25">
      <c r="B101" s="541" t="str">
        <f>IF(ISBLANK(dms_E3_Projects_36),"",dms_E3_Projects_36)</f>
        <v/>
      </c>
      <c r="C101" s="640"/>
      <c r="D101" s="641"/>
      <c r="E101" s="642"/>
      <c r="F101" s="643"/>
      <c r="G101" s="643"/>
      <c r="H101" s="643"/>
      <c r="I101" s="644"/>
    </row>
    <row r="102" spans="2:9" ht="15.75" customHeight="1" outlineLevel="2" x14ac:dyDescent="0.25">
      <c r="B102" s="541" t="str">
        <f>IF(ISBLANK(dms_E3_Projects_37),"",dms_E3_Projects_37)</f>
        <v/>
      </c>
      <c r="C102" s="380"/>
      <c r="D102" s="267"/>
      <c r="E102" s="266"/>
      <c r="F102" s="260"/>
      <c r="G102" s="260"/>
      <c r="H102" s="260"/>
      <c r="I102" s="245"/>
    </row>
    <row r="103" spans="2:9" ht="15.75" customHeight="1" outlineLevel="2" x14ac:dyDescent="0.25">
      <c r="B103" s="541" t="str">
        <f>IF(ISBLANK(dms_E3_Projects_38),"",dms_E3_Projects_38)</f>
        <v/>
      </c>
      <c r="C103" s="640"/>
      <c r="D103" s="641"/>
      <c r="E103" s="642"/>
      <c r="F103" s="643"/>
      <c r="G103" s="643"/>
      <c r="H103" s="643"/>
      <c r="I103" s="644"/>
    </row>
    <row r="104" spans="2:9" ht="15.75" customHeight="1" outlineLevel="2" x14ac:dyDescent="0.25">
      <c r="B104" s="541" t="str">
        <f>IF(ISBLANK(dms_E3_Projects_39),"",dms_E3_Projects_39)</f>
        <v/>
      </c>
      <c r="C104" s="380"/>
      <c r="D104" s="267"/>
      <c r="E104" s="266"/>
      <c r="F104" s="260"/>
      <c r="G104" s="260"/>
      <c r="H104" s="260"/>
      <c r="I104" s="245"/>
    </row>
    <row r="105" spans="2:9" ht="15.75" customHeight="1" outlineLevel="2" x14ac:dyDescent="0.25">
      <c r="B105" s="541" t="str">
        <f>IF(ISBLANK(dms_E3_Projects_40),"",dms_E3_Projects_40)</f>
        <v/>
      </c>
      <c r="C105" s="640"/>
      <c r="D105" s="641"/>
      <c r="E105" s="642"/>
      <c r="F105" s="643"/>
      <c r="G105" s="643"/>
      <c r="H105" s="643"/>
      <c r="I105" s="644"/>
    </row>
    <row r="106" spans="2:9" ht="15.75" customHeight="1" outlineLevel="2" x14ac:dyDescent="0.25">
      <c r="B106" s="541" t="str">
        <f>IF(ISBLANK(dms_E3_Projects_41),"",dms_E3_Projects_41)</f>
        <v/>
      </c>
      <c r="C106" s="380"/>
      <c r="D106" s="267"/>
      <c r="E106" s="266"/>
      <c r="F106" s="260"/>
      <c r="G106" s="260"/>
      <c r="H106" s="260"/>
      <c r="I106" s="245"/>
    </row>
    <row r="107" spans="2:9" ht="15.75" customHeight="1" outlineLevel="2" x14ac:dyDescent="0.25">
      <c r="B107" s="541" t="str">
        <f>IF(ISBLANK(dms_E3_Projects_42),"",dms_E3_Projects_42)</f>
        <v/>
      </c>
      <c r="C107" s="640"/>
      <c r="D107" s="641"/>
      <c r="E107" s="642"/>
      <c r="F107" s="643"/>
      <c r="G107" s="643"/>
      <c r="H107" s="643"/>
      <c r="I107" s="644"/>
    </row>
    <row r="108" spans="2:9" ht="15.75" customHeight="1" outlineLevel="2" x14ac:dyDescent="0.25">
      <c r="B108" s="541" t="str">
        <f>IF(ISBLANK(dms_E3_Projects_43),"",dms_E3_Projects_43)</f>
        <v/>
      </c>
      <c r="C108" s="380"/>
      <c r="D108" s="267"/>
      <c r="E108" s="266"/>
      <c r="F108" s="260"/>
      <c r="G108" s="260"/>
      <c r="H108" s="260"/>
      <c r="I108" s="245"/>
    </row>
    <row r="109" spans="2:9" ht="15.75" customHeight="1" outlineLevel="2" x14ac:dyDescent="0.25">
      <c r="B109" s="541" t="str">
        <f>IF(ISBLANK(dms_E3_Projects_44),"",dms_E3_Projects_44)</f>
        <v/>
      </c>
      <c r="C109" s="640"/>
      <c r="D109" s="641"/>
      <c r="E109" s="642"/>
      <c r="F109" s="643"/>
      <c r="G109" s="643"/>
      <c r="H109" s="643"/>
      <c r="I109" s="644"/>
    </row>
    <row r="110" spans="2:9" ht="15.75" customHeight="1" outlineLevel="2" x14ac:dyDescent="0.25">
      <c r="B110" s="541" t="str">
        <f>IF(ISBLANK(dms_E3_Projects_45),"",dms_E3_Projects_45)</f>
        <v/>
      </c>
      <c r="C110" s="380"/>
      <c r="D110" s="267"/>
      <c r="E110" s="266"/>
      <c r="F110" s="260"/>
      <c r="G110" s="260"/>
      <c r="H110" s="260"/>
      <c r="I110" s="245"/>
    </row>
    <row r="111" spans="2:9" ht="15.75" customHeight="1" outlineLevel="2" x14ac:dyDescent="0.25">
      <c r="B111" s="541" t="str">
        <f>IF(ISBLANK(dms_E3_Projects_46),"",dms_E3_Projects_46)</f>
        <v/>
      </c>
      <c r="C111" s="640"/>
      <c r="D111" s="641"/>
      <c r="E111" s="642"/>
      <c r="F111" s="643"/>
      <c r="G111" s="643"/>
      <c r="H111" s="643"/>
      <c r="I111" s="644"/>
    </row>
    <row r="112" spans="2:9" ht="15.75" customHeight="1" outlineLevel="2" x14ac:dyDescent="0.25">
      <c r="B112" s="541" t="str">
        <f>IF(ISBLANK(dms_E3_Projects_47),"",dms_E3_Projects_47)</f>
        <v/>
      </c>
      <c r="C112" s="380"/>
      <c r="D112" s="267"/>
      <c r="E112" s="266"/>
      <c r="F112" s="260"/>
      <c r="G112" s="260"/>
      <c r="H112" s="260"/>
      <c r="I112" s="245"/>
    </row>
    <row r="113" spans="1:9" ht="15.75" customHeight="1" outlineLevel="2" x14ac:dyDescent="0.25">
      <c r="B113" s="541" t="str">
        <f>IF(ISBLANK(dms_E3_Projects_48),"",dms_E3_Projects_48)</f>
        <v/>
      </c>
      <c r="C113" s="640"/>
      <c r="D113" s="641"/>
      <c r="E113" s="642"/>
      <c r="F113" s="643"/>
      <c r="G113" s="643"/>
      <c r="H113" s="643"/>
      <c r="I113" s="644"/>
    </row>
    <row r="114" spans="1:9" ht="15.75" customHeight="1" outlineLevel="2" x14ac:dyDescent="0.25">
      <c r="B114" s="541" t="str">
        <f>IF(ISBLANK(dms_E3_Projects_49),"",dms_E3_Projects_49)</f>
        <v/>
      </c>
      <c r="C114" s="380"/>
      <c r="D114" s="267"/>
      <c r="E114" s="266"/>
      <c r="F114" s="260"/>
      <c r="G114" s="260"/>
      <c r="H114" s="260"/>
      <c r="I114" s="245"/>
    </row>
    <row r="115" spans="1:9" ht="15.75" customHeight="1" outlineLevel="2" x14ac:dyDescent="0.25">
      <c r="B115" s="541" t="str">
        <f>IF(ISBLANK(dms_E3_Projects_50),"",dms_E3_Projects_50)</f>
        <v/>
      </c>
      <c r="C115" s="640"/>
      <c r="D115" s="641"/>
      <c r="E115" s="642"/>
      <c r="F115" s="643"/>
      <c r="G115" s="643"/>
      <c r="H115" s="643"/>
      <c r="I115" s="644"/>
    </row>
    <row r="116" spans="1:9" ht="15.75" customHeight="1" outlineLevel="2" thickBot="1" x14ac:dyDescent="0.3">
      <c r="B116" s="646" t="s">
        <v>152</v>
      </c>
      <c r="C116" s="381"/>
      <c r="D116" s="269"/>
      <c r="E116" s="268"/>
      <c r="F116" s="262"/>
      <c r="G116" s="262"/>
      <c r="H116" s="262"/>
      <c r="I116" s="494"/>
    </row>
    <row r="117" spans="1:9" ht="15.75" customHeight="1" outlineLevel="2" thickBot="1" x14ac:dyDescent="0.3">
      <c r="B117" s="544" t="s">
        <v>120</v>
      </c>
      <c r="C117" s="545">
        <f>SUM(C66:C116)</f>
        <v>0</v>
      </c>
      <c r="D117" s="545">
        <f t="shared" ref="D117:I117" si="0">SUM(D66:D116)</f>
        <v>0</v>
      </c>
      <c r="E117" s="545">
        <f t="shared" si="0"/>
        <v>0</v>
      </c>
      <c r="F117" s="545">
        <f t="shared" si="0"/>
        <v>0</v>
      </c>
      <c r="G117" s="545">
        <f t="shared" si="0"/>
        <v>0</v>
      </c>
      <c r="H117" s="545">
        <f t="shared" si="0"/>
        <v>0</v>
      </c>
      <c r="I117" s="546">
        <f t="shared" si="0"/>
        <v>0</v>
      </c>
    </row>
    <row r="118" spans="1:9" ht="15.75" customHeight="1" outlineLevel="1" thickBot="1" x14ac:dyDescent="0.3">
      <c r="B118" s="75"/>
    </row>
    <row r="119" spans="1:9" ht="21.75" customHeight="1" outlineLevel="1" thickBot="1" x14ac:dyDescent="0.3">
      <c r="B119" s="250" t="s">
        <v>138</v>
      </c>
      <c r="C119" s="251"/>
      <c r="D119" s="251"/>
      <c r="E119" s="251"/>
      <c r="F119" s="251"/>
      <c r="G119" s="251"/>
      <c r="H119" s="251"/>
      <c r="I119" s="251"/>
    </row>
    <row r="120" spans="1:9" s="42" customFormat="1" ht="15" customHeight="1" outlineLevel="2" x14ac:dyDescent="0.25">
      <c r="A120" s="291"/>
      <c r="B120"/>
      <c r="C120" s="1378" t="s">
        <v>24</v>
      </c>
      <c r="D120" s="1378"/>
      <c r="E120" s="1378"/>
      <c r="F120" s="1378"/>
      <c r="G120" s="1378"/>
      <c r="H120" s="1378"/>
      <c r="I120" s="1378"/>
    </row>
    <row r="121" spans="1:9" s="42" customFormat="1" ht="15" customHeight="1" outlineLevel="2" x14ac:dyDescent="0.25">
      <c r="A121" s="291"/>
      <c r="B121"/>
      <c r="C121" s="1378" t="str">
        <f ca="1">CONCATENATE("$, real ",dms_DollarReal)</f>
        <v>$, real June 2026</v>
      </c>
      <c r="D121" s="1378"/>
      <c r="E121" s="1378"/>
      <c r="F121" s="1378"/>
      <c r="G121" s="1378"/>
      <c r="H121" s="1378"/>
      <c r="I121" s="1378"/>
    </row>
    <row r="122" spans="1:9" s="42" customFormat="1" ht="15.75" customHeight="1" outlineLevel="2" thickBot="1" x14ac:dyDescent="0.3">
      <c r="A122" s="291"/>
      <c r="B122" s="78"/>
      <c r="C122" s="314" t="str">
        <f ca="1">dms_y1</f>
        <v>2024-25</v>
      </c>
      <c r="D122" s="314" t="str">
        <f ca="1">dms_y2</f>
        <v>2025-26</v>
      </c>
      <c r="E122" s="314" t="str">
        <f ca="1">dms_y3</f>
        <v>2026-27</v>
      </c>
      <c r="F122" s="314" t="str">
        <f ca="1">dms_y4</f>
        <v>2027-28</v>
      </c>
      <c r="G122" s="314" t="str">
        <f ca="1">dms_y5</f>
        <v>2028-29</v>
      </c>
      <c r="H122" s="314" t="str">
        <f ca="1">dms_y6</f>
        <v>2029-30</v>
      </c>
      <c r="I122" s="314" t="str">
        <f ca="1">dms_y7</f>
        <v>2030-31</v>
      </c>
    </row>
    <row r="123" spans="1:9" ht="15.75" customHeight="1" outlineLevel="2" x14ac:dyDescent="0.25">
      <c r="B123" s="536" t="str">
        <f>IF(ISBLANK(dms_E3_Projects_01),"",dms_E3_Projects_01)</f>
        <v>Northern Corridor - Angle Vale</v>
      </c>
      <c r="C123" s="1528"/>
      <c r="D123" s="1529"/>
      <c r="E123" s="1530"/>
      <c r="F123" s="1531"/>
      <c r="G123" s="1531"/>
      <c r="H123" s="1531"/>
      <c r="I123" s="1532"/>
    </row>
    <row r="124" spans="1:9" ht="15.75" customHeight="1" outlineLevel="2" x14ac:dyDescent="0.25">
      <c r="B124" s="536" t="str">
        <f>IF(ISBLANK(dms_E3_Projects_02),"",dms_E3_Projects_02)</f>
        <v>Southern Corridor - Seaford Aldinga</v>
      </c>
      <c r="C124" s="1533"/>
      <c r="D124" s="1534"/>
      <c r="E124" s="1535"/>
      <c r="F124" s="1536"/>
      <c r="G124" s="1536"/>
      <c r="H124" s="1536"/>
      <c r="I124" s="1537"/>
    </row>
    <row r="125" spans="1:9" ht="15.75" customHeight="1" outlineLevel="2" x14ac:dyDescent="0.25">
      <c r="B125" s="536" t="str">
        <f>IF(ISBLANK(dms_E3_Projects_03),"",dms_E3_Projects_03)</f>
        <v>Northern Metro HP Main and Gawler Gate Station</v>
      </c>
      <c r="C125" s="1533"/>
      <c r="D125" s="1534"/>
      <c r="E125" s="1535"/>
      <c r="F125" s="1536"/>
      <c r="G125" s="1536"/>
      <c r="H125" s="1536"/>
      <c r="I125" s="1537"/>
    </row>
    <row r="126" spans="1:9" ht="15.75" customHeight="1" outlineLevel="2" x14ac:dyDescent="0.25">
      <c r="B126" s="536" t="str">
        <f>IF(ISBLANK(dms_E3_Projects_04),"",dms_E3_Projects_04)</f>
        <v/>
      </c>
      <c r="C126" s="1533"/>
      <c r="D126" s="1534"/>
      <c r="E126" s="1535"/>
      <c r="F126" s="1536"/>
      <c r="G126" s="1536"/>
      <c r="H126" s="1536"/>
      <c r="I126" s="1537"/>
    </row>
    <row r="127" spans="1:9" ht="15.75" customHeight="1" outlineLevel="2" x14ac:dyDescent="0.25">
      <c r="B127" s="536" t="str">
        <f>IF(ISBLANK(dms_E3_Projects_05),"",dms_E3_Projects_05)</f>
        <v/>
      </c>
      <c r="C127" s="1533"/>
      <c r="D127" s="1534"/>
      <c r="E127" s="1535"/>
      <c r="F127" s="1536"/>
      <c r="G127" s="1536"/>
      <c r="H127" s="1536"/>
      <c r="I127" s="1537"/>
    </row>
    <row r="128" spans="1:9" ht="15.75" customHeight="1" outlineLevel="2" x14ac:dyDescent="0.25">
      <c r="B128" s="536" t="str">
        <f>IF(ISBLANK(dms_E3_Projects_06),"",dms_E3_Projects_06)</f>
        <v/>
      </c>
      <c r="C128" s="1533"/>
      <c r="D128" s="1534"/>
      <c r="E128" s="1535"/>
      <c r="F128" s="1536"/>
      <c r="G128" s="1536"/>
      <c r="H128" s="1536"/>
      <c r="I128" s="1537"/>
    </row>
    <row r="129" spans="2:9" ht="15.75" customHeight="1" outlineLevel="2" x14ac:dyDescent="0.25">
      <c r="B129" s="536" t="str">
        <f>IF(ISBLANK(dms_E3_Projects_07),"",dms_E3_Projects_07)</f>
        <v/>
      </c>
      <c r="C129" s="1533"/>
      <c r="D129" s="1534"/>
      <c r="E129" s="1535"/>
      <c r="F129" s="1536"/>
      <c r="G129" s="1536"/>
      <c r="H129" s="1536"/>
      <c r="I129" s="1537"/>
    </row>
    <row r="130" spans="2:9" ht="15.75" customHeight="1" outlineLevel="2" x14ac:dyDescent="0.25">
      <c r="B130" s="536" t="str">
        <f>IF(ISBLANK(dms_E3_Projects_08),"",dms_E3_Projects_08)</f>
        <v/>
      </c>
      <c r="C130" s="1533"/>
      <c r="D130" s="1534"/>
      <c r="E130" s="1535"/>
      <c r="F130" s="1536"/>
      <c r="G130" s="1536"/>
      <c r="H130" s="1536"/>
      <c r="I130" s="1537"/>
    </row>
    <row r="131" spans="2:9" ht="15.75" customHeight="1" outlineLevel="2" x14ac:dyDescent="0.25">
      <c r="B131" s="536" t="str">
        <f>IF(ISBLANK(dms_E3_Projects_09),"",dms_E3_Projects_09)</f>
        <v/>
      </c>
      <c r="C131" s="1533"/>
      <c r="D131" s="1534"/>
      <c r="E131" s="1535"/>
      <c r="F131" s="1536"/>
      <c r="G131" s="1536"/>
      <c r="H131" s="1536"/>
      <c r="I131" s="1537"/>
    </row>
    <row r="132" spans="2:9" ht="15.75" customHeight="1" outlineLevel="2" x14ac:dyDescent="0.25">
      <c r="B132" s="536" t="str">
        <f>IF(ISBLANK(dms_E3_Projects_10),"",dms_E3_Projects_10)</f>
        <v/>
      </c>
      <c r="C132" s="1533"/>
      <c r="D132" s="1534"/>
      <c r="E132" s="1535"/>
      <c r="F132" s="1536"/>
      <c r="G132" s="1536"/>
      <c r="H132" s="1536"/>
      <c r="I132" s="1537"/>
    </row>
    <row r="133" spans="2:9" ht="15.75" customHeight="1" outlineLevel="2" x14ac:dyDescent="0.25">
      <c r="B133" s="536" t="str">
        <f>IF(ISBLANK(dms_E3_Projects_11),"",dms_E3_Projects_11)</f>
        <v/>
      </c>
      <c r="C133" s="1533"/>
      <c r="D133" s="1534"/>
      <c r="E133" s="1535"/>
      <c r="F133" s="1536"/>
      <c r="G133" s="1536"/>
      <c r="H133" s="1536"/>
      <c r="I133" s="1537"/>
    </row>
    <row r="134" spans="2:9" ht="15.75" customHeight="1" outlineLevel="2" x14ac:dyDescent="0.25">
      <c r="B134" s="536" t="str">
        <f>IF(ISBLANK(dms_E3_Projects_12),"",dms_E3_Projects_12)</f>
        <v/>
      </c>
      <c r="C134" s="1533"/>
      <c r="D134" s="1534"/>
      <c r="E134" s="1535"/>
      <c r="F134" s="1536"/>
      <c r="G134" s="1536"/>
      <c r="H134" s="1536"/>
      <c r="I134" s="1537"/>
    </row>
    <row r="135" spans="2:9" ht="15.75" customHeight="1" outlineLevel="2" x14ac:dyDescent="0.25">
      <c r="B135" s="536" t="str">
        <f>IF(ISBLANK(dms_E3_Projects_13),"",dms_E3_Projects_13)</f>
        <v/>
      </c>
      <c r="C135" s="1533"/>
      <c r="D135" s="1534"/>
      <c r="E135" s="1535"/>
      <c r="F135" s="1536"/>
      <c r="G135" s="1536"/>
      <c r="H135" s="1536"/>
      <c r="I135" s="1537"/>
    </row>
    <row r="136" spans="2:9" ht="15.75" customHeight="1" outlineLevel="2" x14ac:dyDescent="0.25">
      <c r="B136" s="536" t="str">
        <f>IF(ISBLANK(dms_E3_Projects_14),"",dms_E3_Projects_14)</f>
        <v/>
      </c>
      <c r="C136" s="1533"/>
      <c r="D136" s="1534"/>
      <c r="E136" s="1535"/>
      <c r="F136" s="1536"/>
      <c r="G136" s="1536"/>
      <c r="H136" s="1536"/>
      <c r="I136" s="1537"/>
    </row>
    <row r="137" spans="2:9" ht="15.75" customHeight="1" outlineLevel="2" x14ac:dyDescent="0.25">
      <c r="B137" s="536" t="str">
        <f>IF(ISBLANK(dms_E3_Projects_15),"",dms_E3_Projects_15)</f>
        <v/>
      </c>
      <c r="C137" s="1533"/>
      <c r="D137" s="1534"/>
      <c r="E137" s="1535"/>
      <c r="F137" s="1536"/>
      <c r="G137" s="1536"/>
      <c r="H137" s="1536"/>
      <c r="I137" s="1537"/>
    </row>
    <row r="138" spans="2:9" ht="15.75" customHeight="1" outlineLevel="2" x14ac:dyDescent="0.25">
      <c r="B138" s="536" t="str">
        <f>IF(ISBLANK(dms_E3_Projects_16),"",dms_E3_Projects_16)</f>
        <v/>
      </c>
      <c r="C138" s="1533"/>
      <c r="D138" s="1534"/>
      <c r="E138" s="1535"/>
      <c r="F138" s="1536"/>
      <c r="G138" s="1536"/>
      <c r="H138" s="1536"/>
      <c r="I138" s="1537"/>
    </row>
    <row r="139" spans="2:9" ht="15.75" customHeight="1" outlineLevel="2" x14ac:dyDescent="0.25">
      <c r="B139" s="541" t="str">
        <f>IF(ISBLANK(dms_E3_Projects_17),"",dms_E3_Projects_17)</f>
        <v/>
      </c>
      <c r="C139" s="1533"/>
      <c r="D139" s="1534"/>
      <c r="E139" s="1535"/>
      <c r="F139" s="1536"/>
      <c r="G139" s="1536"/>
      <c r="H139" s="1536"/>
      <c r="I139" s="1537"/>
    </row>
    <row r="140" spans="2:9" ht="15.75" customHeight="1" outlineLevel="2" x14ac:dyDescent="0.25">
      <c r="B140" s="541" t="str">
        <f>IF(ISBLANK(dms_E3_Projects_18),"",dms_E3_Projects_18)</f>
        <v/>
      </c>
      <c r="C140" s="1533"/>
      <c r="D140" s="1534"/>
      <c r="E140" s="1535"/>
      <c r="F140" s="1536"/>
      <c r="G140" s="1536"/>
      <c r="H140" s="1536"/>
      <c r="I140" s="1537"/>
    </row>
    <row r="141" spans="2:9" ht="15.75" customHeight="1" outlineLevel="2" x14ac:dyDescent="0.25">
      <c r="B141" s="541" t="str">
        <f>IF(ISBLANK(dms_E3_Projects_18),"",dms_E3_Projects_18)</f>
        <v/>
      </c>
      <c r="C141" s="1533"/>
      <c r="D141" s="1534"/>
      <c r="E141" s="1535"/>
      <c r="F141" s="1536"/>
      <c r="G141" s="1536"/>
      <c r="H141" s="1536"/>
      <c r="I141" s="1537"/>
    </row>
    <row r="142" spans="2:9" ht="15.75" customHeight="1" outlineLevel="2" x14ac:dyDescent="0.25">
      <c r="B142" s="541" t="str">
        <f>IF(ISBLANK(dms_E3_Projects_19),"",dms_E3_Projects_19)</f>
        <v/>
      </c>
      <c r="C142" s="1533"/>
      <c r="D142" s="1534"/>
      <c r="E142" s="1535"/>
      <c r="F142" s="1536"/>
      <c r="G142" s="1536"/>
      <c r="H142" s="1536"/>
      <c r="I142" s="1537"/>
    </row>
    <row r="143" spans="2:9" ht="15.75" customHeight="1" outlineLevel="2" x14ac:dyDescent="0.25">
      <c r="B143" s="541" t="str">
        <f>IF(ISBLANK(dms_E3_Projects_20),"",dms_E3_Projects_20)</f>
        <v/>
      </c>
      <c r="C143" s="1533"/>
      <c r="D143" s="1534"/>
      <c r="E143" s="1535"/>
      <c r="F143" s="1536"/>
      <c r="G143" s="1536"/>
      <c r="H143" s="1536"/>
      <c r="I143" s="1537"/>
    </row>
    <row r="144" spans="2:9" ht="15.75" customHeight="1" outlineLevel="2" x14ac:dyDescent="0.25">
      <c r="B144" s="541" t="str">
        <f>IF(ISBLANK(dms_E3_Projects_21),"",dms_E3_Projects_21)</f>
        <v/>
      </c>
      <c r="C144" s="1533"/>
      <c r="D144" s="1534"/>
      <c r="E144" s="1535"/>
      <c r="F144" s="1536"/>
      <c r="G144" s="1536"/>
      <c r="H144" s="1536"/>
      <c r="I144" s="1537"/>
    </row>
    <row r="145" spans="2:9" ht="15.75" customHeight="1" outlineLevel="2" x14ac:dyDescent="0.25">
      <c r="B145" s="541" t="str">
        <f>IF(ISBLANK(dms_E3_Projects_22),"",dms_E3_Projects_22)</f>
        <v/>
      </c>
      <c r="C145" s="1533"/>
      <c r="D145" s="1534"/>
      <c r="E145" s="1535"/>
      <c r="F145" s="1536"/>
      <c r="G145" s="1536"/>
      <c r="H145" s="1536"/>
      <c r="I145" s="1537"/>
    </row>
    <row r="146" spans="2:9" ht="15.75" customHeight="1" outlineLevel="2" x14ac:dyDescent="0.25">
      <c r="B146" s="541" t="str">
        <f>IF(ISBLANK(dms_E3_Projects_23),"",dms_E3_Projects_23)</f>
        <v/>
      </c>
      <c r="C146" s="1533"/>
      <c r="D146" s="1534"/>
      <c r="E146" s="1535"/>
      <c r="F146" s="1536"/>
      <c r="G146" s="1536"/>
      <c r="H146" s="1536"/>
      <c r="I146" s="1537"/>
    </row>
    <row r="147" spans="2:9" ht="15.75" customHeight="1" outlineLevel="2" x14ac:dyDescent="0.25">
      <c r="B147" s="541" t="str">
        <f>IF(ISBLANK(dms_E3_Projects_24),"",dms_E3_Projects_24)</f>
        <v/>
      </c>
      <c r="C147" s="1533"/>
      <c r="D147" s="1534"/>
      <c r="E147" s="1535"/>
      <c r="F147" s="1536"/>
      <c r="G147" s="1536"/>
      <c r="H147" s="1536"/>
      <c r="I147" s="1537"/>
    </row>
    <row r="148" spans="2:9" ht="15.75" customHeight="1" outlineLevel="2" x14ac:dyDescent="0.25">
      <c r="B148" s="541" t="str">
        <f>IF(ISBLANK(dms_E3_Projects_25),"",dms_E3_Projects_26)</f>
        <v/>
      </c>
      <c r="C148" s="1533"/>
      <c r="D148" s="1534"/>
      <c r="E148" s="1535"/>
      <c r="F148" s="1536"/>
      <c r="G148" s="1536"/>
      <c r="H148" s="1536"/>
      <c r="I148" s="1537"/>
    </row>
    <row r="149" spans="2:9" ht="15.75" customHeight="1" outlineLevel="2" x14ac:dyDescent="0.25">
      <c r="B149" s="541" t="str">
        <f>IF(ISBLANK(dms_E3_Projects_27),"",dms_E3_Projects_27)</f>
        <v/>
      </c>
      <c r="C149" s="1533"/>
      <c r="D149" s="1534"/>
      <c r="E149" s="1535"/>
      <c r="F149" s="1536"/>
      <c r="G149" s="1536"/>
      <c r="H149" s="1536"/>
      <c r="I149" s="1537"/>
    </row>
    <row r="150" spans="2:9" ht="15.75" customHeight="1" outlineLevel="2" x14ac:dyDescent="0.25">
      <c r="B150" s="541" t="str">
        <f>IF(ISBLANK(dms_E3_Projects_28),"",dms_E3_Projects_28)</f>
        <v/>
      </c>
      <c r="C150" s="1533"/>
      <c r="D150" s="1534"/>
      <c r="E150" s="1535"/>
      <c r="F150" s="1536"/>
      <c r="G150" s="1536"/>
      <c r="H150" s="1536"/>
      <c r="I150" s="1537"/>
    </row>
    <row r="151" spans="2:9" ht="15.75" customHeight="1" outlineLevel="2" x14ac:dyDescent="0.25">
      <c r="B151" s="541" t="str">
        <f>IF(ISBLANK(dms_E3_Projects_29),"",dms_E3_Projects_29)</f>
        <v/>
      </c>
      <c r="C151" s="1533"/>
      <c r="D151" s="1534"/>
      <c r="E151" s="1535"/>
      <c r="F151" s="1536"/>
      <c r="G151" s="1536"/>
      <c r="H151" s="1536"/>
      <c r="I151" s="1537"/>
    </row>
    <row r="152" spans="2:9" ht="15.75" customHeight="1" outlineLevel="2" x14ac:dyDescent="0.25">
      <c r="B152" s="541" t="str">
        <f>IF(ISBLANK(dms_E3_Projects_30),"",dms_E3_Projects_30)</f>
        <v/>
      </c>
      <c r="C152" s="1533"/>
      <c r="D152" s="1534"/>
      <c r="E152" s="1535"/>
      <c r="F152" s="1536"/>
      <c r="G152" s="1536"/>
      <c r="H152" s="1536"/>
      <c r="I152" s="1537"/>
    </row>
    <row r="153" spans="2:9" ht="15.75" customHeight="1" outlineLevel="2" x14ac:dyDescent="0.25">
      <c r="B153" s="541" t="str">
        <f>IF(ISBLANK(dms_E3_Projects_31),"",dms_E3_Projects_31)</f>
        <v/>
      </c>
      <c r="C153" s="1533"/>
      <c r="D153" s="1534"/>
      <c r="E153" s="1535"/>
      <c r="F153" s="1536"/>
      <c r="G153" s="1536"/>
      <c r="H153" s="1536"/>
      <c r="I153" s="1537"/>
    </row>
    <row r="154" spans="2:9" ht="15.75" customHeight="1" outlineLevel="2" x14ac:dyDescent="0.25">
      <c r="B154" s="541" t="str">
        <f>IF(ISBLANK(dms_E3_Projects_32),"",dms_E3_Projects_32)</f>
        <v/>
      </c>
      <c r="C154" s="1533"/>
      <c r="D154" s="1534"/>
      <c r="E154" s="1535"/>
      <c r="F154" s="1536"/>
      <c r="G154" s="1536"/>
      <c r="H154" s="1536"/>
      <c r="I154" s="1537"/>
    </row>
    <row r="155" spans="2:9" ht="15.75" customHeight="1" outlineLevel="2" x14ac:dyDescent="0.25">
      <c r="B155" s="541" t="str">
        <f>IF(ISBLANK(dms_E3_Projects_33),"",dms_E3_Projects_33)</f>
        <v/>
      </c>
      <c r="C155" s="1533"/>
      <c r="D155" s="1534"/>
      <c r="E155" s="1535"/>
      <c r="F155" s="1536"/>
      <c r="G155" s="1536"/>
      <c r="H155" s="1536"/>
      <c r="I155" s="1537"/>
    </row>
    <row r="156" spans="2:9" ht="15.75" customHeight="1" outlineLevel="2" x14ac:dyDescent="0.25">
      <c r="B156" s="541" t="str">
        <f>IF(ISBLANK(dms_E3_Projects_34),"",dms_E3_Projects_34)</f>
        <v/>
      </c>
      <c r="C156" s="1533"/>
      <c r="D156" s="1534"/>
      <c r="E156" s="1535"/>
      <c r="F156" s="1536"/>
      <c r="G156" s="1536"/>
      <c r="H156" s="1536"/>
      <c r="I156" s="1537"/>
    </row>
    <row r="157" spans="2:9" ht="15.75" customHeight="1" outlineLevel="2" x14ac:dyDescent="0.25">
      <c r="B157" s="541" t="str">
        <f>IF(ISBLANK(dms_E3_Projects_35),"",dms_E3_Projects_35)</f>
        <v/>
      </c>
      <c r="C157" s="1533"/>
      <c r="D157" s="1534"/>
      <c r="E157" s="1535"/>
      <c r="F157" s="1536"/>
      <c r="G157" s="1536"/>
      <c r="H157" s="1536"/>
      <c r="I157" s="1537"/>
    </row>
    <row r="158" spans="2:9" ht="15.75" customHeight="1" outlineLevel="2" x14ac:dyDescent="0.25">
      <c r="B158" s="541" t="str">
        <f>IF(ISBLANK(dms_E3_Projects_36),"",dms_E3_Projects_36)</f>
        <v/>
      </c>
      <c r="C158" s="1533"/>
      <c r="D158" s="1534"/>
      <c r="E158" s="1535"/>
      <c r="F158" s="1536"/>
      <c r="G158" s="1536"/>
      <c r="H158" s="1536"/>
      <c r="I158" s="1537"/>
    </row>
    <row r="159" spans="2:9" ht="15.75" customHeight="1" outlineLevel="2" x14ac:dyDescent="0.25">
      <c r="B159" s="541" t="str">
        <f>IF(ISBLANK(dms_E3_Projects_37),"",dms_E3_Projects_37)</f>
        <v/>
      </c>
      <c r="C159" s="1533"/>
      <c r="D159" s="1534"/>
      <c r="E159" s="1535"/>
      <c r="F159" s="1536"/>
      <c r="G159" s="1536"/>
      <c r="H159" s="1536"/>
      <c r="I159" s="1537"/>
    </row>
    <row r="160" spans="2:9" ht="15.75" customHeight="1" outlineLevel="2" x14ac:dyDescent="0.25">
      <c r="B160" s="541" t="str">
        <f>IF(ISBLANK(dms_E3_Projects_38),"",dms_E3_Projects_38)</f>
        <v/>
      </c>
      <c r="C160" s="1533"/>
      <c r="D160" s="1534"/>
      <c r="E160" s="1535"/>
      <c r="F160" s="1536"/>
      <c r="G160" s="1536"/>
      <c r="H160" s="1536"/>
      <c r="I160" s="1537"/>
    </row>
    <row r="161" spans="2:9" ht="15.75" customHeight="1" outlineLevel="2" x14ac:dyDescent="0.25">
      <c r="B161" s="541" t="str">
        <f>IF(ISBLANK(dms_E3_Projects_39),"",dms_E3_Projects_39)</f>
        <v/>
      </c>
      <c r="C161" s="1533"/>
      <c r="D161" s="1534"/>
      <c r="E161" s="1535"/>
      <c r="F161" s="1536"/>
      <c r="G161" s="1536"/>
      <c r="H161" s="1536"/>
      <c r="I161" s="1537"/>
    </row>
    <row r="162" spans="2:9" ht="15.75" customHeight="1" outlineLevel="2" x14ac:dyDescent="0.25">
      <c r="B162" s="541" t="str">
        <f>IF(ISBLANK(dms_E3_Projects_40),"",dms_E3_Projects_40)</f>
        <v/>
      </c>
      <c r="C162" s="1533"/>
      <c r="D162" s="1534"/>
      <c r="E162" s="1535"/>
      <c r="F162" s="1536"/>
      <c r="G162" s="1536"/>
      <c r="H162" s="1536"/>
      <c r="I162" s="1537"/>
    </row>
    <row r="163" spans="2:9" ht="15.75" customHeight="1" outlineLevel="2" x14ac:dyDescent="0.25">
      <c r="B163" s="541" t="str">
        <f>IF(ISBLANK(dms_E3_Projects_41),"",dms_E3_Projects_41)</f>
        <v/>
      </c>
      <c r="C163" s="1533"/>
      <c r="D163" s="1534"/>
      <c r="E163" s="1535"/>
      <c r="F163" s="1536"/>
      <c r="G163" s="1536"/>
      <c r="H163" s="1536"/>
      <c r="I163" s="1537"/>
    </row>
    <row r="164" spans="2:9" ht="15.75" customHeight="1" outlineLevel="2" x14ac:dyDescent="0.25">
      <c r="B164" s="541" t="str">
        <f>IF(ISBLANK(dms_E3_Projects_42),"",dms_E3_Projects_42)</f>
        <v/>
      </c>
      <c r="C164" s="1533"/>
      <c r="D164" s="1534"/>
      <c r="E164" s="1535"/>
      <c r="F164" s="1536"/>
      <c r="G164" s="1536"/>
      <c r="H164" s="1536"/>
      <c r="I164" s="1537"/>
    </row>
    <row r="165" spans="2:9" ht="15.75" customHeight="1" outlineLevel="2" x14ac:dyDescent="0.25">
      <c r="B165" s="541" t="str">
        <f>IF(ISBLANK(dms_E3_Projects_43),"",dms_E3_Projects_43)</f>
        <v/>
      </c>
      <c r="C165" s="1533"/>
      <c r="D165" s="1534"/>
      <c r="E165" s="1535"/>
      <c r="F165" s="1536"/>
      <c r="G165" s="1536"/>
      <c r="H165" s="1536"/>
      <c r="I165" s="1537"/>
    </row>
    <row r="166" spans="2:9" ht="15.75" customHeight="1" outlineLevel="2" x14ac:dyDescent="0.25">
      <c r="B166" s="541" t="str">
        <f>IF(ISBLANK(dms_E3_Projects_44),"",dms_E3_Projects_44)</f>
        <v/>
      </c>
      <c r="C166" s="1533"/>
      <c r="D166" s="1534"/>
      <c r="E166" s="1535"/>
      <c r="F166" s="1536"/>
      <c r="G166" s="1536"/>
      <c r="H166" s="1536"/>
      <c r="I166" s="1537"/>
    </row>
    <row r="167" spans="2:9" ht="15.75" customHeight="1" outlineLevel="2" x14ac:dyDescent="0.25">
      <c r="B167" s="541" t="str">
        <f>IF(ISBLANK(dms_E3_Projects_45),"",dms_E3_Projects_45)</f>
        <v/>
      </c>
      <c r="C167" s="1533"/>
      <c r="D167" s="1534"/>
      <c r="E167" s="1535"/>
      <c r="F167" s="1536"/>
      <c r="G167" s="1536"/>
      <c r="H167" s="1536"/>
      <c r="I167" s="1537"/>
    </row>
    <row r="168" spans="2:9" ht="15.75" customHeight="1" outlineLevel="2" x14ac:dyDescent="0.25">
      <c r="B168" s="541" t="str">
        <f>IF(ISBLANK(dms_E3_Projects_46),"",dms_E3_Projects_46)</f>
        <v/>
      </c>
      <c r="C168" s="1533"/>
      <c r="D168" s="1534"/>
      <c r="E168" s="1535"/>
      <c r="F168" s="1536"/>
      <c r="G168" s="1536"/>
      <c r="H168" s="1536"/>
      <c r="I168" s="1537"/>
    </row>
    <row r="169" spans="2:9" ht="15.75" customHeight="1" outlineLevel="2" x14ac:dyDescent="0.25">
      <c r="B169" s="541" t="str">
        <f>IF(ISBLANK(dms_E3_Projects_47),"",dms_E3_Projects_47)</f>
        <v/>
      </c>
      <c r="C169" s="1533"/>
      <c r="D169" s="1534"/>
      <c r="E169" s="1535"/>
      <c r="F169" s="1536"/>
      <c r="G169" s="1536"/>
      <c r="H169" s="1536"/>
      <c r="I169" s="1537"/>
    </row>
    <row r="170" spans="2:9" ht="15.75" customHeight="1" outlineLevel="2" x14ac:dyDescent="0.25">
      <c r="B170" s="541" t="str">
        <f>IF(ISBLANK(dms_E3_Projects_48),"",dms_E3_Projects_48)</f>
        <v/>
      </c>
      <c r="C170" s="1533"/>
      <c r="D170" s="1534"/>
      <c r="E170" s="1535"/>
      <c r="F170" s="1536"/>
      <c r="G170" s="1536"/>
      <c r="H170" s="1536"/>
      <c r="I170" s="1537"/>
    </row>
    <row r="171" spans="2:9" ht="15.75" customHeight="1" outlineLevel="2" x14ac:dyDescent="0.25">
      <c r="B171" s="541" t="str">
        <f>IF(ISBLANK(dms_E3_Projects_49),"",dms_E3_Projects_49)</f>
        <v/>
      </c>
      <c r="C171" s="1533"/>
      <c r="D171" s="1534"/>
      <c r="E171" s="1535"/>
      <c r="F171" s="1536"/>
      <c r="G171" s="1536"/>
      <c r="H171" s="1536"/>
      <c r="I171" s="1537"/>
    </row>
    <row r="172" spans="2:9" ht="15.75" customHeight="1" outlineLevel="2" x14ac:dyDescent="0.25">
      <c r="B172" s="541" t="str">
        <f>IF(ISBLANK(dms_E3_Projects_50),"",dms_E3_Projects_50)</f>
        <v/>
      </c>
      <c r="C172" s="1533"/>
      <c r="D172" s="1534"/>
      <c r="E172" s="1535"/>
      <c r="F172" s="1536"/>
      <c r="G172" s="1536"/>
      <c r="H172" s="1536"/>
      <c r="I172" s="1537"/>
    </row>
    <row r="173" spans="2:9" ht="15.75" customHeight="1" outlineLevel="2" thickBot="1" x14ac:dyDescent="0.3">
      <c r="B173" s="646" t="s">
        <v>152</v>
      </c>
      <c r="C173" s="1538"/>
      <c r="D173" s="1539"/>
      <c r="E173" s="1540"/>
      <c r="F173" s="1541"/>
      <c r="G173" s="1541"/>
      <c r="H173" s="1541"/>
      <c r="I173" s="1542"/>
    </row>
    <row r="174" spans="2:9" ht="15.75" customHeight="1" outlineLevel="2" thickBot="1" x14ac:dyDescent="0.3">
      <c r="B174" s="544" t="s">
        <v>120</v>
      </c>
      <c r="C174" s="545">
        <f>SUM(C123:C173)</f>
        <v>0</v>
      </c>
      <c r="D174" s="545">
        <f t="shared" ref="D174:I174" si="1">SUM(D123:D173)</f>
        <v>0</v>
      </c>
      <c r="E174" s="545">
        <f t="shared" si="1"/>
        <v>0</v>
      </c>
      <c r="F174" s="545">
        <f t="shared" si="1"/>
        <v>0</v>
      </c>
      <c r="G174" s="545">
        <f t="shared" si="1"/>
        <v>0</v>
      </c>
      <c r="H174" s="545">
        <f t="shared" si="1"/>
        <v>0</v>
      </c>
      <c r="I174" s="546">
        <f t="shared" si="1"/>
        <v>0</v>
      </c>
    </row>
    <row r="175" spans="2:9" ht="15.75" customHeight="1" outlineLevel="1" thickBot="1" x14ac:dyDescent="0.3"/>
    <row r="176" spans="2:9" ht="21.75" customHeight="1" outlineLevel="1" thickBot="1" x14ac:dyDescent="0.3">
      <c r="B176" s="250" t="s">
        <v>139</v>
      </c>
      <c r="C176" s="251"/>
      <c r="D176" s="251"/>
      <c r="E176" s="251"/>
      <c r="F176" s="251"/>
      <c r="G176" s="251"/>
      <c r="H176" s="251"/>
      <c r="I176" s="251"/>
    </row>
    <row r="177" spans="1:9" s="42" customFormat="1" ht="15" customHeight="1" outlineLevel="2" x14ac:dyDescent="0.25">
      <c r="A177" s="291"/>
      <c r="B177"/>
      <c r="C177" s="1378" t="s">
        <v>24</v>
      </c>
      <c r="D177" s="1378"/>
      <c r="E177" s="1378"/>
      <c r="F177" s="1378"/>
      <c r="G177" s="1378"/>
      <c r="H177" s="1378"/>
      <c r="I177" s="1378"/>
    </row>
    <row r="178" spans="1:9" s="42" customFormat="1" ht="15" customHeight="1" outlineLevel="2" x14ac:dyDescent="0.25">
      <c r="A178" s="291"/>
      <c r="B178"/>
      <c r="C178" s="1378" t="str">
        <f ca="1">CONCATENATE("$, real ",dms_DollarReal)</f>
        <v>$, real June 2026</v>
      </c>
      <c r="D178" s="1378"/>
      <c r="E178" s="1378"/>
      <c r="F178" s="1378"/>
      <c r="G178" s="1378"/>
      <c r="H178" s="1378"/>
      <c r="I178" s="1378"/>
    </row>
    <row r="179" spans="1:9" s="42" customFormat="1" ht="15.75" customHeight="1" outlineLevel="2" thickBot="1" x14ac:dyDescent="0.3">
      <c r="A179" s="291"/>
      <c r="B179" s="78"/>
      <c r="C179" s="314" t="str">
        <f ca="1">dms_y1</f>
        <v>2024-25</v>
      </c>
      <c r="D179" s="314" t="str">
        <f ca="1">dms_y2</f>
        <v>2025-26</v>
      </c>
      <c r="E179" s="314" t="str">
        <f ca="1">dms_y3</f>
        <v>2026-27</v>
      </c>
      <c r="F179" s="314" t="str">
        <f ca="1">dms_y4</f>
        <v>2027-28</v>
      </c>
      <c r="G179" s="314" t="str">
        <f ca="1">dms_y5</f>
        <v>2028-29</v>
      </c>
      <c r="H179" s="314" t="str">
        <f ca="1">dms_y6</f>
        <v>2029-30</v>
      </c>
      <c r="I179" s="314" t="str">
        <f ca="1">dms_y7</f>
        <v>2030-31</v>
      </c>
    </row>
    <row r="180" spans="1:9" ht="15.75" customHeight="1" outlineLevel="2" x14ac:dyDescent="0.25">
      <c r="B180" s="536" t="str">
        <f>IF(ISBLANK(dms_E3_Projects_01),"",dms_E3_Projects_01)</f>
        <v>Northern Corridor - Angle Vale</v>
      </c>
      <c r="C180" s="366"/>
      <c r="D180" s="265"/>
      <c r="E180" s="264"/>
      <c r="F180" s="257"/>
      <c r="G180" s="257"/>
      <c r="H180" s="257"/>
      <c r="I180" s="258"/>
    </row>
    <row r="181" spans="1:9" ht="15.75" customHeight="1" outlineLevel="2" x14ac:dyDescent="0.25">
      <c r="B181" s="536" t="str">
        <f>IF(ISBLANK(dms_E3_Projects_02),"",dms_E3_Projects_02)</f>
        <v>Southern Corridor - Seaford Aldinga</v>
      </c>
      <c r="C181" s="640"/>
      <c r="D181" s="641"/>
      <c r="E181" s="642"/>
      <c r="F181" s="643"/>
      <c r="G181" s="643"/>
      <c r="H181" s="643"/>
      <c r="I181" s="644"/>
    </row>
    <row r="182" spans="1:9" ht="15.75" customHeight="1" outlineLevel="2" x14ac:dyDescent="0.25">
      <c r="B182" s="536" t="str">
        <f>IF(ISBLANK(dms_E3_Projects_03),"",dms_E3_Projects_03)</f>
        <v>Northern Metro HP Main and Gawler Gate Station</v>
      </c>
      <c r="C182" s="380"/>
      <c r="D182" s="267"/>
      <c r="E182" s="266"/>
      <c r="F182" s="260"/>
      <c r="G182" s="260"/>
      <c r="H182" s="260"/>
      <c r="I182" s="245"/>
    </row>
    <row r="183" spans="1:9" ht="15.75" customHeight="1" outlineLevel="2" x14ac:dyDescent="0.25">
      <c r="B183" s="536" t="str">
        <f>IF(ISBLANK(dms_E3_Projects_04),"",dms_E3_Projects_04)</f>
        <v/>
      </c>
      <c r="C183" s="640"/>
      <c r="D183" s="641"/>
      <c r="E183" s="642"/>
      <c r="F183" s="643"/>
      <c r="G183" s="643"/>
      <c r="H183" s="643"/>
      <c r="I183" s="644"/>
    </row>
    <row r="184" spans="1:9" ht="15.75" customHeight="1" outlineLevel="2" x14ac:dyDescent="0.25">
      <c r="B184" s="536" t="str">
        <f>IF(ISBLANK(dms_E3_Projects_05),"",dms_E3_Projects_05)</f>
        <v/>
      </c>
      <c r="C184" s="380"/>
      <c r="D184" s="267"/>
      <c r="E184" s="266"/>
      <c r="F184" s="260"/>
      <c r="G184" s="260"/>
      <c r="H184" s="260"/>
      <c r="I184" s="245"/>
    </row>
    <row r="185" spans="1:9" ht="15.75" customHeight="1" outlineLevel="2" x14ac:dyDescent="0.25">
      <c r="B185" s="536" t="str">
        <f>IF(ISBLANK(dms_E3_Projects_06),"",dms_E3_Projects_06)</f>
        <v/>
      </c>
      <c r="C185" s="640"/>
      <c r="D185" s="641"/>
      <c r="E185" s="642"/>
      <c r="F185" s="643"/>
      <c r="G185" s="643"/>
      <c r="H185" s="643"/>
      <c r="I185" s="644"/>
    </row>
    <row r="186" spans="1:9" ht="15.75" customHeight="1" outlineLevel="2" x14ac:dyDescent="0.25">
      <c r="B186" s="536" t="str">
        <f>IF(ISBLANK(dms_E3_Projects_07),"",dms_E3_Projects_07)</f>
        <v/>
      </c>
      <c r="C186" s="380"/>
      <c r="D186" s="267"/>
      <c r="E186" s="266"/>
      <c r="F186" s="260"/>
      <c r="G186" s="260"/>
      <c r="H186" s="260"/>
      <c r="I186" s="245"/>
    </row>
    <row r="187" spans="1:9" ht="15.75" customHeight="1" outlineLevel="2" x14ac:dyDescent="0.25">
      <c r="B187" s="536" t="str">
        <f>IF(ISBLANK(dms_E3_Projects_08),"",dms_E3_Projects_08)</f>
        <v/>
      </c>
      <c r="C187" s="640"/>
      <c r="D187" s="641"/>
      <c r="E187" s="642"/>
      <c r="F187" s="643"/>
      <c r="G187" s="643"/>
      <c r="H187" s="643"/>
      <c r="I187" s="644"/>
    </row>
    <row r="188" spans="1:9" ht="15.75" customHeight="1" outlineLevel="2" x14ac:dyDescent="0.25">
      <c r="B188" s="536" t="str">
        <f>IF(ISBLANK(dms_E3_Projects_09),"",dms_E3_Projects_09)</f>
        <v/>
      </c>
      <c r="C188" s="380"/>
      <c r="D188" s="267"/>
      <c r="E188" s="266"/>
      <c r="F188" s="260"/>
      <c r="G188" s="260"/>
      <c r="H188" s="260"/>
      <c r="I188" s="245"/>
    </row>
    <row r="189" spans="1:9" ht="15.75" customHeight="1" outlineLevel="2" x14ac:dyDescent="0.25">
      <c r="B189" s="536" t="str">
        <f>IF(ISBLANK(dms_E3_Projects_10),"",dms_E3_Projects_10)</f>
        <v/>
      </c>
      <c r="C189" s="640"/>
      <c r="D189" s="641"/>
      <c r="E189" s="642"/>
      <c r="F189" s="643"/>
      <c r="G189" s="643"/>
      <c r="H189" s="643"/>
      <c r="I189" s="644"/>
    </row>
    <row r="190" spans="1:9" ht="15.75" customHeight="1" outlineLevel="2" x14ac:dyDescent="0.25">
      <c r="B190" s="536" t="str">
        <f>IF(ISBLANK(dms_E3_Projects_11),"",dms_E3_Projects_11)</f>
        <v/>
      </c>
      <c r="C190" s="380"/>
      <c r="D190" s="267"/>
      <c r="E190" s="266"/>
      <c r="F190" s="260"/>
      <c r="G190" s="260"/>
      <c r="H190" s="260"/>
      <c r="I190" s="245"/>
    </row>
    <row r="191" spans="1:9" ht="15.75" customHeight="1" outlineLevel="2" x14ac:dyDescent="0.25">
      <c r="B191" s="536" t="str">
        <f>IF(ISBLANK(dms_E3_Projects_12),"",dms_E3_Projects_12)</f>
        <v/>
      </c>
      <c r="C191" s="640"/>
      <c r="D191" s="641"/>
      <c r="E191" s="642"/>
      <c r="F191" s="643"/>
      <c r="G191" s="643"/>
      <c r="H191" s="643"/>
      <c r="I191" s="644"/>
    </row>
    <row r="192" spans="1:9" ht="15.75" customHeight="1" outlineLevel="2" x14ac:dyDescent="0.25">
      <c r="B192" s="536" t="str">
        <f>IF(ISBLANK(dms_E3_Projects_13),"",dms_E3_Projects_13)</f>
        <v/>
      </c>
      <c r="C192" s="380"/>
      <c r="D192" s="267"/>
      <c r="E192" s="266"/>
      <c r="F192" s="260"/>
      <c r="G192" s="260"/>
      <c r="H192" s="260"/>
      <c r="I192" s="245"/>
    </row>
    <row r="193" spans="2:9" ht="15.75" customHeight="1" outlineLevel="2" x14ac:dyDescent="0.25">
      <c r="B193" s="536" t="str">
        <f>IF(ISBLANK(dms_E3_Projects_14),"",dms_E3_Projects_14)</f>
        <v/>
      </c>
      <c r="C193" s="640"/>
      <c r="D193" s="641"/>
      <c r="E193" s="642"/>
      <c r="F193" s="643"/>
      <c r="G193" s="643"/>
      <c r="H193" s="643"/>
      <c r="I193" s="644"/>
    </row>
    <row r="194" spans="2:9" ht="15.75" customHeight="1" outlineLevel="2" x14ac:dyDescent="0.25">
      <c r="B194" s="536" t="str">
        <f>IF(ISBLANK(dms_E3_Projects_15),"",dms_E3_Projects_15)</f>
        <v/>
      </c>
      <c r="C194" s="380"/>
      <c r="D194" s="267"/>
      <c r="E194" s="266"/>
      <c r="F194" s="260"/>
      <c r="G194" s="260"/>
      <c r="H194" s="260"/>
      <c r="I194" s="245"/>
    </row>
    <row r="195" spans="2:9" ht="15.75" customHeight="1" outlineLevel="2" x14ac:dyDescent="0.25">
      <c r="B195" s="536" t="str">
        <f>IF(ISBLANK(dms_E3_Projects_16),"",dms_E3_Projects_16)</f>
        <v/>
      </c>
      <c r="C195" s="640"/>
      <c r="D195" s="641"/>
      <c r="E195" s="642"/>
      <c r="F195" s="643"/>
      <c r="G195" s="643"/>
      <c r="H195" s="643"/>
      <c r="I195" s="644"/>
    </row>
    <row r="196" spans="2:9" ht="15.75" customHeight="1" outlineLevel="2" x14ac:dyDescent="0.25">
      <c r="B196" s="541" t="str">
        <f>IF(ISBLANK(dms_E3_Projects_17),"",dms_E3_Projects_17)</f>
        <v/>
      </c>
      <c r="C196" s="380"/>
      <c r="D196" s="267"/>
      <c r="E196" s="266"/>
      <c r="F196" s="260"/>
      <c r="G196" s="260"/>
      <c r="H196" s="260"/>
      <c r="I196" s="245"/>
    </row>
    <row r="197" spans="2:9" ht="15.75" customHeight="1" outlineLevel="2" x14ac:dyDescent="0.25">
      <c r="B197" s="541" t="str">
        <f>IF(ISBLANK(dms_E3_Projects_18),"",dms_E3_Projects_18)</f>
        <v/>
      </c>
      <c r="C197" s="640"/>
      <c r="D197" s="641"/>
      <c r="E197" s="642"/>
      <c r="F197" s="643"/>
      <c r="G197" s="643"/>
      <c r="H197" s="643"/>
      <c r="I197" s="644"/>
    </row>
    <row r="198" spans="2:9" ht="15.75" customHeight="1" outlineLevel="2" x14ac:dyDescent="0.25">
      <c r="B198" s="541" t="str">
        <f>IF(ISBLANK(dms_E3_Projects_18),"",dms_E3_Projects_18)</f>
        <v/>
      </c>
      <c r="C198" s="380"/>
      <c r="D198" s="267"/>
      <c r="E198" s="266"/>
      <c r="F198" s="260"/>
      <c r="G198" s="260"/>
      <c r="H198" s="260"/>
      <c r="I198" s="245"/>
    </row>
    <row r="199" spans="2:9" ht="15.75" customHeight="1" outlineLevel="2" x14ac:dyDescent="0.25">
      <c r="B199" s="541" t="str">
        <f>IF(ISBLANK(dms_E3_Projects_19),"",dms_E3_Projects_19)</f>
        <v/>
      </c>
      <c r="C199" s="640"/>
      <c r="D199" s="641"/>
      <c r="E199" s="642"/>
      <c r="F199" s="643"/>
      <c r="G199" s="643"/>
      <c r="H199" s="643"/>
      <c r="I199" s="644"/>
    </row>
    <row r="200" spans="2:9" ht="15.75" customHeight="1" outlineLevel="2" x14ac:dyDescent="0.25">
      <c r="B200" s="541" t="str">
        <f>IF(ISBLANK(dms_E3_Projects_20),"",dms_E3_Projects_20)</f>
        <v/>
      </c>
      <c r="C200" s="380"/>
      <c r="D200" s="267"/>
      <c r="E200" s="266"/>
      <c r="F200" s="260"/>
      <c r="G200" s="260"/>
      <c r="H200" s="260"/>
      <c r="I200" s="245"/>
    </row>
    <row r="201" spans="2:9" ht="15.75" customHeight="1" outlineLevel="2" x14ac:dyDescent="0.25">
      <c r="B201" s="541" t="str">
        <f>IF(ISBLANK(dms_E3_Projects_21),"",dms_E3_Projects_21)</f>
        <v/>
      </c>
      <c r="C201" s="640"/>
      <c r="D201" s="641"/>
      <c r="E201" s="642"/>
      <c r="F201" s="643"/>
      <c r="G201" s="643"/>
      <c r="H201" s="643"/>
      <c r="I201" s="644"/>
    </row>
    <row r="202" spans="2:9" ht="15.75" customHeight="1" outlineLevel="2" x14ac:dyDescent="0.25">
      <c r="B202" s="541" t="str">
        <f>IF(ISBLANK(dms_E3_Projects_22),"",dms_E3_Projects_22)</f>
        <v/>
      </c>
      <c r="C202" s="380"/>
      <c r="D202" s="267"/>
      <c r="E202" s="266"/>
      <c r="F202" s="260"/>
      <c r="G202" s="260"/>
      <c r="H202" s="260"/>
      <c r="I202" s="245"/>
    </row>
    <row r="203" spans="2:9" ht="15.75" customHeight="1" outlineLevel="2" x14ac:dyDescent="0.25">
      <c r="B203" s="541" t="str">
        <f>IF(ISBLANK(dms_E3_Projects_23),"",dms_E3_Projects_23)</f>
        <v/>
      </c>
      <c r="C203" s="640"/>
      <c r="D203" s="641"/>
      <c r="E203" s="642"/>
      <c r="F203" s="643"/>
      <c r="G203" s="643"/>
      <c r="H203" s="643"/>
      <c r="I203" s="644"/>
    </row>
    <row r="204" spans="2:9" ht="15.75" customHeight="1" outlineLevel="2" x14ac:dyDescent="0.25">
      <c r="B204" s="541" t="str">
        <f>IF(ISBLANK(dms_E3_Projects_24),"",dms_E3_Projects_24)</f>
        <v/>
      </c>
      <c r="C204" s="380"/>
      <c r="D204" s="267"/>
      <c r="E204" s="266"/>
      <c r="F204" s="260"/>
      <c r="G204" s="260"/>
      <c r="H204" s="260"/>
      <c r="I204" s="245"/>
    </row>
    <row r="205" spans="2:9" ht="15.75" customHeight="1" outlineLevel="2" x14ac:dyDescent="0.25">
      <c r="B205" s="541" t="str">
        <f>IF(ISBLANK(dms_E3_Projects_25),"",dms_E3_Projects_26)</f>
        <v/>
      </c>
      <c r="C205" s="640"/>
      <c r="D205" s="641"/>
      <c r="E205" s="642"/>
      <c r="F205" s="643"/>
      <c r="G205" s="643"/>
      <c r="H205" s="643"/>
      <c r="I205" s="644"/>
    </row>
    <row r="206" spans="2:9" ht="15.75" customHeight="1" outlineLevel="2" x14ac:dyDescent="0.25">
      <c r="B206" s="541" t="str">
        <f>IF(ISBLANK(dms_E3_Projects_27),"",dms_E3_Projects_27)</f>
        <v/>
      </c>
      <c r="C206" s="380"/>
      <c r="D206" s="267"/>
      <c r="E206" s="266"/>
      <c r="F206" s="260"/>
      <c r="G206" s="260"/>
      <c r="H206" s="260"/>
      <c r="I206" s="245"/>
    </row>
    <row r="207" spans="2:9" ht="15.75" customHeight="1" outlineLevel="2" x14ac:dyDescent="0.25">
      <c r="B207" s="541" t="str">
        <f>IF(ISBLANK(dms_E3_Projects_28),"",dms_E3_Projects_28)</f>
        <v/>
      </c>
      <c r="C207" s="640"/>
      <c r="D207" s="641"/>
      <c r="E207" s="642"/>
      <c r="F207" s="643"/>
      <c r="G207" s="643"/>
      <c r="H207" s="643"/>
      <c r="I207" s="644"/>
    </row>
    <row r="208" spans="2:9" ht="15.75" customHeight="1" outlineLevel="2" x14ac:dyDescent="0.25">
      <c r="B208" s="541" t="str">
        <f>IF(ISBLANK(dms_E3_Projects_29),"",dms_E3_Projects_29)</f>
        <v/>
      </c>
      <c r="C208" s="380"/>
      <c r="D208" s="267"/>
      <c r="E208" s="266"/>
      <c r="F208" s="260"/>
      <c r="G208" s="260"/>
      <c r="H208" s="260"/>
      <c r="I208" s="245"/>
    </row>
    <row r="209" spans="2:9" ht="15.75" customHeight="1" outlineLevel="2" x14ac:dyDescent="0.25">
      <c r="B209" s="541" t="str">
        <f>IF(ISBLANK(dms_E3_Projects_30),"",dms_E3_Projects_30)</f>
        <v/>
      </c>
      <c r="C209" s="640"/>
      <c r="D209" s="641"/>
      <c r="E209" s="642"/>
      <c r="F209" s="643"/>
      <c r="G209" s="643"/>
      <c r="H209" s="643"/>
      <c r="I209" s="644"/>
    </row>
    <row r="210" spans="2:9" ht="15.75" customHeight="1" outlineLevel="2" x14ac:dyDescent="0.25">
      <c r="B210" s="541" t="str">
        <f>IF(ISBLANK(dms_E3_Projects_31),"",dms_E3_Projects_31)</f>
        <v/>
      </c>
      <c r="C210" s="380"/>
      <c r="D210" s="267"/>
      <c r="E210" s="266"/>
      <c r="F210" s="260"/>
      <c r="G210" s="260"/>
      <c r="H210" s="260"/>
      <c r="I210" s="245"/>
    </row>
    <row r="211" spans="2:9" ht="15.75" customHeight="1" outlineLevel="2" x14ac:dyDescent="0.25">
      <c r="B211" s="541" t="str">
        <f>IF(ISBLANK(dms_E3_Projects_32),"",dms_E3_Projects_32)</f>
        <v/>
      </c>
      <c r="C211" s="640"/>
      <c r="D211" s="641"/>
      <c r="E211" s="642"/>
      <c r="F211" s="643"/>
      <c r="G211" s="643"/>
      <c r="H211" s="643"/>
      <c r="I211" s="644"/>
    </row>
    <row r="212" spans="2:9" ht="15.75" customHeight="1" outlineLevel="2" x14ac:dyDescent="0.25">
      <c r="B212" s="541" t="str">
        <f>IF(ISBLANK(dms_E3_Projects_33),"",dms_E3_Projects_33)</f>
        <v/>
      </c>
      <c r="C212" s="380"/>
      <c r="D212" s="267"/>
      <c r="E212" s="266"/>
      <c r="F212" s="260"/>
      <c r="G212" s="260"/>
      <c r="H212" s="260"/>
      <c r="I212" s="245"/>
    </row>
    <row r="213" spans="2:9" ht="15.75" customHeight="1" outlineLevel="2" x14ac:dyDescent="0.25">
      <c r="B213" s="541" t="str">
        <f>IF(ISBLANK(dms_E3_Projects_34),"",dms_E3_Projects_34)</f>
        <v/>
      </c>
      <c r="C213" s="640"/>
      <c r="D213" s="641"/>
      <c r="E213" s="642"/>
      <c r="F213" s="643"/>
      <c r="G213" s="643"/>
      <c r="H213" s="643"/>
      <c r="I213" s="644"/>
    </row>
    <row r="214" spans="2:9" ht="15.75" customHeight="1" outlineLevel="2" x14ac:dyDescent="0.25">
      <c r="B214" s="541" t="str">
        <f>IF(ISBLANK(dms_E3_Projects_35),"",dms_E3_Projects_35)</f>
        <v/>
      </c>
      <c r="C214" s="380"/>
      <c r="D214" s="267"/>
      <c r="E214" s="266"/>
      <c r="F214" s="260"/>
      <c r="G214" s="260"/>
      <c r="H214" s="260"/>
      <c r="I214" s="245"/>
    </row>
    <row r="215" spans="2:9" ht="15.75" customHeight="1" outlineLevel="2" x14ac:dyDescent="0.25">
      <c r="B215" s="541" t="str">
        <f>IF(ISBLANK(dms_E3_Projects_36),"",dms_E3_Projects_36)</f>
        <v/>
      </c>
      <c r="C215" s="640"/>
      <c r="D215" s="641"/>
      <c r="E215" s="642"/>
      <c r="F215" s="643"/>
      <c r="G215" s="643"/>
      <c r="H215" s="643"/>
      <c r="I215" s="644"/>
    </row>
    <row r="216" spans="2:9" ht="15.75" customHeight="1" outlineLevel="2" x14ac:dyDescent="0.25">
      <c r="B216" s="541" t="str">
        <f>IF(ISBLANK(dms_E3_Projects_37),"",dms_E3_Projects_37)</f>
        <v/>
      </c>
      <c r="C216" s="380"/>
      <c r="D216" s="267"/>
      <c r="E216" s="266"/>
      <c r="F216" s="260"/>
      <c r="G216" s="260"/>
      <c r="H216" s="260"/>
      <c r="I216" s="245"/>
    </row>
    <row r="217" spans="2:9" ht="15.75" customHeight="1" outlineLevel="2" x14ac:dyDescent="0.25">
      <c r="B217" s="541" t="str">
        <f>IF(ISBLANK(dms_E3_Projects_38),"",dms_E3_Projects_38)</f>
        <v/>
      </c>
      <c r="C217" s="640"/>
      <c r="D217" s="641"/>
      <c r="E217" s="642"/>
      <c r="F217" s="643"/>
      <c r="G217" s="643"/>
      <c r="H217" s="643"/>
      <c r="I217" s="644"/>
    </row>
    <row r="218" spans="2:9" ht="15.75" customHeight="1" outlineLevel="2" x14ac:dyDescent="0.25">
      <c r="B218" s="541" t="str">
        <f>IF(ISBLANK(dms_E3_Projects_39),"",dms_E3_Projects_39)</f>
        <v/>
      </c>
      <c r="C218" s="380"/>
      <c r="D218" s="267"/>
      <c r="E218" s="266"/>
      <c r="F218" s="260"/>
      <c r="G218" s="260"/>
      <c r="H218" s="260"/>
      <c r="I218" s="245"/>
    </row>
    <row r="219" spans="2:9" ht="15.75" customHeight="1" outlineLevel="2" x14ac:dyDescent="0.25">
      <c r="B219" s="541" t="str">
        <f>IF(ISBLANK(dms_E3_Projects_40),"",dms_E3_Projects_40)</f>
        <v/>
      </c>
      <c r="C219" s="640"/>
      <c r="D219" s="641"/>
      <c r="E219" s="642"/>
      <c r="F219" s="643"/>
      <c r="G219" s="643"/>
      <c r="H219" s="643"/>
      <c r="I219" s="644"/>
    </row>
    <row r="220" spans="2:9" ht="15.75" customHeight="1" outlineLevel="2" x14ac:dyDescent="0.25">
      <c r="B220" s="541" t="str">
        <f>IF(ISBLANK(dms_E3_Projects_41),"",dms_E3_Projects_41)</f>
        <v/>
      </c>
      <c r="C220" s="380"/>
      <c r="D220" s="267"/>
      <c r="E220" s="266"/>
      <c r="F220" s="260"/>
      <c r="G220" s="260"/>
      <c r="H220" s="260"/>
      <c r="I220" s="245"/>
    </row>
    <row r="221" spans="2:9" ht="15.75" customHeight="1" outlineLevel="2" x14ac:dyDescent="0.25">
      <c r="B221" s="541" t="str">
        <f>IF(ISBLANK(dms_E3_Projects_42),"",dms_E3_Projects_42)</f>
        <v/>
      </c>
      <c r="C221" s="640"/>
      <c r="D221" s="641"/>
      <c r="E221" s="642"/>
      <c r="F221" s="643"/>
      <c r="G221" s="643"/>
      <c r="H221" s="643"/>
      <c r="I221" s="644"/>
    </row>
    <row r="222" spans="2:9" ht="15.75" customHeight="1" outlineLevel="2" x14ac:dyDescent="0.25">
      <c r="B222" s="541" t="str">
        <f>IF(ISBLANK(dms_E3_Projects_43),"",dms_E3_Projects_43)</f>
        <v/>
      </c>
      <c r="C222" s="380"/>
      <c r="D222" s="267"/>
      <c r="E222" s="266"/>
      <c r="F222" s="260"/>
      <c r="G222" s="260"/>
      <c r="H222" s="260"/>
      <c r="I222" s="245"/>
    </row>
    <row r="223" spans="2:9" ht="15.75" customHeight="1" outlineLevel="2" x14ac:dyDescent="0.25">
      <c r="B223" s="541" t="str">
        <f>IF(ISBLANK(dms_E3_Projects_44),"",dms_E3_Projects_44)</f>
        <v/>
      </c>
      <c r="C223" s="640"/>
      <c r="D223" s="641"/>
      <c r="E223" s="642"/>
      <c r="F223" s="643"/>
      <c r="G223" s="643"/>
      <c r="H223" s="643"/>
      <c r="I223" s="644"/>
    </row>
    <row r="224" spans="2:9" ht="15.75" customHeight="1" outlineLevel="2" x14ac:dyDescent="0.25">
      <c r="B224" s="541" t="str">
        <f>IF(ISBLANK(dms_E3_Projects_45),"",dms_E3_Projects_45)</f>
        <v/>
      </c>
      <c r="C224" s="380"/>
      <c r="D224" s="267"/>
      <c r="E224" s="266"/>
      <c r="F224" s="260"/>
      <c r="G224" s="260"/>
      <c r="H224" s="260"/>
      <c r="I224" s="245"/>
    </row>
    <row r="225" spans="1:9" ht="15.75" customHeight="1" outlineLevel="2" x14ac:dyDescent="0.25">
      <c r="B225" s="541" t="str">
        <f>IF(ISBLANK(dms_E3_Projects_46),"",dms_E3_Projects_46)</f>
        <v/>
      </c>
      <c r="C225" s="640"/>
      <c r="D225" s="641"/>
      <c r="E225" s="642"/>
      <c r="F225" s="643"/>
      <c r="G225" s="643"/>
      <c r="H225" s="643"/>
      <c r="I225" s="644"/>
    </row>
    <row r="226" spans="1:9" ht="15.75" customHeight="1" outlineLevel="2" x14ac:dyDescent="0.25">
      <c r="B226" s="541" t="str">
        <f>IF(ISBLANK(dms_E3_Projects_47),"",dms_E3_Projects_47)</f>
        <v/>
      </c>
      <c r="C226" s="380"/>
      <c r="D226" s="267"/>
      <c r="E226" s="266"/>
      <c r="F226" s="260"/>
      <c r="G226" s="260"/>
      <c r="H226" s="260"/>
      <c r="I226" s="245"/>
    </row>
    <row r="227" spans="1:9" ht="15.75" customHeight="1" outlineLevel="2" x14ac:dyDescent="0.25">
      <c r="B227" s="541" t="str">
        <f>IF(ISBLANK(dms_E3_Projects_48),"",dms_E3_Projects_48)</f>
        <v/>
      </c>
      <c r="C227" s="640"/>
      <c r="D227" s="641"/>
      <c r="E227" s="642"/>
      <c r="F227" s="643"/>
      <c r="G227" s="643"/>
      <c r="H227" s="643"/>
      <c r="I227" s="644"/>
    </row>
    <row r="228" spans="1:9" ht="15.75" customHeight="1" outlineLevel="2" x14ac:dyDescent="0.25">
      <c r="B228" s="541" t="str">
        <f>IF(ISBLANK(dms_E3_Projects_49),"",dms_E3_Projects_49)</f>
        <v/>
      </c>
      <c r="C228" s="380"/>
      <c r="D228" s="267"/>
      <c r="E228" s="266"/>
      <c r="F228" s="260"/>
      <c r="G228" s="260"/>
      <c r="H228" s="260"/>
      <c r="I228" s="245"/>
    </row>
    <row r="229" spans="1:9" ht="15.75" customHeight="1" outlineLevel="2" x14ac:dyDescent="0.25">
      <c r="B229" s="541" t="str">
        <f>IF(ISBLANK(dms_E3_Projects_50),"",dms_E3_Projects_50)</f>
        <v/>
      </c>
      <c r="C229" s="640"/>
      <c r="D229" s="641"/>
      <c r="E229" s="642"/>
      <c r="F229" s="643"/>
      <c r="G229" s="643"/>
      <c r="H229" s="643"/>
      <c r="I229" s="644"/>
    </row>
    <row r="230" spans="1:9" ht="15.75" customHeight="1" outlineLevel="2" thickBot="1" x14ac:dyDescent="0.3">
      <c r="B230" s="646" t="s">
        <v>152</v>
      </c>
      <c r="C230" s="381"/>
      <c r="D230" s="269"/>
      <c r="E230" s="268"/>
      <c r="F230" s="262"/>
      <c r="G230" s="262"/>
      <c r="H230" s="262"/>
      <c r="I230" s="494"/>
    </row>
    <row r="231" spans="1:9" ht="15.75" customHeight="1" outlineLevel="2" thickBot="1" x14ac:dyDescent="0.3">
      <c r="B231" s="544" t="s">
        <v>120</v>
      </c>
      <c r="C231" s="545">
        <f>SUM(C180:C230)</f>
        <v>0</v>
      </c>
      <c r="D231" s="545">
        <f t="shared" ref="D231:I231" si="2">SUM(D180:D230)</f>
        <v>0</v>
      </c>
      <c r="E231" s="545">
        <f t="shared" si="2"/>
        <v>0</v>
      </c>
      <c r="F231" s="545">
        <f t="shared" si="2"/>
        <v>0</v>
      </c>
      <c r="G231" s="545">
        <f t="shared" si="2"/>
        <v>0</v>
      </c>
      <c r="H231" s="545">
        <f t="shared" si="2"/>
        <v>0</v>
      </c>
      <c r="I231" s="546">
        <f t="shared" si="2"/>
        <v>0</v>
      </c>
    </row>
    <row r="232" spans="1:9" ht="15.75" customHeight="1" outlineLevel="1" thickBot="1" x14ac:dyDescent="0.3">
      <c r="B232" s="75"/>
    </row>
    <row r="233" spans="1:9" ht="21.75" customHeight="1" outlineLevel="1" thickBot="1" x14ac:dyDescent="0.3">
      <c r="B233" s="250" t="s">
        <v>140</v>
      </c>
      <c r="C233" s="251"/>
      <c r="D233" s="251"/>
      <c r="E233" s="251"/>
      <c r="F233" s="251"/>
      <c r="G233" s="251"/>
      <c r="H233" s="251"/>
      <c r="I233" s="251"/>
    </row>
    <row r="234" spans="1:9" s="42" customFormat="1" ht="15" customHeight="1" outlineLevel="2" x14ac:dyDescent="0.25">
      <c r="A234" s="291"/>
      <c r="B234"/>
      <c r="C234" s="1378" t="s">
        <v>24</v>
      </c>
      <c r="D234" s="1378"/>
      <c r="E234" s="1378"/>
      <c r="F234" s="1378"/>
      <c r="G234" s="1378"/>
      <c r="H234" s="1378"/>
      <c r="I234" s="1378"/>
    </row>
    <row r="235" spans="1:9" s="42" customFormat="1" ht="15" customHeight="1" outlineLevel="2" x14ac:dyDescent="0.25">
      <c r="A235" s="291"/>
      <c r="B235"/>
      <c r="C235" s="1378" t="str">
        <f ca="1">CONCATENATE("$, real ",dms_DollarReal)</f>
        <v>$, real June 2026</v>
      </c>
      <c r="D235" s="1378"/>
      <c r="E235" s="1378"/>
      <c r="F235" s="1378"/>
      <c r="G235" s="1378"/>
      <c r="H235" s="1378"/>
      <c r="I235" s="1378"/>
    </row>
    <row r="236" spans="1:9" s="42" customFormat="1" ht="15.75" customHeight="1" outlineLevel="2" thickBot="1" x14ac:dyDescent="0.3">
      <c r="A236" s="291"/>
      <c r="B236" s="78"/>
      <c r="C236" s="314" t="str">
        <f ca="1">dms_y1</f>
        <v>2024-25</v>
      </c>
      <c r="D236" s="314" t="str">
        <f ca="1">dms_y2</f>
        <v>2025-26</v>
      </c>
      <c r="E236" s="314" t="str">
        <f ca="1">dms_y3</f>
        <v>2026-27</v>
      </c>
      <c r="F236" s="314" t="str">
        <f ca="1">dms_y4</f>
        <v>2027-28</v>
      </c>
      <c r="G236" s="314" t="str">
        <f ca="1">dms_y5</f>
        <v>2028-29</v>
      </c>
      <c r="H236" s="314" t="str">
        <f ca="1">dms_y6</f>
        <v>2029-30</v>
      </c>
      <c r="I236" s="314" t="str">
        <f ca="1">dms_y7</f>
        <v>2030-31</v>
      </c>
    </row>
    <row r="237" spans="1:9" ht="15.75" customHeight="1" outlineLevel="2" x14ac:dyDescent="0.25">
      <c r="B237" s="536" t="str">
        <f>IF(ISBLANK(dms_E3_Projects_01),"",dms_E3_Projects_01)</f>
        <v>Northern Corridor - Angle Vale</v>
      </c>
      <c r="C237" s="366"/>
      <c r="D237" s="265"/>
      <c r="E237" s="264"/>
      <c r="F237" s="257"/>
      <c r="G237" s="257"/>
      <c r="H237" s="257"/>
      <c r="I237" s="258"/>
    </row>
    <row r="238" spans="1:9" ht="15.75" customHeight="1" outlineLevel="2" x14ac:dyDescent="0.25">
      <c r="B238" s="536" t="str">
        <f>IF(ISBLANK(dms_E3_Projects_02),"",dms_E3_Projects_02)</f>
        <v>Southern Corridor - Seaford Aldinga</v>
      </c>
      <c r="C238" s="640"/>
      <c r="D238" s="641"/>
      <c r="E238" s="642"/>
      <c r="F238" s="643"/>
      <c r="G238" s="643"/>
      <c r="H238" s="643"/>
      <c r="I238" s="644"/>
    </row>
    <row r="239" spans="1:9" ht="15.75" customHeight="1" outlineLevel="2" x14ac:dyDescent="0.25">
      <c r="B239" s="536" t="str">
        <f>IF(ISBLANK(dms_E3_Projects_03),"",dms_E3_Projects_03)</f>
        <v>Northern Metro HP Main and Gawler Gate Station</v>
      </c>
      <c r="C239" s="380"/>
      <c r="D239" s="267"/>
      <c r="E239" s="266"/>
      <c r="F239" s="260"/>
      <c r="G239" s="260"/>
      <c r="H239" s="260"/>
      <c r="I239" s="245"/>
    </row>
    <row r="240" spans="1:9" ht="15.75" customHeight="1" outlineLevel="2" x14ac:dyDescent="0.25">
      <c r="B240" s="536" t="str">
        <f>IF(ISBLANK(dms_E3_Projects_04),"",dms_E3_Projects_04)</f>
        <v/>
      </c>
      <c r="C240" s="640"/>
      <c r="D240" s="641"/>
      <c r="E240" s="642"/>
      <c r="F240" s="643"/>
      <c r="G240" s="643"/>
      <c r="H240" s="643"/>
      <c r="I240" s="644"/>
    </row>
    <row r="241" spans="2:9" ht="15.75" customHeight="1" outlineLevel="2" x14ac:dyDescent="0.25">
      <c r="B241" s="536" t="str">
        <f>IF(ISBLANK(dms_E3_Projects_05),"",dms_E3_Projects_05)</f>
        <v/>
      </c>
      <c r="C241" s="380"/>
      <c r="D241" s="267"/>
      <c r="E241" s="266"/>
      <c r="F241" s="260"/>
      <c r="G241" s="260"/>
      <c r="H241" s="260"/>
      <c r="I241" s="245"/>
    </row>
    <row r="242" spans="2:9" ht="15.75" customHeight="1" outlineLevel="2" x14ac:dyDescent="0.25">
      <c r="B242" s="536" t="str">
        <f>IF(ISBLANK(dms_E3_Projects_06),"",dms_E3_Projects_06)</f>
        <v/>
      </c>
      <c r="C242" s="640"/>
      <c r="D242" s="641"/>
      <c r="E242" s="642"/>
      <c r="F242" s="643"/>
      <c r="G242" s="643"/>
      <c r="H242" s="643"/>
      <c r="I242" s="644"/>
    </row>
    <row r="243" spans="2:9" ht="15.75" customHeight="1" outlineLevel="2" x14ac:dyDescent="0.25">
      <c r="B243" s="536" t="str">
        <f>IF(ISBLANK(dms_E3_Projects_07),"",dms_E3_Projects_07)</f>
        <v/>
      </c>
      <c r="C243" s="380"/>
      <c r="D243" s="267"/>
      <c r="E243" s="266"/>
      <c r="F243" s="260"/>
      <c r="G243" s="260"/>
      <c r="H243" s="260"/>
      <c r="I243" s="245"/>
    </row>
    <row r="244" spans="2:9" ht="15.75" customHeight="1" outlineLevel="2" x14ac:dyDescent="0.25">
      <c r="B244" s="536" t="str">
        <f>IF(ISBLANK(dms_E3_Projects_08),"",dms_E3_Projects_08)</f>
        <v/>
      </c>
      <c r="C244" s="640"/>
      <c r="D244" s="641"/>
      <c r="E244" s="642"/>
      <c r="F244" s="643"/>
      <c r="G244" s="643"/>
      <c r="H244" s="643"/>
      <c r="I244" s="644"/>
    </row>
    <row r="245" spans="2:9" ht="15.75" customHeight="1" outlineLevel="2" x14ac:dyDescent="0.25">
      <c r="B245" s="536" t="str">
        <f>IF(ISBLANK(dms_E3_Projects_09),"",dms_E3_Projects_09)</f>
        <v/>
      </c>
      <c r="C245" s="380"/>
      <c r="D245" s="267"/>
      <c r="E245" s="266"/>
      <c r="F245" s="260"/>
      <c r="G245" s="260"/>
      <c r="H245" s="260"/>
      <c r="I245" s="245"/>
    </row>
    <row r="246" spans="2:9" ht="15.75" customHeight="1" outlineLevel="2" x14ac:dyDescent="0.25">
      <c r="B246" s="536" t="str">
        <f>IF(ISBLANK(dms_E3_Projects_10),"",dms_E3_Projects_10)</f>
        <v/>
      </c>
      <c r="C246" s="640"/>
      <c r="D246" s="641"/>
      <c r="E246" s="642"/>
      <c r="F246" s="643"/>
      <c r="G246" s="643"/>
      <c r="H246" s="643"/>
      <c r="I246" s="644"/>
    </row>
    <row r="247" spans="2:9" ht="15.75" customHeight="1" outlineLevel="2" x14ac:dyDescent="0.25">
      <c r="B247" s="536" t="str">
        <f>IF(ISBLANK(dms_E3_Projects_11),"",dms_E3_Projects_11)</f>
        <v/>
      </c>
      <c r="C247" s="380"/>
      <c r="D247" s="267"/>
      <c r="E247" s="266"/>
      <c r="F247" s="260"/>
      <c r="G247" s="260"/>
      <c r="H247" s="260"/>
      <c r="I247" s="245"/>
    </row>
    <row r="248" spans="2:9" ht="15.75" customHeight="1" outlineLevel="2" x14ac:dyDescent="0.25">
      <c r="B248" s="536" t="str">
        <f>IF(ISBLANK(dms_E3_Projects_12),"",dms_E3_Projects_12)</f>
        <v/>
      </c>
      <c r="C248" s="640"/>
      <c r="D248" s="641"/>
      <c r="E248" s="642"/>
      <c r="F248" s="643"/>
      <c r="G248" s="643"/>
      <c r="H248" s="643"/>
      <c r="I248" s="644"/>
    </row>
    <row r="249" spans="2:9" ht="15.75" customHeight="1" outlineLevel="2" x14ac:dyDescent="0.25">
      <c r="B249" s="536" t="str">
        <f>IF(ISBLANK(dms_E3_Projects_13),"",dms_E3_Projects_13)</f>
        <v/>
      </c>
      <c r="C249" s="380"/>
      <c r="D249" s="267"/>
      <c r="E249" s="266"/>
      <c r="F249" s="260"/>
      <c r="G249" s="260"/>
      <c r="H249" s="260"/>
      <c r="I249" s="245"/>
    </row>
    <row r="250" spans="2:9" ht="15.75" customHeight="1" outlineLevel="2" x14ac:dyDescent="0.25">
      <c r="B250" s="536" t="str">
        <f>IF(ISBLANK(dms_E3_Projects_14),"",dms_E3_Projects_14)</f>
        <v/>
      </c>
      <c r="C250" s="640"/>
      <c r="D250" s="641"/>
      <c r="E250" s="642"/>
      <c r="F250" s="643"/>
      <c r="G250" s="643"/>
      <c r="H250" s="643"/>
      <c r="I250" s="644"/>
    </row>
    <row r="251" spans="2:9" ht="15.75" customHeight="1" outlineLevel="2" x14ac:dyDescent="0.25">
      <c r="B251" s="536" t="str">
        <f>IF(ISBLANK(dms_E3_Projects_15),"",dms_E3_Projects_15)</f>
        <v/>
      </c>
      <c r="C251" s="380"/>
      <c r="D251" s="267"/>
      <c r="E251" s="266"/>
      <c r="F251" s="260"/>
      <c r="G251" s="260"/>
      <c r="H251" s="260"/>
      <c r="I251" s="245"/>
    </row>
    <row r="252" spans="2:9" ht="15.75" customHeight="1" outlineLevel="2" x14ac:dyDescent="0.25">
      <c r="B252" s="536" t="str">
        <f>IF(ISBLANK(dms_E3_Projects_16),"",dms_E3_Projects_16)</f>
        <v/>
      </c>
      <c r="C252" s="640"/>
      <c r="D252" s="641"/>
      <c r="E252" s="642"/>
      <c r="F252" s="643"/>
      <c r="G252" s="643"/>
      <c r="H252" s="643"/>
      <c r="I252" s="644"/>
    </row>
    <row r="253" spans="2:9" ht="15.75" customHeight="1" outlineLevel="2" x14ac:dyDescent="0.25">
      <c r="B253" s="541" t="str">
        <f>IF(ISBLANK(dms_E3_Projects_17),"",dms_E3_Projects_17)</f>
        <v/>
      </c>
      <c r="C253" s="380"/>
      <c r="D253" s="267"/>
      <c r="E253" s="266"/>
      <c r="F253" s="260"/>
      <c r="G253" s="260"/>
      <c r="H253" s="260"/>
      <c r="I253" s="245"/>
    </row>
    <row r="254" spans="2:9" ht="15.75" customHeight="1" outlineLevel="2" x14ac:dyDescent="0.25">
      <c r="B254" s="541" t="str">
        <f>IF(ISBLANK(dms_E3_Projects_18),"",dms_E3_Projects_18)</f>
        <v/>
      </c>
      <c r="C254" s="640"/>
      <c r="D254" s="641"/>
      <c r="E254" s="642"/>
      <c r="F254" s="643"/>
      <c r="G254" s="643"/>
      <c r="H254" s="643"/>
      <c r="I254" s="644"/>
    </row>
    <row r="255" spans="2:9" ht="15.75" customHeight="1" outlineLevel="2" x14ac:dyDescent="0.25">
      <c r="B255" s="541" t="str">
        <f>IF(ISBLANK(dms_E3_Projects_18),"",dms_E3_Projects_18)</f>
        <v/>
      </c>
      <c r="C255" s="380"/>
      <c r="D255" s="267"/>
      <c r="E255" s="266"/>
      <c r="F255" s="260"/>
      <c r="G255" s="260"/>
      <c r="H255" s="260"/>
      <c r="I255" s="245"/>
    </row>
    <row r="256" spans="2:9" ht="15.75" customHeight="1" outlineLevel="2" x14ac:dyDescent="0.25">
      <c r="B256" s="541" t="str">
        <f>IF(ISBLANK(dms_E3_Projects_19),"",dms_E3_Projects_19)</f>
        <v/>
      </c>
      <c r="C256" s="640"/>
      <c r="D256" s="641"/>
      <c r="E256" s="642"/>
      <c r="F256" s="643"/>
      <c r="G256" s="643"/>
      <c r="H256" s="643"/>
      <c r="I256" s="644"/>
    </row>
    <row r="257" spans="2:9" ht="15.75" customHeight="1" outlineLevel="2" x14ac:dyDescent="0.25">
      <c r="B257" s="541" t="str">
        <f>IF(ISBLANK(dms_E3_Projects_20),"",dms_E3_Projects_20)</f>
        <v/>
      </c>
      <c r="C257" s="380"/>
      <c r="D257" s="267"/>
      <c r="E257" s="266"/>
      <c r="F257" s="260"/>
      <c r="G257" s="260"/>
      <c r="H257" s="260"/>
      <c r="I257" s="245"/>
    </row>
    <row r="258" spans="2:9" ht="15.75" customHeight="1" outlineLevel="2" x14ac:dyDescent="0.25">
      <c r="B258" s="541" t="str">
        <f>IF(ISBLANK(dms_E3_Projects_21),"",dms_E3_Projects_21)</f>
        <v/>
      </c>
      <c r="C258" s="640"/>
      <c r="D258" s="641"/>
      <c r="E258" s="642"/>
      <c r="F258" s="643"/>
      <c r="G258" s="643"/>
      <c r="H258" s="643"/>
      <c r="I258" s="644"/>
    </row>
    <row r="259" spans="2:9" ht="15.75" customHeight="1" outlineLevel="2" x14ac:dyDescent="0.25">
      <c r="B259" s="541" t="str">
        <f>IF(ISBLANK(dms_E3_Projects_22),"",dms_E3_Projects_22)</f>
        <v/>
      </c>
      <c r="C259" s="380"/>
      <c r="D259" s="267"/>
      <c r="E259" s="266"/>
      <c r="F259" s="260"/>
      <c r="G259" s="260"/>
      <c r="H259" s="260"/>
      <c r="I259" s="245"/>
    </row>
    <row r="260" spans="2:9" ht="15.75" customHeight="1" outlineLevel="2" x14ac:dyDescent="0.25">
      <c r="B260" s="541" t="str">
        <f>IF(ISBLANK(dms_E3_Projects_23),"",dms_E3_Projects_23)</f>
        <v/>
      </c>
      <c r="C260" s="640"/>
      <c r="D260" s="641"/>
      <c r="E260" s="642"/>
      <c r="F260" s="643"/>
      <c r="G260" s="643"/>
      <c r="H260" s="643"/>
      <c r="I260" s="644"/>
    </row>
    <row r="261" spans="2:9" ht="15.75" customHeight="1" outlineLevel="2" x14ac:dyDescent="0.25">
      <c r="B261" s="541" t="str">
        <f>IF(ISBLANK(dms_E3_Projects_24),"",dms_E3_Projects_24)</f>
        <v/>
      </c>
      <c r="C261" s="380"/>
      <c r="D261" s="267"/>
      <c r="E261" s="266"/>
      <c r="F261" s="260"/>
      <c r="G261" s="260"/>
      <c r="H261" s="260"/>
      <c r="I261" s="245"/>
    </row>
    <row r="262" spans="2:9" ht="15.75" customHeight="1" outlineLevel="2" x14ac:dyDescent="0.25">
      <c r="B262" s="541" t="str">
        <f>IF(ISBLANK(dms_E3_Projects_25),"",dms_E3_Projects_26)</f>
        <v/>
      </c>
      <c r="C262" s="640"/>
      <c r="D262" s="641"/>
      <c r="E262" s="642"/>
      <c r="F262" s="643"/>
      <c r="G262" s="643"/>
      <c r="H262" s="643"/>
      <c r="I262" s="644"/>
    </row>
    <row r="263" spans="2:9" ht="15.75" customHeight="1" outlineLevel="2" x14ac:dyDescent="0.25">
      <c r="B263" s="541" t="str">
        <f>IF(ISBLANK(dms_E3_Projects_27),"",dms_E3_Projects_27)</f>
        <v/>
      </c>
      <c r="C263" s="380"/>
      <c r="D263" s="267"/>
      <c r="E263" s="266"/>
      <c r="F263" s="260"/>
      <c r="G263" s="260"/>
      <c r="H263" s="260"/>
      <c r="I263" s="245"/>
    </row>
    <row r="264" spans="2:9" ht="15.75" customHeight="1" outlineLevel="2" x14ac:dyDescent="0.25">
      <c r="B264" s="541" t="str">
        <f>IF(ISBLANK(dms_E3_Projects_28),"",dms_E3_Projects_28)</f>
        <v/>
      </c>
      <c r="C264" s="640"/>
      <c r="D264" s="641"/>
      <c r="E264" s="642"/>
      <c r="F264" s="643"/>
      <c r="G264" s="643"/>
      <c r="H264" s="643"/>
      <c r="I264" s="644"/>
    </row>
    <row r="265" spans="2:9" ht="15.75" customHeight="1" outlineLevel="2" x14ac:dyDescent="0.25">
      <c r="B265" s="541" t="str">
        <f>IF(ISBLANK(dms_E3_Projects_29),"",dms_E3_Projects_29)</f>
        <v/>
      </c>
      <c r="C265" s="380"/>
      <c r="D265" s="267"/>
      <c r="E265" s="266"/>
      <c r="F265" s="260"/>
      <c r="G265" s="260"/>
      <c r="H265" s="260"/>
      <c r="I265" s="245"/>
    </row>
    <row r="266" spans="2:9" ht="15.75" customHeight="1" outlineLevel="2" x14ac:dyDescent="0.25">
      <c r="B266" s="541" t="str">
        <f>IF(ISBLANK(dms_E3_Projects_30),"",dms_E3_Projects_30)</f>
        <v/>
      </c>
      <c r="C266" s="640"/>
      <c r="D266" s="641"/>
      <c r="E266" s="642"/>
      <c r="F266" s="643"/>
      <c r="G266" s="643"/>
      <c r="H266" s="643"/>
      <c r="I266" s="644"/>
    </row>
    <row r="267" spans="2:9" ht="15.75" customHeight="1" outlineLevel="2" x14ac:dyDescent="0.25">
      <c r="B267" s="541" t="str">
        <f>IF(ISBLANK(dms_E3_Projects_31),"",dms_E3_Projects_31)</f>
        <v/>
      </c>
      <c r="C267" s="380"/>
      <c r="D267" s="267"/>
      <c r="E267" s="266"/>
      <c r="F267" s="260"/>
      <c r="G267" s="260"/>
      <c r="H267" s="260"/>
      <c r="I267" s="245"/>
    </row>
    <row r="268" spans="2:9" ht="15.75" customHeight="1" outlineLevel="2" x14ac:dyDescent="0.25">
      <c r="B268" s="541" t="str">
        <f>IF(ISBLANK(dms_E3_Projects_32),"",dms_E3_Projects_32)</f>
        <v/>
      </c>
      <c r="C268" s="640"/>
      <c r="D268" s="641"/>
      <c r="E268" s="642"/>
      <c r="F268" s="643"/>
      <c r="G268" s="643"/>
      <c r="H268" s="643"/>
      <c r="I268" s="644"/>
    </row>
    <row r="269" spans="2:9" ht="15.75" customHeight="1" outlineLevel="2" x14ac:dyDescent="0.25">
      <c r="B269" s="541" t="str">
        <f>IF(ISBLANK(dms_E3_Projects_33),"",dms_E3_Projects_33)</f>
        <v/>
      </c>
      <c r="C269" s="380"/>
      <c r="D269" s="267"/>
      <c r="E269" s="266"/>
      <c r="F269" s="260"/>
      <c r="G269" s="260"/>
      <c r="H269" s="260"/>
      <c r="I269" s="245"/>
    </row>
    <row r="270" spans="2:9" ht="15.75" customHeight="1" outlineLevel="2" x14ac:dyDescent="0.25">
      <c r="B270" s="541" t="str">
        <f>IF(ISBLANK(dms_E3_Projects_34),"",dms_E3_Projects_34)</f>
        <v/>
      </c>
      <c r="C270" s="640"/>
      <c r="D270" s="641"/>
      <c r="E270" s="642"/>
      <c r="F270" s="643"/>
      <c r="G270" s="643"/>
      <c r="H270" s="643"/>
      <c r="I270" s="644"/>
    </row>
    <row r="271" spans="2:9" ht="15.75" customHeight="1" outlineLevel="2" x14ac:dyDescent="0.25">
      <c r="B271" s="541" t="str">
        <f>IF(ISBLANK(dms_E3_Projects_35),"",dms_E3_Projects_35)</f>
        <v/>
      </c>
      <c r="C271" s="380"/>
      <c r="D271" s="267"/>
      <c r="E271" s="266"/>
      <c r="F271" s="260"/>
      <c r="G271" s="260"/>
      <c r="H271" s="260"/>
      <c r="I271" s="245"/>
    </row>
    <row r="272" spans="2:9" ht="15.75" customHeight="1" outlineLevel="2" x14ac:dyDescent="0.25">
      <c r="B272" s="541" t="str">
        <f>IF(ISBLANK(dms_E3_Projects_36),"",dms_E3_Projects_36)</f>
        <v/>
      </c>
      <c r="C272" s="640"/>
      <c r="D272" s="641"/>
      <c r="E272" s="642"/>
      <c r="F272" s="643"/>
      <c r="G272" s="643"/>
      <c r="H272" s="643"/>
      <c r="I272" s="644"/>
    </row>
    <row r="273" spans="2:9" ht="15.75" customHeight="1" outlineLevel="2" x14ac:dyDescent="0.25">
      <c r="B273" s="541" t="str">
        <f>IF(ISBLANK(dms_E3_Projects_37),"",dms_E3_Projects_37)</f>
        <v/>
      </c>
      <c r="C273" s="380"/>
      <c r="D273" s="267"/>
      <c r="E273" s="266"/>
      <c r="F273" s="260"/>
      <c r="G273" s="260"/>
      <c r="H273" s="260"/>
      <c r="I273" s="245"/>
    </row>
    <row r="274" spans="2:9" ht="15.75" customHeight="1" outlineLevel="2" x14ac:dyDescent="0.25">
      <c r="B274" s="541" t="str">
        <f>IF(ISBLANK(dms_E3_Projects_38),"",dms_E3_Projects_38)</f>
        <v/>
      </c>
      <c r="C274" s="640"/>
      <c r="D274" s="641"/>
      <c r="E274" s="642"/>
      <c r="F274" s="643"/>
      <c r="G274" s="643"/>
      <c r="H274" s="643"/>
      <c r="I274" s="644"/>
    </row>
    <row r="275" spans="2:9" ht="15.75" customHeight="1" outlineLevel="2" x14ac:dyDescent="0.25">
      <c r="B275" s="541" t="str">
        <f>IF(ISBLANK(dms_E3_Projects_39),"",dms_E3_Projects_39)</f>
        <v/>
      </c>
      <c r="C275" s="380"/>
      <c r="D275" s="267"/>
      <c r="E275" s="266"/>
      <c r="F275" s="260"/>
      <c r="G275" s="260"/>
      <c r="H275" s="260"/>
      <c r="I275" s="245"/>
    </row>
    <row r="276" spans="2:9" ht="15.75" customHeight="1" outlineLevel="2" x14ac:dyDescent="0.25">
      <c r="B276" s="541" t="str">
        <f>IF(ISBLANK(dms_E3_Projects_40),"",dms_E3_Projects_40)</f>
        <v/>
      </c>
      <c r="C276" s="640"/>
      <c r="D276" s="641"/>
      <c r="E276" s="642"/>
      <c r="F276" s="643"/>
      <c r="G276" s="643"/>
      <c r="H276" s="643"/>
      <c r="I276" s="644"/>
    </row>
    <row r="277" spans="2:9" ht="15.75" customHeight="1" outlineLevel="2" x14ac:dyDescent="0.25">
      <c r="B277" s="541" t="str">
        <f>IF(ISBLANK(dms_E3_Projects_41),"",dms_E3_Projects_41)</f>
        <v/>
      </c>
      <c r="C277" s="380"/>
      <c r="D277" s="267"/>
      <c r="E277" s="266"/>
      <c r="F277" s="260"/>
      <c r="G277" s="260"/>
      <c r="H277" s="260"/>
      <c r="I277" s="245"/>
    </row>
    <row r="278" spans="2:9" ht="15.75" customHeight="1" outlineLevel="2" x14ac:dyDescent="0.25">
      <c r="B278" s="541" t="str">
        <f>IF(ISBLANK(dms_E3_Projects_42),"",dms_E3_Projects_42)</f>
        <v/>
      </c>
      <c r="C278" s="640"/>
      <c r="D278" s="641"/>
      <c r="E278" s="642"/>
      <c r="F278" s="643"/>
      <c r="G278" s="643"/>
      <c r="H278" s="643"/>
      <c r="I278" s="644"/>
    </row>
    <row r="279" spans="2:9" ht="15.75" customHeight="1" outlineLevel="2" x14ac:dyDescent="0.25">
      <c r="B279" s="541" t="str">
        <f>IF(ISBLANK(dms_E3_Projects_43),"",dms_E3_Projects_43)</f>
        <v/>
      </c>
      <c r="C279" s="380"/>
      <c r="D279" s="267"/>
      <c r="E279" s="266"/>
      <c r="F279" s="260"/>
      <c r="G279" s="260"/>
      <c r="H279" s="260"/>
      <c r="I279" s="245"/>
    </row>
    <row r="280" spans="2:9" ht="15.75" customHeight="1" outlineLevel="2" x14ac:dyDescent="0.25">
      <c r="B280" s="541" t="str">
        <f>IF(ISBLANK(dms_E3_Projects_44),"",dms_E3_Projects_44)</f>
        <v/>
      </c>
      <c r="C280" s="640"/>
      <c r="D280" s="641"/>
      <c r="E280" s="642"/>
      <c r="F280" s="643"/>
      <c r="G280" s="643"/>
      <c r="H280" s="643"/>
      <c r="I280" s="644"/>
    </row>
    <row r="281" spans="2:9" ht="15.75" customHeight="1" outlineLevel="2" x14ac:dyDescent="0.25">
      <c r="B281" s="541" t="str">
        <f>IF(ISBLANK(dms_E3_Projects_45),"",dms_E3_Projects_45)</f>
        <v/>
      </c>
      <c r="C281" s="380"/>
      <c r="D281" s="267"/>
      <c r="E281" s="266"/>
      <c r="F281" s="260"/>
      <c r="G281" s="260"/>
      <c r="H281" s="260"/>
      <c r="I281" s="245"/>
    </row>
    <row r="282" spans="2:9" ht="15.75" customHeight="1" outlineLevel="2" x14ac:dyDescent="0.25">
      <c r="B282" s="541" t="str">
        <f>IF(ISBLANK(dms_E3_Projects_46),"",dms_E3_Projects_46)</f>
        <v/>
      </c>
      <c r="C282" s="640"/>
      <c r="D282" s="641"/>
      <c r="E282" s="642"/>
      <c r="F282" s="643"/>
      <c r="G282" s="643"/>
      <c r="H282" s="643"/>
      <c r="I282" s="644"/>
    </row>
    <row r="283" spans="2:9" ht="15.75" customHeight="1" outlineLevel="2" x14ac:dyDescent="0.25">
      <c r="B283" s="541" t="str">
        <f>IF(ISBLANK(dms_E3_Projects_47),"",dms_E3_Projects_47)</f>
        <v/>
      </c>
      <c r="C283" s="380"/>
      <c r="D283" s="267"/>
      <c r="E283" s="266"/>
      <c r="F283" s="260"/>
      <c r="G283" s="260"/>
      <c r="H283" s="260"/>
      <c r="I283" s="245"/>
    </row>
    <row r="284" spans="2:9" ht="15.75" customHeight="1" outlineLevel="2" x14ac:dyDescent="0.25">
      <c r="B284" s="541" t="str">
        <f>IF(ISBLANK(dms_E3_Projects_48),"",dms_E3_Projects_48)</f>
        <v/>
      </c>
      <c r="C284" s="640"/>
      <c r="D284" s="641"/>
      <c r="E284" s="642"/>
      <c r="F284" s="643"/>
      <c r="G284" s="643"/>
      <c r="H284" s="643"/>
      <c r="I284" s="644"/>
    </row>
    <row r="285" spans="2:9" ht="15.75" customHeight="1" outlineLevel="2" x14ac:dyDescent="0.25">
      <c r="B285" s="541" t="str">
        <f>IF(ISBLANK(dms_E3_Projects_49),"",dms_E3_Projects_49)</f>
        <v/>
      </c>
      <c r="C285" s="380"/>
      <c r="D285" s="267"/>
      <c r="E285" s="266"/>
      <c r="F285" s="260"/>
      <c r="G285" s="260"/>
      <c r="H285" s="260"/>
      <c r="I285" s="245"/>
    </row>
    <row r="286" spans="2:9" ht="15.75" customHeight="1" outlineLevel="2" x14ac:dyDescent="0.25">
      <c r="B286" s="541" t="str">
        <f>IF(ISBLANK(dms_E3_Projects_50),"",dms_E3_Projects_50)</f>
        <v/>
      </c>
      <c r="C286" s="640"/>
      <c r="D286" s="641"/>
      <c r="E286" s="642"/>
      <c r="F286" s="643"/>
      <c r="G286" s="643"/>
      <c r="H286" s="643"/>
      <c r="I286" s="644"/>
    </row>
    <row r="287" spans="2:9" ht="15.75" customHeight="1" outlineLevel="2" thickBot="1" x14ac:dyDescent="0.3">
      <c r="B287" s="646" t="s">
        <v>152</v>
      </c>
      <c r="C287" s="381"/>
      <c r="D287" s="269"/>
      <c r="E287" s="268"/>
      <c r="F287" s="262"/>
      <c r="G287" s="262"/>
      <c r="H287" s="262"/>
      <c r="I287" s="494"/>
    </row>
    <row r="288" spans="2:9" ht="15.75" customHeight="1" outlineLevel="2" thickBot="1" x14ac:dyDescent="0.3">
      <c r="B288" s="544" t="s">
        <v>120</v>
      </c>
      <c r="C288" s="545">
        <f>SUM(C237:C287)</f>
        <v>0</v>
      </c>
      <c r="D288" s="545">
        <f t="shared" ref="D288:I288" si="3">SUM(D237:D287)</f>
        <v>0</v>
      </c>
      <c r="E288" s="545">
        <f t="shared" si="3"/>
        <v>0</v>
      </c>
      <c r="F288" s="545">
        <f t="shared" si="3"/>
        <v>0</v>
      </c>
      <c r="G288" s="545">
        <f t="shared" si="3"/>
        <v>0</v>
      </c>
      <c r="H288" s="545">
        <f t="shared" si="3"/>
        <v>0</v>
      </c>
      <c r="I288" s="546">
        <f t="shared" si="3"/>
        <v>0</v>
      </c>
    </row>
    <row r="289" spans="1:9" ht="15.75" customHeight="1" outlineLevel="1" thickBot="1" x14ac:dyDescent="0.3">
      <c r="B289" s="75"/>
    </row>
    <row r="290" spans="1:9" ht="21.75" customHeight="1" outlineLevel="1" thickBot="1" x14ac:dyDescent="0.3">
      <c r="B290" s="250" t="s">
        <v>141</v>
      </c>
      <c r="C290" s="251"/>
      <c r="D290" s="251"/>
      <c r="E290" s="251"/>
      <c r="F290" s="251"/>
      <c r="G290" s="251"/>
      <c r="H290" s="251"/>
      <c r="I290" s="251"/>
    </row>
    <row r="291" spans="1:9" s="42" customFormat="1" ht="15" customHeight="1" outlineLevel="2" x14ac:dyDescent="0.25">
      <c r="A291" s="291"/>
      <c r="B291"/>
      <c r="C291" s="1378" t="s">
        <v>24</v>
      </c>
      <c r="D291" s="1378"/>
      <c r="E291" s="1378"/>
      <c r="F291" s="1378"/>
      <c r="G291" s="1378"/>
      <c r="H291" s="1378"/>
      <c r="I291" s="1378"/>
    </row>
    <row r="292" spans="1:9" s="42" customFormat="1" ht="15" customHeight="1" outlineLevel="2" x14ac:dyDescent="0.25">
      <c r="A292" s="291"/>
      <c r="B292"/>
      <c r="C292" s="1378" t="str">
        <f ca="1">CONCATENATE("$, real ",dms_DollarReal)</f>
        <v>$, real June 2026</v>
      </c>
      <c r="D292" s="1378"/>
      <c r="E292" s="1378"/>
      <c r="F292" s="1378"/>
      <c r="G292" s="1378"/>
      <c r="H292" s="1378"/>
      <c r="I292" s="1378"/>
    </row>
    <row r="293" spans="1:9" s="42" customFormat="1" ht="15.75" customHeight="1" outlineLevel="2" thickBot="1" x14ac:dyDescent="0.3">
      <c r="A293" s="291"/>
      <c r="B293" s="78"/>
      <c r="C293" s="314" t="str">
        <f ca="1">dms_y1</f>
        <v>2024-25</v>
      </c>
      <c r="D293" s="314" t="str">
        <f ca="1">dms_y2</f>
        <v>2025-26</v>
      </c>
      <c r="E293" s="314" t="str">
        <f ca="1">dms_y3</f>
        <v>2026-27</v>
      </c>
      <c r="F293" s="314" t="str">
        <f ca="1">dms_y4</f>
        <v>2027-28</v>
      </c>
      <c r="G293" s="314" t="str">
        <f ca="1">dms_y5</f>
        <v>2028-29</v>
      </c>
      <c r="H293" s="314" t="str">
        <f ca="1">dms_y6</f>
        <v>2029-30</v>
      </c>
      <c r="I293" s="314" t="str">
        <f ca="1">dms_y7</f>
        <v>2030-31</v>
      </c>
    </row>
    <row r="294" spans="1:9" ht="15.75" customHeight="1" outlineLevel="2" thickBot="1" x14ac:dyDescent="0.3">
      <c r="B294" s="646" t="s">
        <v>120</v>
      </c>
      <c r="C294" s="381"/>
      <c r="D294" s="269"/>
      <c r="E294" s="268"/>
      <c r="F294" s="262"/>
      <c r="G294" s="262"/>
      <c r="H294" s="262"/>
      <c r="I294" s="494"/>
    </row>
    <row r="295" spans="1:9" ht="15.75" customHeight="1" outlineLevel="2" thickBot="1" x14ac:dyDescent="0.3">
      <c r="B295" s="544" t="s">
        <v>120</v>
      </c>
      <c r="C295" s="545">
        <f t="shared" ref="C295:I295" si="4">SUM(C294:C294)</f>
        <v>0</v>
      </c>
      <c r="D295" s="545">
        <f t="shared" si="4"/>
        <v>0</v>
      </c>
      <c r="E295" s="545">
        <f t="shared" si="4"/>
        <v>0</v>
      </c>
      <c r="F295" s="545">
        <f t="shared" si="4"/>
        <v>0</v>
      </c>
      <c r="G295" s="545">
        <f t="shared" si="4"/>
        <v>0</v>
      </c>
      <c r="H295" s="545">
        <f t="shared" si="4"/>
        <v>0</v>
      </c>
      <c r="I295" s="546">
        <f t="shared" si="4"/>
        <v>0</v>
      </c>
    </row>
    <row r="296" spans="1:9" ht="15.75" customHeight="1" outlineLevel="1" thickBot="1" x14ac:dyDescent="0.3">
      <c r="B296" s="75"/>
    </row>
    <row r="297" spans="1:9" ht="21.75" customHeight="1" outlineLevel="1" thickBot="1" x14ac:dyDescent="0.3">
      <c r="B297" s="250" t="s">
        <v>142</v>
      </c>
      <c r="C297" s="251"/>
      <c r="D297" s="251"/>
      <c r="E297" s="251"/>
      <c r="F297" s="251"/>
      <c r="G297" s="251"/>
      <c r="H297" s="251"/>
      <c r="I297" s="251"/>
    </row>
    <row r="298" spans="1:9" s="42" customFormat="1" ht="15" customHeight="1" outlineLevel="2" x14ac:dyDescent="0.25">
      <c r="A298" s="291"/>
      <c r="B298"/>
      <c r="C298" s="1378" t="s">
        <v>24</v>
      </c>
      <c r="D298" s="1378"/>
      <c r="E298" s="1378"/>
      <c r="F298" s="1378"/>
      <c r="G298" s="1378"/>
      <c r="H298" s="1378"/>
      <c r="I298" s="1378"/>
    </row>
    <row r="299" spans="1:9" s="42" customFormat="1" ht="15" customHeight="1" outlineLevel="2" x14ac:dyDescent="0.25">
      <c r="A299" s="291"/>
      <c r="B299"/>
      <c r="C299" s="1378" t="str">
        <f ca="1">CONCATENATE("$, real ",dms_DollarReal)</f>
        <v>$, real June 2026</v>
      </c>
      <c r="D299" s="1378"/>
      <c r="E299" s="1378"/>
      <c r="F299" s="1378"/>
      <c r="G299" s="1378"/>
      <c r="H299" s="1378"/>
      <c r="I299" s="1378"/>
    </row>
    <row r="300" spans="1:9" s="42" customFormat="1" ht="15.75" customHeight="1" outlineLevel="2" thickBot="1" x14ac:dyDescent="0.3">
      <c r="A300" s="291"/>
      <c r="B300" s="78"/>
      <c r="C300" s="314" t="str">
        <f ca="1">dms_y1</f>
        <v>2024-25</v>
      </c>
      <c r="D300" s="314" t="str">
        <f ca="1">dms_y2</f>
        <v>2025-26</v>
      </c>
      <c r="E300" s="314" t="str">
        <f ca="1">dms_y3</f>
        <v>2026-27</v>
      </c>
      <c r="F300" s="314" t="str">
        <f ca="1">dms_y4</f>
        <v>2027-28</v>
      </c>
      <c r="G300" s="314" t="str">
        <f ca="1">dms_y5</f>
        <v>2028-29</v>
      </c>
      <c r="H300" s="314" t="str">
        <f ca="1">dms_y6</f>
        <v>2029-30</v>
      </c>
      <c r="I300" s="314" t="str">
        <f ca="1">dms_y7</f>
        <v>2030-31</v>
      </c>
    </row>
    <row r="301" spans="1:9" ht="15.75" customHeight="1" outlineLevel="2" x14ac:dyDescent="0.25">
      <c r="B301" s="536" t="str">
        <f>IF(ISBLANK(dms_E3_Projects_01),"",dms_E3_Projects_01)</f>
        <v>Northern Corridor - Angle Vale</v>
      </c>
      <c r="C301" s="366"/>
      <c r="D301" s="265"/>
      <c r="E301" s="264"/>
      <c r="F301" s="257"/>
      <c r="G301" s="257"/>
      <c r="H301" s="257"/>
      <c r="I301" s="258"/>
    </row>
    <row r="302" spans="1:9" ht="15.75" customHeight="1" outlineLevel="2" x14ac:dyDescent="0.25">
      <c r="B302" s="536" t="str">
        <f>IF(ISBLANK(dms_E3_Projects_02),"",dms_E3_Projects_02)</f>
        <v>Southern Corridor - Seaford Aldinga</v>
      </c>
      <c r="C302" s="640"/>
      <c r="D302" s="641"/>
      <c r="E302" s="642"/>
      <c r="F302" s="643"/>
      <c r="G302" s="643"/>
      <c r="H302" s="643"/>
      <c r="I302" s="644"/>
    </row>
    <row r="303" spans="1:9" ht="15.75" customHeight="1" outlineLevel="2" x14ac:dyDescent="0.25">
      <c r="B303" s="536" t="str">
        <f>IF(ISBLANK(dms_E3_Projects_03),"",dms_E3_Projects_03)</f>
        <v>Northern Metro HP Main and Gawler Gate Station</v>
      </c>
      <c r="C303" s="380"/>
      <c r="D303" s="267"/>
      <c r="E303" s="266"/>
      <c r="F303" s="260"/>
      <c r="G303" s="260"/>
      <c r="H303" s="260"/>
      <c r="I303" s="245"/>
    </row>
    <row r="304" spans="1:9" ht="15.75" customHeight="1" outlineLevel="2" x14ac:dyDescent="0.25">
      <c r="B304" s="536" t="str">
        <f>IF(ISBLANK(dms_E3_Projects_04),"",dms_E3_Projects_04)</f>
        <v/>
      </c>
      <c r="C304" s="640"/>
      <c r="D304" s="641"/>
      <c r="E304" s="642"/>
      <c r="F304" s="643"/>
      <c r="G304" s="643"/>
      <c r="H304" s="643"/>
      <c r="I304" s="644"/>
    </row>
    <row r="305" spans="2:9" ht="15.75" customHeight="1" outlineLevel="2" x14ac:dyDescent="0.25">
      <c r="B305" s="536" t="str">
        <f>IF(ISBLANK(dms_E3_Projects_05),"",dms_E3_Projects_05)</f>
        <v/>
      </c>
      <c r="C305" s="380"/>
      <c r="D305" s="267"/>
      <c r="E305" s="266"/>
      <c r="F305" s="260"/>
      <c r="G305" s="260"/>
      <c r="H305" s="260"/>
      <c r="I305" s="245"/>
    </row>
    <row r="306" spans="2:9" ht="15.75" customHeight="1" outlineLevel="2" x14ac:dyDescent="0.25">
      <c r="B306" s="536" t="str">
        <f>IF(ISBLANK(dms_E3_Projects_06),"",dms_E3_Projects_06)</f>
        <v/>
      </c>
      <c r="C306" s="640"/>
      <c r="D306" s="641"/>
      <c r="E306" s="642"/>
      <c r="F306" s="643"/>
      <c r="G306" s="643"/>
      <c r="H306" s="643"/>
      <c r="I306" s="644"/>
    </row>
    <row r="307" spans="2:9" ht="15.75" customHeight="1" outlineLevel="2" x14ac:dyDescent="0.25">
      <c r="B307" s="536" t="str">
        <f>IF(ISBLANK(dms_E3_Projects_07),"",dms_E3_Projects_07)</f>
        <v/>
      </c>
      <c r="C307" s="380"/>
      <c r="D307" s="267"/>
      <c r="E307" s="266"/>
      <c r="F307" s="260"/>
      <c r="G307" s="260"/>
      <c r="H307" s="260"/>
      <c r="I307" s="245"/>
    </row>
    <row r="308" spans="2:9" ht="15.75" customHeight="1" outlineLevel="2" x14ac:dyDescent="0.25">
      <c r="B308" s="536" t="str">
        <f>IF(ISBLANK(dms_E3_Projects_08),"",dms_E3_Projects_08)</f>
        <v/>
      </c>
      <c r="C308" s="640"/>
      <c r="D308" s="641"/>
      <c r="E308" s="642"/>
      <c r="F308" s="643"/>
      <c r="G308" s="643"/>
      <c r="H308" s="643"/>
      <c r="I308" s="644"/>
    </row>
    <row r="309" spans="2:9" ht="15.75" customHeight="1" outlineLevel="2" x14ac:dyDescent="0.25">
      <c r="B309" s="536" t="str">
        <f>IF(ISBLANK(dms_E3_Projects_09),"",dms_E3_Projects_09)</f>
        <v/>
      </c>
      <c r="C309" s="380"/>
      <c r="D309" s="267"/>
      <c r="E309" s="266"/>
      <c r="F309" s="260"/>
      <c r="G309" s="260"/>
      <c r="H309" s="260"/>
      <c r="I309" s="245"/>
    </row>
    <row r="310" spans="2:9" ht="15.75" customHeight="1" outlineLevel="2" x14ac:dyDescent="0.25">
      <c r="B310" s="536" t="str">
        <f>IF(ISBLANK(dms_E3_Projects_10),"",dms_E3_Projects_10)</f>
        <v/>
      </c>
      <c r="C310" s="640"/>
      <c r="D310" s="641"/>
      <c r="E310" s="642"/>
      <c r="F310" s="643"/>
      <c r="G310" s="643"/>
      <c r="H310" s="643"/>
      <c r="I310" s="644"/>
    </row>
    <row r="311" spans="2:9" ht="15.75" customHeight="1" outlineLevel="2" x14ac:dyDescent="0.25">
      <c r="B311" s="536" t="str">
        <f>IF(ISBLANK(dms_E3_Projects_11),"",dms_E3_Projects_11)</f>
        <v/>
      </c>
      <c r="C311" s="380"/>
      <c r="D311" s="267"/>
      <c r="E311" s="266"/>
      <c r="F311" s="260"/>
      <c r="G311" s="260"/>
      <c r="H311" s="260"/>
      <c r="I311" s="245"/>
    </row>
    <row r="312" spans="2:9" ht="15.75" customHeight="1" outlineLevel="2" x14ac:dyDescent="0.25">
      <c r="B312" s="536" t="str">
        <f>IF(ISBLANK(dms_E3_Projects_12),"",dms_E3_Projects_12)</f>
        <v/>
      </c>
      <c r="C312" s="640"/>
      <c r="D312" s="641"/>
      <c r="E312" s="642"/>
      <c r="F312" s="643"/>
      <c r="G312" s="643"/>
      <c r="H312" s="643"/>
      <c r="I312" s="644"/>
    </row>
    <row r="313" spans="2:9" ht="15.75" customHeight="1" outlineLevel="2" x14ac:dyDescent="0.25">
      <c r="B313" s="536" t="str">
        <f>IF(ISBLANK(dms_E3_Projects_13),"",dms_E3_Projects_13)</f>
        <v/>
      </c>
      <c r="C313" s="380"/>
      <c r="D313" s="267"/>
      <c r="E313" s="266"/>
      <c r="F313" s="260"/>
      <c r="G313" s="260"/>
      <c r="H313" s="260"/>
      <c r="I313" s="245"/>
    </row>
    <row r="314" spans="2:9" ht="15.75" customHeight="1" outlineLevel="2" x14ac:dyDescent="0.25">
      <c r="B314" s="536" t="str">
        <f>IF(ISBLANK(dms_E3_Projects_14),"",dms_E3_Projects_14)</f>
        <v/>
      </c>
      <c r="C314" s="640"/>
      <c r="D314" s="641"/>
      <c r="E314" s="642"/>
      <c r="F314" s="643"/>
      <c r="G314" s="643"/>
      <c r="H314" s="643"/>
      <c r="I314" s="644"/>
    </row>
    <row r="315" spans="2:9" ht="15.75" customHeight="1" outlineLevel="2" x14ac:dyDescent="0.25">
      <c r="B315" s="536" t="str">
        <f>IF(ISBLANK(dms_E3_Projects_15),"",dms_E3_Projects_15)</f>
        <v/>
      </c>
      <c r="C315" s="380"/>
      <c r="D315" s="267"/>
      <c r="E315" s="266"/>
      <c r="F315" s="260"/>
      <c r="G315" s="260"/>
      <c r="H315" s="260"/>
      <c r="I315" s="245"/>
    </row>
    <row r="316" spans="2:9" ht="15.75" customHeight="1" outlineLevel="2" x14ac:dyDescent="0.25">
      <c r="B316" s="536" t="str">
        <f>IF(ISBLANK(dms_E3_Projects_16),"",dms_E3_Projects_16)</f>
        <v/>
      </c>
      <c r="C316" s="640"/>
      <c r="D316" s="641"/>
      <c r="E316" s="642"/>
      <c r="F316" s="643"/>
      <c r="G316" s="643"/>
      <c r="H316" s="643"/>
      <c r="I316" s="644"/>
    </row>
    <row r="317" spans="2:9" ht="15.75" customHeight="1" outlineLevel="2" x14ac:dyDescent="0.25">
      <c r="B317" s="541" t="str">
        <f>IF(ISBLANK(dms_E3_Projects_17),"",dms_E3_Projects_17)</f>
        <v/>
      </c>
      <c r="C317" s="380"/>
      <c r="D317" s="267"/>
      <c r="E317" s="266"/>
      <c r="F317" s="260"/>
      <c r="G317" s="260"/>
      <c r="H317" s="260"/>
      <c r="I317" s="245"/>
    </row>
    <row r="318" spans="2:9" ht="15.75" customHeight="1" outlineLevel="2" x14ac:dyDescent="0.25">
      <c r="B318" s="541" t="str">
        <f>IF(ISBLANK(dms_E3_Projects_18),"",dms_E3_Projects_18)</f>
        <v/>
      </c>
      <c r="C318" s="640"/>
      <c r="D318" s="641"/>
      <c r="E318" s="642"/>
      <c r="F318" s="643"/>
      <c r="G318" s="643"/>
      <c r="H318" s="643"/>
      <c r="I318" s="644"/>
    </row>
    <row r="319" spans="2:9" ht="15.75" customHeight="1" outlineLevel="2" x14ac:dyDescent="0.25">
      <c r="B319" s="541" t="str">
        <f>IF(ISBLANK(dms_E3_Projects_18),"",dms_E3_Projects_18)</f>
        <v/>
      </c>
      <c r="C319" s="380"/>
      <c r="D319" s="267"/>
      <c r="E319" s="266"/>
      <c r="F319" s="260"/>
      <c r="G319" s="260"/>
      <c r="H319" s="260"/>
      <c r="I319" s="245"/>
    </row>
    <row r="320" spans="2:9" ht="15.75" customHeight="1" outlineLevel="2" x14ac:dyDescent="0.25">
      <c r="B320" s="541" t="str">
        <f>IF(ISBLANK(dms_E3_Projects_19),"",dms_E3_Projects_19)</f>
        <v/>
      </c>
      <c r="C320" s="640"/>
      <c r="D320" s="641"/>
      <c r="E320" s="642"/>
      <c r="F320" s="643"/>
      <c r="G320" s="643"/>
      <c r="H320" s="643"/>
      <c r="I320" s="644"/>
    </row>
    <row r="321" spans="2:9" ht="15.75" customHeight="1" outlineLevel="2" x14ac:dyDescent="0.25">
      <c r="B321" s="541" t="str">
        <f>IF(ISBLANK(dms_E3_Projects_20),"",dms_E3_Projects_20)</f>
        <v/>
      </c>
      <c r="C321" s="380"/>
      <c r="D321" s="267"/>
      <c r="E321" s="266"/>
      <c r="F321" s="260"/>
      <c r="G321" s="260"/>
      <c r="H321" s="260"/>
      <c r="I321" s="245"/>
    </row>
    <row r="322" spans="2:9" ht="15.75" customHeight="1" outlineLevel="2" x14ac:dyDescent="0.25">
      <c r="B322" s="541" t="str">
        <f>IF(ISBLANK(dms_E3_Projects_21),"",dms_E3_Projects_21)</f>
        <v/>
      </c>
      <c r="C322" s="640"/>
      <c r="D322" s="641"/>
      <c r="E322" s="642"/>
      <c r="F322" s="643"/>
      <c r="G322" s="643"/>
      <c r="H322" s="643"/>
      <c r="I322" s="644"/>
    </row>
    <row r="323" spans="2:9" ht="15.75" customHeight="1" outlineLevel="2" x14ac:dyDescent="0.25">
      <c r="B323" s="541" t="str">
        <f>IF(ISBLANK(dms_E3_Projects_22),"",dms_E3_Projects_22)</f>
        <v/>
      </c>
      <c r="C323" s="380"/>
      <c r="D323" s="267"/>
      <c r="E323" s="266"/>
      <c r="F323" s="260"/>
      <c r="G323" s="260"/>
      <c r="H323" s="260"/>
      <c r="I323" s="245"/>
    </row>
    <row r="324" spans="2:9" ht="15.75" customHeight="1" outlineLevel="2" x14ac:dyDescent="0.25">
      <c r="B324" s="541" t="str">
        <f>IF(ISBLANK(dms_E3_Projects_23),"",dms_E3_Projects_23)</f>
        <v/>
      </c>
      <c r="C324" s="640"/>
      <c r="D324" s="641"/>
      <c r="E324" s="642"/>
      <c r="F324" s="643"/>
      <c r="G324" s="643"/>
      <c r="H324" s="643"/>
      <c r="I324" s="644"/>
    </row>
    <row r="325" spans="2:9" ht="15.75" customHeight="1" outlineLevel="2" x14ac:dyDescent="0.25">
      <c r="B325" s="541" t="str">
        <f>IF(ISBLANK(dms_E3_Projects_24),"",dms_E3_Projects_24)</f>
        <v/>
      </c>
      <c r="C325" s="380"/>
      <c r="D325" s="267"/>
      <c r="E325" s="266"/>
      <c r="F325" s="260"/>
      <c r="G325" s="260"/>
      <c r="H325" s="260"/>
      <c r="I325" s="245"/>
    </row>
    <row r="326" spans="2:9" ht="15.75" customHeight="1" outlineLevel="2" x14ac:dyDescent="0.25">
      <c r="B326" s="541" t="str">
        <f>IF(ISBLANK(dms_E3_Projects_25),"",dms_E3_Projects_26)</f>
        <v/>
      </c>
      <c r="C326" s="640"/>
      <c r="D326" s="641"/>
      <c r="E326" s="642"/>
      <c r="F326" s="643"/>
      <c r="G326" s="643"/>
      <c r="H326" s="643"/>
      <c r="I326" s="644"/>
    </row>
    <row r="327" spans="2:9" ht="15.75" customHeight="1" outlineLevel="2" x14ac:dyDescent="0.25">
      <c r="B327" s="541" t="str">
        <f>IF(ISBLANK(dms_E3_Projects_27),"",dms_E3_Projects_27)</f>
        <v/>
      </c>
      <c r="C327" s="380"/>
      <c r="D327" s="267"/>
      <c r="E327" s="266"/>
      <c r="F327" s="260"/>
      <c r="G327" s="260"/>
      <c r="H327" s="260"/>
      <c r="I327" s="245"/>
    </row>
    <row r="328" spans="2:9" ht="15.75" customHeight="1" outlineLevel="2" x14ac:dyDescent="0.25">
      <c r="B328" s="541" t="str">
        <f>IF(ISBLANK(dms_E3_Projects_28),"",dms_E3_Projects_28)</f>
        <v/>
      </c>
      <c r="C328" s="640"/>
      <c r="D328" s="641"/>
      <c r="E328" s="642"/>
      <c r="F328" s="643"/>
      <c r="G328" s="643"/>
      <c r="H328" s="643"/>
      <c r="I328" s="644"/>
    </row>
    <row r="329" spans="2:9" ht="15.75" customHeight="1" outlineLevel="2" x14ac:dyDescent="0.25">
      <c r="B329" s="541" t="str">
        <f>IF(ISBLANK(dms_E3_Projects_29),"",dms_E3_Projects_29)</f>
        <v/>
      </c>
      <c r="C329" s="380"/>
      <c r="D329" s="267"/>
      <c r="E329" s="266"/>
      <c r="F329" s="260"/>
      <c r="G329" s="260"/>
      <c r="H329" s="260"/>
      <c r="I329" s="245"/>
    </row>
    <row r="330" spans="2:9" ht="15.75" customHeight="1" outlineLevel="2" x14ac:dyDescent="0.25">
      <c r="B330" s="541" t="str">
        <f>IF(ISBLANK(dms_E3_Projects_30),"",dms_E3_Projects_30)</f>
        <v/>
      </c>
      <c r="C330" s="640"/>
      <c r="D330" s="641"/>
      <c r="E330" s="642"/>
      <c r="F330" s="643"/>
      <c r="G330" s="643"/>
      <c r="H330" s="643"/>
      <c r="I330" s="644"/>
    </row>
    <row r="331" spans="2:9" ht="15.75" customHeight="1" outlineLevel="2" x14ac:dyDescent="0.25">
      <c r="B331" s="541" t="str">
        <f>IF(ISBLANK(dms_E3_Projects_31),"",dms_E3_Projects_31)</f>
        <v/>
      </c>
      <c r="C331" s="380"/>
      <c r="D331" s="267"/>
      <c r="E331" s="266"/>
      <c r="F331" s="260"/>
      <c r="G331" s="260"/>
      <c r="H331" s="260"/>
      <c r="I331" s="245"/>
    </row>
    <row r="332" spans="2:9" ht="15.75" customHeight="1" outlineLevel="2" x14ac:dyDescent="0.25">
      <c r="B332" s="541" t="str">
        <f>IF(ISBLANK(dms_E3_Projects_32),"",dms_E3_Projects_32)</f>
        <v/>
      </c>
      <c r="C332" s="640"/>
      <c r="D332" s="641"/>
      <c r="E332" s="642"/>
      <c r="F332" s="643"/>
      <c r="G332" s="643"/>
      <c r="H332" s="643"/>
      <c r="I332" s="644"/>
    </row>
    <row r="333" spans="2:9" ht="15.75" customHeight="1" outlineLevel="2" x14ac:dyDescent="0.25">
      <c r="B333" s="541" t="str">
        <f>IF(ISBLANK(dms_E3_Projects_33),"",dms_E3_Projects_33)</f>
        <v/>
      </c>
      <c r="C333" s="380"/>
      <c r="D333" s="267"/>
      <c r="E333" s="266"/>
      <c r="F333" s="260"/>
      <c r="G333" s="260"/>
      <c r="H333" s="260"/>
      <c r="I333" s="245"/>
    </row>
    <row r="334" spans="2:9" ht="15.75" customHeight="1" outlineLevel="2" x14ac:dyDescent="0.25">
      <c r="B334" s="541" t="str">
        <f>IF(ISBLANK(dms_E3_Projects_34),"",dms_E3_Projects_34)</f>
        <v/>
      </c>
      <c r="C334" s="640"/>
      <c r="D334" s="641"/>
      <c r="E334" s="642"/>
      <c r="F334" s="643"/>
      <c r="G334" s="643"/>
      <c r="H334" s="643"/>
      <c r="I334" s="644"/>
    </row>
    <row r="335" spans="2:9" ht="15.75" customHeight="1" outlineLevel="2" x14ac:dyDescent="0.25">
      <c r="B335" s="541" t="str">
        <f>IF(ISBLANK(dms_E3_Projects_35),"",dms_E3_Projects_35)</f>
        <v/>
      </c>
      <c r="C335" s="380"/>
      <c r="D335" s="267"/>
      <c r="E335" s="266"/>
      <c r="F335" s="260"/>
      <c r="G335" s="260"/>
      <c r="H335" s="260"/>
      <c r="I335" s="245"/>
    </row>
    <row r="336" spans="2:9" ht="15.75" customHeight="1" outlineLevel="2" x14ac:dyDescent="0.25">
      <c r="B336" s="541" t="str">
        <f>IF(ISBLANK(dms_E3_Projects_36),"",dms_E3_Projects_36)</f>
        <v/>
      </c>
      <c r="C336" s="640"/>
      <c r="D336" s="641"/>
      <c r="E336" s="642"/>
      <c r="F336" s="643"/>
      <c r="G336" s="643"/>
      <c r="H336" s="643"/>
      <c r="I336" s="644"/>
    </row>
    <row r="337" spans="2:9" ht="15.75" customHeight="1" outlineLevel="2" x14ac:dyDescent="0.25">
      <c r="B337" s="541" t="str">
        <f>IF(ISBLANK(dms_E3_Projects_37),"",dms_E3_Projects_37)</f>
        <v/>
      </c>
      <c r="C337" s="380"/>
      <c r="D337" s="267"/>
      <c r="E337" s="266"/>
      <c r="F337" s="260"/>
      <c r="G337" s="260"/>
      <c r="H337" s="260"/>
      <c r="I337" s="245"/>
    </row>
    <row r="338" spans="2:9" ht="15.75" customHeight="1" outlineLevel="2" x14ac:dyDescent="0.25">
      <c r="B338" s="541" t="str">
        <f>IF(ISBLANK(dms_E3_Projects_38),"",dms_E3_Projects_38)</f>
        <v/>
      </c>
      <c r="C338" s="640"/>
      <c r="D338" s="641"/>
      <c r="E338" s="642"/>
      <c r="F338" s="643"/>
      <c r="G338" s="643"/>
      <c r="H338" s="643"/>
      <c r="I338" s="644"/>
    </row>
    <row r="339" spans="2:9" ht="15.75" customHeight="1" outlineLevel="2" x14ac:dyDescent="0.25">
      <c r="B339" s="541" t="str">
        <f>IF(ISBLANK(dms_E3_Projects_39),"",dms_E3_Projects_39)</f>
        <v/>
      </c>
      <c r="C339" s="380"/>
      <c r="D339" s="267"/>
      <c r="E339" s="266"/>
      <c r="F339" s="260"/>
      <c r="G339" s="260"/>
      <c r="H339" s="260"/>
      <c r="I339" s="245"/>
    </row>
    <row r="340" spans="2:9" ht="15.75" customHeight="1" outlineLevel="2" x14ac:dyDescent="0.25">
      <c r="B340" s="541" t="str">
        <f>IF(ISBLANK(dms_E3_Projects_40),"",dms_E3_Projects_40)</f>
        <v/>
      </c>
      <c r="C340" s="640"/>
      <c r="D340" s="641"/>
      <c r="E340" s="642"/>
      <c r="F340" s="643"/>
      <c r="G340" s="643"/>
      <c r="H340" s="643"/>
      <c r="I340" s="644"/>
    </row>
    <row r="341" spans="2:9" ht="15.75" customHeight="1" outlineLevel="2" x14ac:dyDescent="0.25">
      <c r="B341" s="541" t="str">
        <f>IF(ISBLANK(dms_E3_Projects_41),"",dms_E3_Projects_41)</f>
        <v/>
      </c>
      <c r="C341" s="380"/>
      <c r="D341" s="267"/>
      <c r="E341" s="266"/>
      <c r="F341" s="260"/>
      <c r="G341" s="260"/>
      <c r="H341" s="260"/>
      <c r="I341" s="245"/>
    </row>
    <row r="342" spans="2:9" ht="15.75" customHeight="1" outlineLevel="2" x14ac:dyDescent="0.25">
      <c r="B342" s="541" t="str">
        <f>IF(ISBLANK(dms_E3_Projects_42),"",dms_E3_Projects_42)</f>
        <v/>
      </c>
      <c r="C342" s="640"/>
      <c r="D342" s="641"/>
      <c r="E342" s="642"/>
      <c r="F342" s="643"/>
      <c r="G342" s="643"/>
      <c r="H342" s="643"/>
      <c r="I342" s="644"/>
    </row>
    <row r="343" spans="2:9" ht="15.75" customHeight="1" outlineLevel="2" x14ac:dyDescent="0.25">
      <c r="B343" s="541" t="str">
        <f>IF(ISBLANK(dms_E3_Projects_43),"",dms_E3_Projects_43)</f>
        <v/>
      </c>
      <c r="C343" s="380"/>
      <c r="D343" s="267"/>
      <c r="E343" s="266"/>
      <c r="F343" s="260"/>
      <c r="G343" s="260"/>
      <c r="H343" s="260"/>
      <c r="I343" s="245"/>
    </row>
    <row r="344" spans="2:9" ht="15.75" customHeight="1" outlineLevel="2" x14ac:dyDescent="0.25">
      <c r="B344" s="541" t="str">
        <f>IF(ISBLANK(dms_E3_Projects_44),"",dms_E3_Projects_44)</f>
        <v/>
      </c>
      <c r="C344" s="640"/>
      <c r="D344" s="641"/>
      <c r="E344" s="642"/>
      <c r="F344" s="643"/>
      <c r="G344" s="643"/>
      <c r="H344" s="643"/>
      <c r="I344" s="644"/>
    </row>
    <row r="345" spans="2:9" ht="15.75" customHeight="1" outlineLevel="2" x14ac:dyDescent="0.25">
      <c r="B345" s="541" t="str">
        <f>IF(ISBLANK(dms_E3_Projects_45),"",dms_E3_Projects_45)</f>
        <v/>
      </c>
      <c r="C345" s="380"/>
      <c r="D345" s="267"/>
      <c r="E345" s="266"/>
      <c r="F345" s="260"/>
      <c r="G345" s="260"/>
      <c r="H345" s="260"/>
      <c r="I345" s="245"/>
    </row>
    <row r="346" spans="2:9" ht="15.75" customHeight="1" outlineLevel="2" x14ac:dyDescent="0.25">
      <c r="B346" s="541" t="str">
        <f>IF(ISBLANK(dms_E3_Projects_46),"",dms_E3_Projects_46)</f>
        <v/>
      </c>
      <c r="C346" s="640"/>
      <c r="D346" s="641"/>
      <c r="E346" s="642"/>
      <c r="F346" s="643"/>
      <c r="G346" s="643"/>
      <c r="H346" s="643"/>
      <c r="I346" s="644"/>
    </row>
    <row r="347" spans="2:9" ht="15.75" customHeight="1" outlineLevel="2" x14ac:dyDescent="0.25">
      <c r="B347" s="541" t="str">
        <f>IF(ISBLANK(dms_E3_Projects_47),"",dms_E3_Projects_47)</f>
        <v/>
      </c>
      <c r="C347" s="380"/>
      <c r="D347" s="267"/>
      <c r="E347" s="266"/>
      <c r="F347" s="260"/>
      <c r="G347" s="260"/>
      <c r="H347" s="260"/>
      <c r="I347" s="245"/>
    </row>
    <row r="348" spans="2:9" ht="15.75" customHeight="1" outlineLevel="2" x14ac:dyDescent="0.25">
      <c r="B348" s="541" t="str">
        <f>IF(ISBLANK(dms_E3_Projects_48),"",dms_E3_Projects_48)</f>
        <v/>
      </c>
      <c r="C348" s="640"/>
      <c r="D348" s="641"/>
      <c r="E348" s="642"/>
      <c r="F348" s="643"/>
      <c r="G348" s="643"/>
      <c r="H348" s="643"/>
      <c r="I348" s="644"/>
    </row>
    <row r="349" spans="2:9" ht="15.75" customHeight="1" outlineLevel="2" x14ac:dyDescent="0.25">
      <c r="B349" s="541" t="str">
        <f>IF(ISBLANK(dms_E3_Projects_49),"",dms_E3_Projects_49)</f>
        <v/>
      </c>
      <c r="C349" s="380"/>
      <c r="D349" s="267"/>
      <c r="E349" s="266"/>
      <c r="F349" s="260"/>
      <c r="G349" s="260"/>
      <c r="H349" s="260"/>
      <c r="I349" s="245"/>
    </row>
    <row r="350" spans="2:9" ht="15.75" customHeight="1" outlineLevel="2" x14ac:dyDescent="0.25">
      <c r="B350" s="541" t="str">
        <f>IF(ISBLANK(dms_E3_Projects_50),"",dms_E3_Projects_50)</f>
        <v/>
      </c>
      <c r="C350" s="640"/>
      <c r="D350" s="641"/>
      <c r="E350" s="642"/>
      <c r="F350" s="643"/>
      <c r="G350" s="643"/>
      <c r="H350" s="643"/>
      <c r="I350" s="644"/>
    </row>
    <row r="351" spans="2:9" ht="15.75" customHeight="1" outlineLevel="2" thickBot="1" x14ac:dyDescent="0.3">
      <c r="B351" s="646" t="s">
        <v>152</v>
      </c>
      <c r="C351" s="381"/>
      <c r="D351" s="269"/>
      <c r="E351" s="268"/>
      <c r="F351" s="262"/>
      <c r="G351" s="262"/>
      <c r="H351" s="262"/>
      <c r="I351" s="494"/>
    </row>
    <row r="352" spans="2:9" ht="15.75" customHeight="1" outlineLevel="2" thickBot="1" x14ac:dyDescent="0.3">
      <c r="B352" s="544" t="s">
        <v>120</v>
      </c>
      <c r="C352" s="545">
        <f>SUM(C301:C351)</f>
        <v>0</v>
      </c>
      <c r="D352" s="545">
        <f t="shared" ref="D352" si="5">SUM(D301:D351)</f>
        <v>0</v>
      </c>
      <c r="E352" s="545">
        <f t="shared" ref="E352" si="6">SUM(E301:E351)</f>
        <v>0</v>
      </c>
      <c r="F352" s="545">
        <f t="shared" ref="F352" si="7">SUM(F301:F351)</f>
        <v>0</v>
      </c>
      <c r="G352" s="545">
        <f t="shared" ref="G352" si="8">SUM(G301:G351)</f>
        <v>0</v>
      </c>
      <c r="H352" s="545">
        <f t="shared" ref="H352" si="9">SUM(H301:H351)</f>
        <v>0</v>
      </c>
      <c r="I352" s="546">
        <f t="shared" ref="I352" si="10">SUM(I301:I351)</f>
        <v>0</v>
      </c>
    </row>
    <row r="353" spans="1:9" ht="15.75" customHeight="1" outlineLevel="1" x14ac:dyDescent="0.25">
      <c r="B353" s="75"/>
    </row>
    <row r="354" spans="1:9" ht="15.75" customHeight="1" x14ac:dyDescent="0.25">
      <c r="B354" s="75"/>
    </row>
    <row r="355" spans="1:9" ht="15.75" thickBot="1" x14ac:dyDescent="0.3">
      <c r="B355" s="75"/>
    </row>
    <row r="356" spans="1:9" s="317" customFormat="1" ht="24" customHeight="1" thickBot="1" x14ac:dyDescent="0.25">
      <c r="B356" s="32" t="s">
        <v>165</v>
      </c>
      <c r="C356" s="32"/>
      <c r="D356" s="32"/>
      <c r="E356" s="32"/>
      <c r="F356" s="32"/>
      <c r="G356" s="32"/>
      <c r="H356" s="32"/>
      <c r="I356" s="32"/>
    </row>
    <row r="357" spans="1:9" ht="27" customHeight="1" outlineLevel="1" thickBot="1" x14ac:dyDescent="0.3">
      <c r="B357" s="250" t="s">
        <v>166</v>
      </c>
      <c r="C357" s="251"/>
      <c r="D357" s="251"/>
      <c r="E357" s="251"/>
      <c r="F357" s="251"/>
      <c r="G357" s="251"/>
      <c r="H357" s="251"/>
      <c r="I357" s="251"/>
    </row>
    <row r="358" spans="1:9" s="42" customFormat="1" outlineLevel="2" x14ac:dyDescent="0.25">
      <c r="A358" s="291"/>
      <c r="B358"/>
      <c r="C358" s="1382" t="s">
        <v>149</v>
      </c>
      <c r="D358" s="1383"/>
      <c r="E358" s="1383"/>
      <c r="F358" s="1383"/>
      <c r="G358" s="1383"/>
      <c r="H358" s="1383"/>
      <c r="I358" s="1384"/>
    </row>
    <row r="359" spans="1:9" s="42" customFormat="1" outlineLevel="2" x14ac:dyDescent="0.25">
      <c r="A359" s="291"/>
      <c r="B359"/>
      <c r="C359" s="1375" t="s">
        <v>150</v>
      </c>
      <c r="D359" s="1376"/>
      <c r="E359" s="1376"/>
      <c r="F359" s="1376"/>
      <c r="G359" s="1376"/>
      <c r="H359" s="1376"/>
      <c r="I359" s="1377"/>
    </row>
    <row r="360" spans="1:9" s="42" customFormat="1" ht="15.75" outlineLevel="2" thickBot="1" x14ac:dyDescent="0.3">
      <c r="A360" s="291"/>
      <c r="B360" s="78"/>
      <c r="C360" s="405" t="str">
        <f ca="1">dms_y1</f>
        <v>2024-25</v>
      </c>
      <c r="D360" s="306" t="str">
        <f ca="1">dms_y2</f>
        <v>2025-26</v>
      </c>
      <c r="E360" s="305" t="str">
        <f ca="1">dms_y3</f>
        <v>2026-27</v>
      </c>
      <c r="F360" s="305" t="str">
        <f ca="1">dms_y4</f>
        <v>2027-28</v>
      </c>
      <c r="G360" s="305" t="str">
        <f ca="1">dms_y5</f>
        <v>2028-29</v>
      </c>
      <c r="H360" s="305" t="str">
        <f ca="1">dms_y6</f>
        <v>2029-30</v>
      </c>
      <c r="I360" s="406" t="str">
        <f ca="1">dms_y7</f>
        <v>2030-31</v>
      </c>
    </row>
    <row r="361" spans="1:9" ht="15.75" customHeight="1" outlineLevel="2" x14ac:dyDescent="0.25">
      <c r="B361" s="536" t="str">
        <f>IF(ISBLANK(dms_E3_Projects_01),"",dms_E3_Projects_01)</f>
        <v>Northern Corridor - Angle Vale</v>
      </c>
      <c r="C361" s="366"/>
      <c r="D361" s="265"/>
      <c r="E361" s="264"/>
      <c r="F361" s="257">
        <v>4000</v>
      </c>
      <c r="G361" s="257"/>
      <c r="H361" s="257"/>
      <c r="I361" s="258"/>
    </row>
    <row r="362" spans="1:9" ht="15.75" customHeight="1" outlineLevel="2" x14ac:dyDescent="0.25">
      <c r="B362" s="536" t="str">
        <f>IF(ISBLANK(dms_E3_Projects_02),"",dms_E3_Projects_02)</f>
        <v>Southern Corridor - Seaford Aldinga</v>
      </c>
      <c r="C362" s="640"/>
      <c r="D362" s="641"/>
      <c r="E362" s="642"/>
      <c r="F362" s="643"/>
      <c r="G362" s="643"/>
      <c r="H362" s="643">
        <v>1500</v>
      </c>
      <c r="I362" s="644"/>
    </row>
    <row r="363" spans="1:9" ht="15.75" customHeight="1" outlineLevel="2" x14ac:dyDescent="0.25">
      <c r="B363" s="536" t="str">
        <f>IF(ISBLANK(dms_E3_Projects_03),"",dms_E3_Projects_03)</f>
        <v>Northern Metro HP Main and Gawler Gate Station</v>
      </c>
      <c r="C363" s="380">
        <v>1600</v>
      </c>
      <c r="D363" s="267"/>
      <c r="E363" s="266"/>
      <c r="F363" s="260"/>
      <c r="G363" s="260"/>
      <c r="H363" s="260"/>
      <c r="I363" s="245"/>
    </row>
    <row r="364" spans="1:9" ht="15.75" customHeight="1" outlineLevel="2" x14ac:dyDescent="0.25">
      <c r="B364" s="536" t="str">
        <f>IF(ISBLANK(dms_E3_Projects_04),"",dms_E3_Projects_04)</f>
        <v/>
      </c>
      <c r="C364" s="640"/>
      <c r="D364" s="641"/>
      <c r="E364" s="642"/>
      <c r="F364" s="643"/>
      <c r="G364" s="643"/>
      <c r="H364" s="643"/>
      <c r="I364" s="644"/>
    </row>
    <row r="365" spans="1:9" ht="15.75" customHeight="1" outlineLevel="2" x14ac:dyDescent="0.25">
      <c r="B365" s="536" t="str">
        <f>IF(ISBLANK(dms_E3_Projects_05),"",dms_E3_Projects_05)</f>
        <v/>
      </c>
      <c r="C365" s="380"/>
      <c r="D365" s="267"/>
      <c r="E365" s="266"/>
      <c r="F365" s="260"/>
      <c r="G365" s="260"/>
      <c r="H365" s="260"/>
      <c r="I365" s="245"/>
    </row>
    <row r="366" spans="1:9" ht="15.75" customHeight="1" outlineLevel="2" x14ac:dyDescent="0.25">
      <c r="B366" s="536" t="str">
        <f>IF(ISBLANK(dms_E3_Projects_06),"",dms_E3_Projects_06)</f>
        <v/>
      </c>
      <c r="C366" s="640"/>
      <c r="D366" s="641"/>
      <c r="E366" s="642"/>
      <c r="F366" s="643"/>
      <c r="G366" s="643"/>
      <c r="H366" s="643"/>
      <c r="I366" s="644"/>
    </row>
    <row r="367" spans="1:9" ht="15.75" customHeight="1" outlineLevel="2" x14ac:dyDescent="0.25">
      <c r="B367" s="536" t="str">
        <f>IF(ISBLANK(dms_E3_Projects_07),"",dms_E3_Projects_07)</f>
        <v/>
      </c>
      <c r="C367" s="380"/>
      <c r="D367" s="267"/>
      <c r="E367" s="266"/>
      <c r="F367" s="260"/>
      <c r="G367" s="260"/>
      <c r="H367" s="260"/>
      <c r="I367" s="245"/>
    </row>
    <row r="368" spans="1:9" ht="15.75" customHeight="1" outlineLevel="2" x14ac:dyDescent="0.25">
      <c r="B368" s="536" t="str">
        <f>IF(ISBLANK(dms_E3_Projects_08),"",dms_E3_Projects_08)</f>
        <v/>
      </c>
      <c r="C368" s="640"/>
      <c r="D368" s="641"/>
      <c r="E368" s="642"/>
      <c r="F368" s="643"/>
      <c r="G368" s="643"/>
      <c r="H368" s="643"/>
      <c r="I368" s="644"/>
    </row>
    <row r="369" spans="2:9" ht="15.75" customHeight="1" outlineLevel="2" x14ac:dyDescent="0.25">
      <c r="B369" s="536" t="str">
        <f>IF(ISBLANK(dms_E3_Projects_09),"",dms_E3_Projects_09)</f>
        <v/>
      </c>
      <c r="C369" s="380"/>
      <c r="D369" s="267"/>
      <c r="E369" s="266"/>
      <c r="F369" s="260"/>
      <c r="G369" s="260"/>
      <c r="H369" s="260"/>
      <c r="I369" s="245"/>
    </row>
    <row r="370" spans="2:9" ht="15.75" customHeight="1" outlineLevel="2" x14ac:dyDescent="0.25">
      <c r="B370" s="536" t="str">
        <f>IF(ISBLANK(dms_E3_Projects_10),"",dms_E3_Projects_10)</f>
        <v/>
      </c>
      <c r="C370" s="640"/>
      <c r="D370" s="641"/>
      <c r="E370" s="642"/>
      <c r="F370" s="643"/>
      <c r="G370" s="643"/>
      <c r="H370" s="643"/>
      <c r="I370" s="644"/>
    </row>
    <row r="371" spans="2:9" ht="15.75" customHeight="1" outlineLevel="2" x14ac:dyDescent="0.25">
      <c r="B371" s="536" t="str">
        <f>IF(ISBLANK(dms_E3_Projects_11),"",dms_E3_Projects_11)</f>
        <v/>
      </c>
      <c r="C371" s="380"/>
      <c r="D371" s="267"/>
      <c r="E371" s="266"/>
      <c r="F371" s="260"/>
      <c r="G371" s="260"/>
      <c r="H371" s="260"/>
      <c r="I371" s="245"/>
    </row>
    <row r="372" spans="2:9" ht="15.75" customHeight="1" outlineLevel="2" x14ac:dyDescent="0.25">
      <c r="B372" s="536" t="str">
        <f>IF(ISBLANK(dms_E3_Projects_12),"",dms_E3_Projects_12)</f>
        <v/>
      </c>
      <c r="C372" s="640"/>
      <c r="D372" s="641"/>
      <c r="E372" s="642"/>
      <c r="F372" s="643"/>
      <c r="G372" s="643"/>
      <c r="H372" s="643"/>
      <c r="I372" s="644"/>
    </row>
    <row r="373" spans="2:9" ht="15.75" customHeight="1" outlineLevel="2" x14ac:dyDescent="0.25">
      <c r="B373" s="536" t="str">
        <f>IF(ISBLANK(dms_E3_Projects_13),"",dms_E3_Projects_13)</f>
        <v/>
      </c>
      <c r="C373" s="380"/>
      <c r="D373" s="267"/>
      <c r="E373" s="266"/>
      <c r="F373" s="260"/>
      <c r="G373" s="260"/>
      <c r="H373" s="260"/>
      <c r="I373" s="245"/>
    </row>
    <row r="374" spans="2:9" ht="15.75" customHeight="1" outlineLevel="2" x14ac:dyDescent="0.25">
      <c r="B374" s="536" t="str">
        <f>IF(ISBLANK(dms_E3_Projects_14),"",dms_E3_Projects_14)</f>
        <v/>
      </c>
      <c r="C374" s="640"/>
      <c r="D374" s="641"/>
      <c r="E374" s="642"/>
      <c r="F374" s="643"/>
      <c r="G374" s="643"/>
      <c r="H374" s="643"/>
      <c r="I374" s="644"/>
    </row>
    <row r="375" spans="2:9" ht="15.75" customHeight="1" outlineLevel="2" x14ac:dyDescent="0.25">
      <c r="B375" s="536" t="str">
        <f>IF(ISBLANK(dms_E3_Projects_15),"",dms_E3_Projects_15)</f>
        <v/>
      </c>
      <c r="C375" s="380"/>
      <c r="D375" s="267"/>
      <c r="E375" s="266"/>
      <c r="F375" s="260"/>
      <c r="G375" s="260"/>
      <c r="H375" s="260"/>
      <c r="I375" s="245"/>
    </row>
    <row r="376" spans="2:9" ht="15.75" customHeight="1" outlineLevel="2" x14ac:dyDescent="0.25">
      <c r="B376" s="536" t="str">
        <f>IF(ISBLANK(dms_E3_Projects_16),"",dms_E3_Projects_16)</f>
        <v/>
      </c>
      <c r="C376" s="640"/>
      <c r="D376" s="641"/>
      <c r="E376" s="642"/>
      <c r="F376" s="643"/>
      <c r="G376" s="643"/>
      <c r="H376" s="643"/>
      <c r="I376" s="644"/>
    </row>
    <row r="377" spans="2:9" ht="15.75" customHeight="1" outlineLevel="2" x14ac:dyDescent="0.25">
      <c r="B377" s="541" t="str">
        <f>IF(ISBLANK(dms_E3_Projects_17),"",dms_E3_Projects_17)</f>
        <v/>
      </c>
      <c r="C377" s="380"/>
      <c r="D377" s="267"/>
      <c r="E377" s="266"/>
      <c r="F377" s="260"/>
      <c r="G377" s="260"/>
      <c r="H377" s="260"/>
      <c r="I377" s="245"/>
    </row>
    <row r="378" spans="2:9" ht="15.75" customHeight="1" outlineLevel="2" x14ac:dyDescent="0.25">
      <c r="B378" s="541" t="str">
        <f>IF(ISBLANK(dms_E3_Projects_18),"",dms_E3_Projects_18)</f>
        <v/>
      </c>
      <c r="C378" s="640"/>
      <c r="D378" s="641"/>
      <c r="E378" s="642"/>
      <c r="F378" s="643"/>
      <c r="G378" s="643"/>
      <c r="H378" s="643"/>
      <c r="I378" s="644"/>
    </row>
    <row r="379" spans="2:9" ht="15.75" customHeight="1" outlineLevel="2" x14ac:dyDescent="0.25">
      <c r="B379" s="541" t="str">
        <f>IF(ISBLANK(dms_E3_Projects_18),"",dms_E3_Projects_18)</f>
        <v/>
      </c>
      <c r="C379" s="380"/>
      <c r="D379" s="267"/>
      <c r="E379" s="266"/>
      <c r="F379" s="260"/>
      <c r="G379" s="260"/>
      <c r="H379" s="260"/>
      <c r="I379" s="245"/>
    </row>
    <row r="380" spans="2:9" ht="15.75" customHeight="1" outlineLevel="2" x14ac:dyDescent="0.25">
      <c r="B380" s="541" t="str">
        <f>IF(ISBLANK(dms_E3_Projects_19),"",dms_E3_Projects_19)</f>
        <v/>
      </c>
      <c r="C380" s="640"/>
      <c r="D380" s="641"/>
      <c r="E380" s="642"/>
      <c r="F380" s="643"/>
      <c r="G380" s="643"/>
      <c r="H380" s="643"/>
      <c r="I380" s="644"/>
    </row>
    <row r="381" spans="2:9" ht="15.75" customHeight="1" outlineLevel="2" x14ac:dyDescent="0.25">
      <c r="B381" s="541" t="str">
        <f>IF(ISBLANK(dms_E3_Projects_20),"",dms_E3_Projects_20)</f>
        <v/>
      </c>
      <c r="C381" s="380"/>
      <c r="D381" s="267"/>
      <c r="E381" s="266"/>
      <c r="F381" s="260"/>
      <c r="G381" s="260"/>
      <c r="H381" s="260"/>
      <c r="I381" s="245"/>
    </row>
    <row r="382" spans="2:9" ht="15.75" customHeight="1" outlineLevel="2" x14ac:dyDescent="0.25">
      <c r="B382" s="541" t="str">
        <f>IF(ISBLANK(dms_E3_Projects_21),"",dms_E3_Projects_21)</f>
        <v/>
      </c>
      <c r="C382" s="640"/>
      <c r="D382" s="641"/>
      <c r="E382" s="642"/>
      <c r="F382" s="643"/>
      <c r="G382" s="643"/>
      <c r="H382" s="643"/>
      <c r="I382" s="644"/>
    </row>
    <row r="383" spans="2:9" ht="15.75" customHeight="1" outlineLevel="2" x14ac:dyDescent="0.25">
      <c r="B383" s="541" t="str">
        <f>IF(ISBLANK(dms_E3_Projects_22),"",dms_E3_Projects_22)</f>
        <v/>
      </c>
      <c r="C383" s="380"/>
      <c r="D383" s="267"/>
      <c r="E383" s="266"/>
      <c r="F383" s="260"/>
      <c r="G383" s="260"/>
      <c r="H383" s="260"/>
      <c r="I383" s="245"/>
    </row>
    <row r="384" spans="2:9" ht="15.75" customHeight="1" outlineLevel="2" x14ac:dyDescent="0.25">
      <c r="B384" s="541" t="str">
        <f>IF(ISBLANK(dms_E3_Projects_23),"",dms_E3_Projects_23)</f>
        <v/>
      </c>
      <c r="C384" s="640"/>
      <c r="D384" s="641"/>
      <c r="E384" s="642"/>
      <c r="F384" s="643"/>
      <c r="G384" s="643"/>
      <c r="H384" s="643"/>
      <c r="I384" s="644"/>
    </row>
    <row r="385" spans="2:9" ht="15.75" customHeight="1" outlineLevel="2" x14ac:dyDescent="0.25">
      <c r="B385" s="541" t="str">
        <f>IF(ISBLANK(dms_E3_Projects_24),"",dms_E3_Projects_24)</f>
        <v/>
      </c>
      <c r="C385" s="380"/>
      <c r="D385" s="267"/>
      <c r="E385" s="266"/>
      <c r="F385" s="260"/>
      <c r="G385" s="260"/>
      <c r="H385" s="260"/>
      <c r="I385" s="245"/>
    </row>
    <row r="386" spans="2:9" ht="15.75" customHeight="1" outlineLevel="2" x14ac:dyDescent="0.25">
      <c r="B386" s="541" t="str">
        <f>IF(ISBLANK(dms_E3_Projects_25),"",dms_E3_Projects_26)</f>
        <v/>
      </c>
      <c r="C386" s="640"/>
      <c r="D386" s="641"/>
      <c r="E386" s="642"/>
      <c r="F386" s="643"/>
      <c r="G386" s="643"/>
      <c r="H386" s="643"/>
      <c r="I386" s="644"/>
    </row>
    <row r="387" spans="2:9" ht="15.75" customHeight="1" outlineLevel="2" x14ac:dyDescent="0.25">
      <c r="B387" s="541" t="str">
        <f>IF(ISBLANK(dms_E3_Projects_27),"",dms_E3_Projects_27)</f>
        <v/>
      </c>
      <c r="C387" s="380"/>
      <c r="D387" s="267"/>
      <c r="E387" s="266"/>
      <c r="F387" s="260"/>
      <c r="G387" s="260"/>
      <c r="H387" s="260"/>
      <c r="I387" s="245"/>
    </row>
    <row r="388" spans="2:9" ht="15.75" customHeight="1" outlineLevel="2" x14ac:dyDescent="0.25">
      <c r="B388" s="541" t="str">
        <f>IF(ISBLANK(dms_E3_Projects_28),"",dms_E3_Projects_28)</f>
        <v/>
      </c>
      <c r="C388" s="640"/>
      <c r="D388" s="641"/>
      <c r="E388" s="642"/>
      <c r="F388" s="643"/>
      <c r="G388" s="643"/>
      <c r="H388" s="643"/>
      <c r="I388" s="644"/>
    </row>
    <row r="389" spans="2:9" ht="15.75" customHeight="1" outlineLevel="2" x14ac:dyDescent="0.25">
      <c r="B389" s="541" t="str">
        <f>IF(ISBLANK(dms_E3_Projects_29),"",dms_E3_Projects_29)</f>
        <v/>
      </c>
      <c r="C389" s="380"/>
      <c r="D389" s="267"/>
      <c r="E389" s="266"/>
      <c r="F389" s="260"/>
      <c r="G389" s="260"/>
      <c r="H389" s="260"/>
      <c r="I389" s="245"/>
    </row>
    <row r="390" spans="2:9" ht="15.75" customHeight="1" outlineLevel="2" x14ac:dyDescent="0.25">
      <c r="B390" s="541" t="str">
        <f>IF(ISBLANK(dms_E3_Projects_30),"",dms_E3_Projects_30)</f>
        <v/>
      </c>
      <c r="C390" s="640"/>
      <c r="D390" s="641"/>
      <c r="E390" s="642"/>
      <c r="F390" s="643"/>
      <c r="G390" s="643"/>
      <c r="H390" s="643"/>
      <c r="I390" s="644"/>
    </row>
    <row r="391" spans="2:9" ht="15.75" customHeight="1" outlineLevel="2" x14ac:dyDescent="0.25">
      <c r="B391" s="541" t="str">
        <f>IF(ISBLANK(dms_E3_Projects_31),"",dms_E3_Projects_31)</f>
        <v/>
      </c>
      <c r="C391" s="380"/>
      <c r="D391" s="267"/>
      <c r="E391" s="266"/>
      <c r="F391" s="260"/>
      <c r="G391" s="260"/>
      <c r="H391" s="260"/>
      <c r="I391" s="245"/>
    </row>
    <row r="392" spans="2:9" ht="15.75" customHeight="1" outlineLevel="2" x14ac:dyDescent="0.25">
      <c r="B392" s="541" t="str">
        <f>IF(ISBLANK(dms_E3_Projects_32),"",dms_E3_Projects_32)</f>
        <v/>
      </c>
      <c r="C392" s="640"/>
      <c r="D392" s="641"/>
      <c r="E392" s="642"/>
      <c r="F392" s="643"/>
      <c r="G392" s="643"/>
      <c r="H392" s="643"/>
      <c r="I392" s="644"/>
    </row>
    <row r="393" spans="2:9" ht="15.75" customHeight="1" outlineLevel="2" x14ac:dyDescent="0.25">
      <c r="B393" s="541" t="str">
        <f>IF(ISBLANK(dms_E3_Projects_33),"",dms_E3_Projects_33)</f>
        <v/>
      </c>
      <c r="C393" s="380"/>
      <c r="D393" s="267"/>
      <c r="E393" s="266"/>
      <c r="F393" s="260"/>
      <c r="G393" s="260"/>
      <c r="H393" s="260"/>
      <c r="I393" s="245"/>
    </row>
    <row r="394" spans="2:9" ht="15.75" customHeight="1" outlineLevel="2" x14ac:dyDescent="0.25">
      <c r="B394" s="541" t="str">
        <f>IF(ISBLANK(dms_E3_Projects_34),"",dms_E3_Projects_34)</f>
        <v/>
      </c>
      <c r="C394" s="640"/>
      <c r="D394" s="641"/>
      <c r="E394" s="642"/>
      <c r="F394" s="643"/>
      <c r="G394" s="643"/>
      <c r="H394" s="643"/>
      <c r="I394" s="644"/>
    </row>
    <row r="395" spans="2:9" ht="15.75" customHeight="1" outlineLevel="2" x14ac:dyDescent="0.25">
      <c r="B395" s="541" t="str">
        <f>IF(ISBLANK(dms_E3_Projects_35),"",dms_E3_Projects_35)</f>
        <v/>
      </c>
      <c r="C395" s="380"/>
      <c r="D395" s="267"/>
      <c r="E395" s="266"/>
      <c r="F395" s="260"/>
      <c r="G395" s="260"/>
      <c r="H395" s="260"/>
      <c r="I395" s="245"/>
    </row>
    <row r="396" spans="2:9" ht="15.75" customHeight="1" outlineLevel="2" x14ac:dyDescent="0.25">
      <c r="B396" s="541" t="str">
        <f>IF(ISBLANK(dms_E3_Projects_36),"",dms_E3_Projects_36)</f>
        <v/>
      </c>
      <c r="C396" s="640"/>
      <c r="D396" s="641"/>
      <c r="E396" s="642"/>
      <c r="F396" s="643"/>
      <c r="G396" s="643"/>
      <c r="H396" s="643"/>
      <c r="I396" s="644"/>
    </row>
    <row r="397" spans="2:9" ht="15.75" customHeight="1" outlineLevel="2" x14ac:dyDescent="0.25">
      <c r="B397" s="541" t="str">
        <f>IF(ISBLANK(dms_E3_Projects_37),"",dms_E3_Projects_37)</f>
        <v/>
      </c>
      <c r="C397" s="380"/>
      <c r="D397" s="267"/>
      <c r="E397" s="266"/>
      <c r="F397" s="260"/>
      <c r="G397" s="260"/>
      <c r="H397" s="260"/>
      <c r="I397" s="245"/>
    </row>
    <row r="398" spans="2:9" ht="15.75" customHeight="1" outlineLevel="2" x14ac:dyDescent="0.25">
      <c r="B398" s="541" t="str">
        <f>IF(ISBLANK(dms_E3_Projects_38),"",dms_E3_Projects_38)</f>
        <v/>
      </c>
      <c r="C398" s="640"/>
      <c r="D398" s="641"/>
      <c r="E398" s="642"/>
      <c r="F398" s="643"/>
      <c r="G398" s="643"/>
      <c r="H398" s="643"/>
      <c r="I398" s="644"/>
    </row>
    <row r="399" spans="2:9" ht="15.75" customHeight="1" outlineLevel="2" x14ac:dyDescent="0.25">
      <c r="B399" s="541" t="str">
        <f>IF(ISBLANK(dms_E3_Projects_39),"",dms_E3_Projects_39)</f>
        <v/>
      </c>
      <c r="C399" s="380"/>
      <c r="D399" s="267"/>
      <c r="E399" s="266"/>
      <c r="F399" s="260"/>
      <c r="G399" s="260"/>
      <c r="H399" s="260"/>
      <c r="I399" s="245"/>
    </row>
    <row r="400" spans="2:9" ht="15.75" customHeight="1" outlineLevel="2" x14ac:dyDescent="0.25">
      <c r="B400" s="541" t="str">
        <f>IF(ISBLANK(dms_E3_Projects_40),"",dms_E3_Projects_40)</f>
        <v/>
      </c>
      <c r="C400" s="640"/>
      <c r="D400" s="641"/>
      <c r="E400" s="642"/>
      <c r="F400" s="643"/>
      <c r="G400" s="643"/>
      <c r="H400" s="643"/>
      <c r="I400" s="644"/>
    </row>
    <row r="401" spans="1:9" ht="15.75" customHeight="1" outlineLevel="2" x14ac:dyDescent="0.25">
      <c r="B401" s="541" t="str">
        <f>IF(ISBLANK(dms_E3_Projects_41),"",dms_E3_Projects_41)</f>
        <v/>
      </c>
      <c r="C401" s="380"/>
      <c r="D401" s="267"/>
      <c r="E401" s="266"/>
      <c r="F401" s="260"/>
      <c r="G401" s="260"/>
      <c r="H401" s="260"/>
      <c r="I401" s="245"/>
    </row>
    <row r="402" spans="1:9" ht="15.75" customHeight="1" outlineLevel="2" x14ac:dyDescent="0.25">
      <c r="B402" s="541" t="str">
        <f>IF(ISBLANK(dms_E3_Projects_42),"",dms_E3_Projects_42)</f>
        <v/>
      </c>
      <c r="C402" s="640"/>
      <c r="D402" s="641"/>
      <c r="E402" s="642"/>
      <c r="F402" s="643"/>
      <c r="G402" s="643"/>
      <c r="H402" s="643"/>
      <c r="I402" s="644"/>
    </row>
    <row r="403" spans="1:9" ht="15.75" customHeight="1" outlineLevel="2" x14ac:dyDescent="0.25">
      <c r="B403" s="541" t="str">
        <f>IF(ISBLANK(dms_E3_Projects_43),"",dms_E3_Projects_43)</f>
        <v/>
      </c>
      <c r="C403" s="380"/>
      <c r="D403" s="267"/>
      <c r="E403" s="266"/>
      <c r="F403" s="260"/>
      <c r="G403" s="260"/>
      <c r="H403" s="260"/>
      <c r="I403" s="245"/>
    </row>
    <row r="404" spans="1:9" ht="15.75" customHeight="1" outlineLevel="2" x14ac:dyDescent="0.25">
      <c r="B404" s="541" t="str">
        <f>IF(ISBLANK(dms_E3_Projects_44),"",dms_E3_Projects_44)</f>
        <v/>
      </c>
      <c r="C404" s="640"/>
      <c r="D404" s="641"/>
      <c r="E404" s="642"/>
      <c r="F404" s="643"/>
      <c r="G404" s="643"/>
      <c r="H404" s="643"/>
      <c r="I404" s="644"/>
    </row>
    <row r="405" spans="1:9" ht="15.75" customHeight="1" outlineLevel="2" x14ac:dyDescent="0.25">
      <c r="B405" s="541" t="str">
        <f>IF(ISBLANK(dms_E3_Projects_45),"",dms_E3_Projects_45)</f>
        <v/>
      </c>
      <c r="C405" s="380"/>
      <c r="D405" s="267"/>
      <c r="E405" s="266"/>
      <c r="F405" s="260"/>
      <c r="G405" s="260"/>
      <c r="H405" s="260"/>
      <c r="I405" s="245"/>
    </row>
    <row r="406" spans="1:9" ht="15.75" customHeight="1" outlineLevel="2" x14ac:dyDescent="0.25">
      <c r="B406" s="541" t="str">
        <f>IF(ISBLANK(dms_E3_Projects_46),"",dms_E3_Projects_46)</f>
        <v/>
      </c>
      <c r="C406" s="640"/>
      <c r="D406" s="641"/>
      <c r="E406" s="642"/>
      <c r="F406" s="643"/>
      <c r="G406" s="643"/>
      <c r="H406" s="643"/>
      <c r="I406" s="644"/>
    </row>
    <row r="407" spans="1:9" ht="15.75" customHeight="1" outlineLevel="2" x14ac:dyDescent="0.25">
      <c r="B407" s="541" t="str">
        <f>IF(ISBLANK(dms_E3_Projects_47),"",dms_E3_Projects_47)</f>
        <v/>
      </c>
      <c r="C407" s="380"/>
      <c r="D407" s="267"/>
      <c r="E407" s="266"/>
      <c r="F407" s="260"/>
      <c r="G407" s="260"/>
      <c r="H407" s="260"/>
      <c r="I407" s="245"/>
    </row>
    <row r="408" spans="1:9" ht="15.75" customHeight="1" outlineLevel="2" x14ac:dyDescent="0.25">
      <c r="B408" s="541" t="str">
        <f>IF(ISBLANK(dms_E3_Projects_48),"",dms_E3_Projects_48)</f>
        <v/>
      </c>
      <c r="C408" s="640"/>
      <c r="D408" s="641"/>
      <c r="E408" s="642"/>
      <c r="F408" s="643"/>
      <c r="G408" s="643"/>
      <c r="H408" s="643"/>
      <c r="I408" s="644"/>
    </row>
    <row r="409" spans="1:9" ht="15.75" customHeight="1" outlineLevel="2" x14ac:dyDescent="0.25">
      <c r="B409" s="541" t="str">
        <f>IF(ISBLANK(dms_E3_Projects_49),"",dms_E3_Projects_49)</f>
        <v/>
      </c>
      <c r="C409" s="380"/>
      <c r="D409" s="267"/>
      <c r="E409" s="266"/>
      <c r="F409" s="260"/>
      <c r="G409" s="260"/>
      <c r="H409" s="260"/>
      <c r="I409" s="245"/>
    </row>
    <row r="410" spans="1:9" ht="15.75" customHeight="1" outlineLevel="2" x14ac:dyDescent="0.25">
      <c r="B410" s="541" t="str">
        <f>IF(ISBLANK(dms_E3_Projects_50),"",dms_E3_Projects_50)</f>
        <v/>
      </c>
      <c r="C410" s="640"/>
      <c r="D410" s="641"/>
      <c r="E410" s="642"/>
      <c r="F410" s="643"/>
      <c r="G410" s="643"/>
      <c r="H410" s="643"/>
      <c r="I410" s="644"/>
    </row>
    <row r="411" spans="1:9" ht="15.75" customHeight="1" outlineLevel="2" thickBot="1" x14ac:dyDescent="0.3">
      <c r="B411" s="646" t="s">
        <v>152</v>
      </c>
      <c r="C411" s="381"/>
      <c r="D411" s="269"/>
      <c r="E411" s="268"/>
      <c r="F411" s="262"/>
      <c r="G411" s="262"/>
      <c r="H411" s="262"/>
      <c r="I411" s="494"/>
    </row>
    <row r="412" spans="1:9" ht="15.75" customHeight="1" outlineLevel="2" thickBot="1" x14ac:dyDescent="0.3">
      <c r="B412" s="544" t="s">
        <v>120</v>
      </c>
      <c r="C412" s="545">
        <f>SUM(C361:C411)</f>
        <v>1600</v>
      </c>
      <c r="D412" s="545">
        <f t="shared" ref="D412" si="11">SUM(D361:D411)</f>
        <v>0</v>
      </c>
      <c r="E412" s="545">
        <f t="shared" ref="E412" si="12">SUM(E361:E411)</f>
        <v>0</v>
      </c>
      <c r="F412" s="545">
        <f t="shared" ref="F412" si="13">SUM(F361:F411)</f>
        <v>4000</v>
      </c>
      <c r="G412" s="545">
        <f t="shared" ref="G412" si="14">SUM(G361:G411)</f>
        <v>0</v>
      </c>
      <c r="H412" s="545">
        <f t="shared" ref="H412" si="15">SUM(H361:H411)</f>
        <v>1500</v>
      </c>
      <c r="I412" s="546">
        <f t="shared" ref="I412" si="16">SUM(I361:I411)</f>
        <v>0</v>
      </c>
    </row>
    <row r="413" spans="1:9" ht="15.75" outlineLevel="1" thickBot="1" x14ac:dyDescent="0.3">
      <c r="B413" s="75"/>
    </row>
    <row r="414" spans="1:9" ht="20.25" customHeight="1" outlineLevel="1" thickBot="1" x14ac:dyDescent="0.3">
      <c r="B414" s="250" t="s">
        <v>153</v>
      </c>
      <c r="C414" s="251"/>
      <c r="D414" s="251"/>
      <c r="E414" s="251"/>
      <c r="F414" s="251"/>
      <c r="G414" s="251"/>
      <c r="H414" s="251"/>
      <c r="I414" s="251"/>
    </row>
    <row r="415" spans="1:9" s="42" customFormat="1" outlineLevel="2" x14ac:dyDescent="0.25">
      <c r="A415" s="291"/>
      <c r="B415"/>
      <c r="C415" s="1382" t="s">
        <v>149</v>
      </c>
      <c r="D415" s="1383"/>
      <c r="E415" s="1383"/>
      <c r="F415" s="1383"/>
      <c r="G415" s="1383"/>
      <c r="H415" s="1383"/>
      <c r="I415" s="1384"/>
    </row>
    <row r="416" spans="1:9" s="42" customFormat="1" outlineLevel="2" x14ac:dyDescent="0.25">
      <c r="A416" s="291"/>
      <c r="B416"/>
      <c r="C416" s="1375" t="s">
        <v>150</v>
      </c>
      <c r="D416" s="1376"/>
      <c r="E416" s="1376"/>
      <c r="F416" s="1376"/>
      <c r="G416" s="1376"/>
      <c r="H416" s="1376"/>
      <c r="I416" s="1377"/>
    </row>
    <row r="417" spans="1:9" s="42" customFormat="1" ht="15.75" outlineLevel="2" thickBot="1" x14ac:dyDescent="0.3">
      <c r="A417" s="291"/>
      <c r="B417" s="78"/>
      <c r="C417" s="405" t="str">
        <f ca="1">dms_y1</f>
        <v>2024-25</v>
      </c>
      <c r="D417" s="306" t="str">
        <f ca="1">dms_y2</f>
        <v>2025-26</v>
      </c>
      <c r="E417" s="305" t="str">
        <f ca="1">dms_y3</f>
        <v>2026-27</v>
      </c>
      <c r="F417" s="305" t="str">
        <f ca="1">dms_y4</f>
        <v>2027-28</v>
      </c>
      <c r="G417" s="305" t="str">
        <f ca="1">dms_y5</f>
        <v>2028-29</v>
      </c>
      <c r="H417" s="305" t="str">
        <f ca="1">dms_y6</f>
        <v>2029-30</v>
      </c>
      <c r="I417" s="406" t="str">
        <f ca="1">dms_y7</f>
        <v>2030-31</v>
      </c>
    </row>
    <row r="418" spans="1:9" ht="15.75" customHeight="1" outlineLevel="2" x14ac:dyDescent="0.25">
      <c r="B418" s="536" t="str">
        <f>IF(ISBLANK(dms_E3_Projects_01),"",dms_E3_Projects_01)</f>
        <v>Northern Corridor - Angle Vale</v>
      </c>
      <c r="C418" s="366"/>
      <c r="D418" s="265"/>
      <c r="E418" s="264"/>
      <c r="F418" s="257"/>
      <c r="G418" s="257"/>
      <c r="H418" s="257"/>
      <c r="I418" s="258"/>
    </row>
    <row r="419" spans="1:9" ht="15.75" customHeight="1" outlineLevel="2" x14ac:dyDescent="0.25">
      <c r="B419" s="536" t="str">
        <f>IF(ISBLANK(dms_E3_Projects_02),"",dms_E3_Projects_02)</f>
        <v>Southern Corridor - Seaford Aldinga</v>
      </c>
      <c r="C419" s="640"/>
      <c r="D419" s="641"/>
      <c r="E419" s="642"/>
      <c r="F419" s="643"/>
      <c r="G419" s="643"/>
      <c r="H419" s="643"/>
      <c r="I419" s="644"/>
    </row>
    <row r="420" spans="1:9" ht="15.75" customHeight="1" outlineLevel="2" x14ac:dyDescent="0.25">
      <c r="B420" s="536" t="str">
        <f>IF(ISBLANK(dms_E3_Projects_03),"",dms_E3_Projects_03)</f>
        <v>Northern Metro HP Main and Gawler Gate Station</v>
      </c>
      <c r="C420" s="380"/>
      <c r="D420" s="267"/>
      <c r="E420" s="266"/>
      <c r="F420" s="260"/>
      <c r="G420" s="260"/>
      <c r="H420" s="260"/>
      <c r="I420" s="245"/>
    </row>
    <row r="421" spans="1:9" ht="15.75" customHeight="1" outlineLevel="2" x14ac:dyDescent="0.25">
      <c r="B421" s="536" t="str">
        <f>IF(ISBLANK(dms_E3_Projects_04),"",dms_E3_Projects_04)</f>
        <v/>
      </c>
      <c r="C421" s="640"/>
      <c r="D421" s="641"/>
      <c r="E421" s="642"/>
      <c r="F421" s="643"/>
      <c r="G421" s="643"/>
      <c r="H421" s="643"/>
      <c r="I421" s="644"/>
    </row>
    <row r="422" spans="1:9" ht="15.75" customHeight="1" outlineLevel="2" x14ac:dyDescent="0.25">
      <c r="B422" s="536" t="str">
        <f>IF(ISBLANK(dms_E3_Projects_05),"",dms_E3_Projects_05)</f>
        <v/>
      </c>
      <c r="C422" s="380"/>
      <c r="D422" s="267"/>
      <c r="E422" s="266"/>
      <c r="F422" s="260"/>
      <c r="G422" s="260"/>
      <c r="H422" s="260"/>
      <c r="I422" s="245"/>
    </row>
    <row r="423" spans="1:9" ht="15.75" customHeight="1" outlineLevel="2" x14ac:dyDescent="0.25">
      <c r="B423" s="536" t="str">
        <f>IF(ISBLANK(dms_E3_Projects_06),"",dms_E3_Projects_06)</f>
        <v/>
      </c>
      <c r="C423" s="640"/>
      <c r="D423" s="641"/>
      <c r="E423" s="642"/>
      <c r="F423" s="643"/>
      <c r="G423" s="643"/>
      <c r="H423" s="643"/>
      <c r="I423" s="644"/>
    </row>
    <row r="424" spans="1:9" ht="15.75" customHeight="1" outlineLevel="2" x14ac:dyDescent="0.25">
      <c r="B424" s="536" t="str">
        <f>IF(ISBLANK(dms_E3_Projects_07),"",dms_E3_Projects_07)</f>
        <v/>
      </c>
      <c r="C424" s="380"/>
      <c r="D424" s="267"/>
      <c r="E424" s="266"/>
      <c r="F424" s="260"/>
      <c r="G424" s="260"/>
      <c r="H424" s="260"/>
      <c r="I424" s="245"/>
    </row>
    <row r="425" spans="1:9" ht="15.75" customHeight="1" outlineLevel="2" x14ac:dyDescent="0.25">
      <c r="B425" s="536" t="str">
        <f>IF(ISBLANK(dms_E3_Projects_08),"",dms_E3_Projects_08)</f>
        <v/>
      </c>
      <c r="C425" s="640"/>
      <c r="D425" s="641"/>
      <c r="E425" s="642"/>
      <c r="F425" s="643"/>
      <c r="G425" s="643"/>
      <c r="H425" s="643"/>
      <c r="I425" s="644"/>
    </row>
    <row r="426" spans="1:9" ht="15.75" customHeight="1" outlineLevel="2" x14ac:dyDescent="0.25">
      <c r="B426" s="536" t="str">
        <f>IF(ISBLANK(dms_E3_Projects_09),"",dms_E3_Projects_09)</f>
        <v/>
      </c>
      <c r="C426" s="380"/>
      <c r="D426" s="267"/>
      <c r="E426" s="266"/>
      <c r="F426" s="260"/>
      <c r="G426" s="260"/>
      <c r="H426" s="260"/>
      <c r="I426" s="245"/>
    </row>
    <row r="427" spans="1:9" ht="15.75" customHeight="1" outlineLevel="2" x14ac:dyDescent="0.25">
      <c r="B427" s="536" t="str">
        <f>IF(ISBLANK(dms_E3_Projects_10),"",dms_E3_Projects_10)</f>
        <v/>
      </c>
      <c r="C427" s="640"/>
      <c r="D427" s="641"/>
      <c r="E427" s="642"/>
      <c r="F427" s="643"/>
      <c r="G427" s="643"/>
      <c r="H427" s="643"/>
      <c r="I427" s="644"/>
    </row>
    <row r="428" spans="1:9" ht="15.75" customHeight="1" outlineLevel="2" x14ac:dyDescent="0.25">
      <c r="B428" s="536" t="str">
        <f>IF(ISBLANK(dms_E3_Projects_11),"",dms_E3_Projects_11)</f>
        <v/>
      </c>
      <c r="C428" s="380"/>
      <c r="D428" s="267"/>
      <c r="E428" s="266"/>
      <c r="F428" s="260"/>
      <c r="G428" s="260"/>
      <c r="H428" s="260"/>
      <c r="I428" s="245"/>
    </row>
    <row r="429" spans="1:9" ht="15.75" customHeight="1" outlineLevel="2" x14ac:dyDescent="0.25">
      <c r="B429" s="536" t="str">
        <f>IF(ISBLANK(dms_E3_Projects_12),"",dms_E3_Projects_12)</f>
        <v/>
      </c>
      <c r="C429" s="640"/>
      <c r="D429" s="641"/>
      <c r="E429" s="642"/>
      <c r="F429" s="643"/>
      <c r="G429" s="643"/>
      <c r="H429" s="643"/>
      <c r="I429" s="644"/>
    </row>
    <row r="430" spans="1:9" ht="15.75" customHeight="1" outlineLevel="2" x14ac:dyDescent="0.25">
      <c r="B430" s="536" t="str">
        <f>IF(ISBLANK(dms_E3_Projects_13),"",dms_E3_Projects_13)</f>
        <v/>
      </c>
      <c r="C430" s="380"/>
      <c r="D430" s="267"/>
      <c r="E430" s="266"/>
      <c r="F430" s="260"/>
      <c r="G430" s="260"/>
      <c r="H430" s="260"/>
      <c r="I430" s="245"/>
    </row>
    <row r="431" spans="1:9" ht="15.75" customHeight="1" outlineLevel="2" x14ac:dyDescent="0.25">
      <c r="B431" s="536" t="str">
        <f>IF(ISBLANK(dms_E3_Projects_14),"",dms_E3_Projects_14)</f>
        <v/>
      </c>
      <c r="C431" s="640"/>
      <c r="D431" s="641"/>
      <c r="E431" s="642"/>
      <c r="F431" s="643"/>
      <c r="G431" s="643"/>
      <c r="H431" s="643"/>
      <c r="I431" s="644"/>
    </row>
    <row r="432" spans="1:9" ht="15.75" customHeight="1" outlineLevel="2" x14ac:dyDescent="0.25">
      <c r="B432" s="536" t="str">
        <f>IF(ISBLANK(dms_E3_Projects_15),"",dms_E3_Projects_15)</f>
        <v/>
      </c>
      <c r="C432" s="380"/>
      <c r="D432" s="267"/>
      <c r="E432" s="266"/>
      <c r="F432" s="260"/>
      <c r="G432" s="260"/>
      <c r="H432" s="260"/>
      <c r="I432" s="245"/>
    </row>
    <row r="433" spans="2:9" ht="15.75" customHeight="1" outlineLevel="2" x14ac:dyDescent="0.25">
      <c r="B433" s="536" t="str">
        <f>IF(ISBLANK(dms_E3_Projects_16),"",dms_E3_Projects_16)</f>
        <v/>
      </c>
      <c r="C433" s="640"/>
      <c r="D433" s="641"/>
      <c r="E433" s="642"/>
      <c r="F433" s="643"/>
      <c r="G433" s="643"/>
      <c r="H433" s="643"/>
      <c r="I433" s="644"/>
    </row>
    <row r="434" spans="2:9" ht="15.75" customHeight="1" outlineLevel="2" x14ac:dyDescent="0.25">
      <c r="B434" s="541" t="str">
        <f>IF(ISBLANK(dms_E3_Projects_17),"",dms_E3_Projects_17)</f>
        <v/>
      </c>
      <c r="C434" s="380"/>
      <c r="D434" s="267"/>
      <c r="E434" s="266"/>
      <c r="F434" s="260"/>
      <c r="G434" s="260"/>
      <c r="H434" s="260"/>
      <c r="I434" s="245"/>
    </row>
    <row r="435" spans="2:9" ht="15.75" customHeight="1" outlineLevel="2" x14ac:dyDescent="0.25">
      <c r="B435" s="541" t="str">
        <f>IF(ISBLANK(dms_E3_Projects_18),"",dms_E3_Projects_18)</f>
        <v/>
      </c>
      <c r="C435" s="640"/>
      <c r="D435" s="641"/>
      <c r="E435" s="642"/>
      <c r="F435" s="643"/>
      <c r="G435" s="643"/>
      <c r="H435" s="643"/>
      <c r="I435" s="644"/>
    </row>
    <row r="436" spans="2:9" ht="15.75" customHeight="1" outlineLevel="2" x14ac:dyDescent="0.25">
      <c r="B436" s="541" t="str">
        <f>IF(ISBLANK(dms_E3_Projects_18),"",dms_E3_Projects_18)</f>
        <v/>
      </c>
      <c r="C436" s="380"/>
      <c r="D436" s="267"/>
      <c r="E436" s="266"/>
      <c r="F436" s="260"/>
      <c r="G436" s="260"/>
      <c r="H436" s="260"/>
      <c r="I436" s="245"/>
    </row>
    <row r="437" spans="2:9" ht="15.75" customHeight="1" outlineLevel="2" x14ac:dyDescent="0.25">
      <c r="B437" s="541" t="str">
        <f>IF(ISBLANK(dms_E3_Projects_19),"",dms_E3_Projects_19)</f>
        <v/>
      </c>
      <c r="C437" s="640"/>
      <c r="D437" s="641"/>
      <c r="E437" s="642"/>
      <c r="F437" s="643"/>
      <c r="G437" s="643"/>
      <c r="H437" s="643"/>
      <c r="I437" s="644"/>
    </row>
    <row r="438" spans="2:9" ht="15.75" customHeight="1" outlineLevel="2" x14ac:dyDescent="0.25">
      <c r="B438" s="541" t="str">
        <f>IF(ISBLANK(dms_E3_Projects_20),"",dms_E3_Projects_20)</f>
        <v/>
      </c>
      <c r="C438" s="380"/>
      <c r="D438" s="267"/>
      <c r="E438" s="266"/>
      <c r="F438" s="260"/>
      <c r="G438" s="260"/>
      <c r="H438" s="260"/>
      <c r="I438" s="245"/>
    </row>
    <row r="439" spans="2:9" ht="15.75" customHeight="1" outlineLevel="2" x14ac:dyDescent="0.25">
      <c r="B439" s="541" t="str">
        <f>IF(ISBLANK(dms_E3_Projects_21),"",dms_E3_Projects_21)</f>
        <v/>
      </c>
      <c r="C439" s="640"/>
      <c r="D439" s="641"/>
      <c r="E439" s="642"/>
      <c r="F439" s="643"/>
      <c r="G439" s="643"/>
      <c r="H439" s="643"/>
      <c r="I439" s="644"/>
    </row>
    <row r="440" spans="2:9" ht="15.75" customHeight="1" outlineLevel="2" x14ac:dyDescent="0.25">
      <c r="B440" s="541" t="str">
        <f>IF(ISBLANK(dms_E3_Projects_22),"",dms_E3_Projects_22)</f>
        <v/>
      </c>
      <c r="C440" s="380"/>
      <c r="D440" s="267"/>
      <c r="E440" s="266"/>
      <c r="F440" s="260"/>
      <c r="G440" s="260"/>
      <c r="H440" s="260"/>
      <c r="I440" s="245"/>
    </row>
    <row r="441" spans="2:9" ht="15.75" customHeight="1" outlineLevel="2" x14ac:dyDescent="0.25">
      <c r="B441" s="541" t="str">
        <f>IF(ISBLANK(dms_E3_Projects_23),"",dms_E3_Projects_23)</f>
        <v/>
      </c>
      <c r="C441" s="640"/>
      <c r="D441" s="641"/>
      <c r="E441" s="642"/>
      <c r="F441" s="643"/>
      <c r="G441" s="643"/>
      <c r="H441" s="643"/>
      <c r="I441" s="644"/>
    </row>
    <row r="442" spans="2:9" ht="15.75" customHeight="1" outlineLevel="2" x14ac:dyDescent="0.25">
      <c r="B442" s="541" t="str">
        <f>IF(ISBLANK(dms_E3_Projects_24),"",dms_E3_Projects_24)</f>
        <v/>
      </c>
      <c r="C442" s="380"/>
      <c r="D442" s="267"/>
      <c r="E442" s="266"/>
      <c r="F442" s="260"/>
      <c r="G442" s="260"/>
      <c r="H442" s="260"/>
      <c r="I442" s="245"/>
    </row>
    <row r="443" spans="2:9" ht="15.75" customHeight="1" outlineLevel="2" x14ac:dyDescent="0.25">
      <c r="B443" s="541" t="str">
        <f>IF(ISBLANK(dms_E3_Projects_25),"",dms_E3_Projects_26)</f>
        <v/>
      </c>
      <c r="C443" s="640"/>
      <c r="D443" s="641"/>
      <c r="E443" s="642"/>
      <c r="F443" s="643"/>
      <c r="G443" s="643"/>
      <c r="H443" s="643"/>
      <c r="I443" s="644"/>
    </row>
    <row r="444" spans="2:9" ht="15.75" customHeight="1" outlineLevel="2" x14ac:dyDescent="0.25">
      <c r="B444" s="541" t="str">
        <f>IF(ISBLANK(dms_E3_Projects_27),"",dms_E3_Projects_27)</f>
        <v/>
      </c>
      <c r="C444" s="380"/>
      <c r="D444" s="267"/>
      <c r="E444" s="266"/>
      <c r="F444" s="260"/>
      <c r="G444" s="260"/>
      <c r="H444" s="260"/>
      <c r="I444" s="245"/>
    </row>
    <row r="445" spans="2:9" ht="15.75" customHeight="1" outlineLevel="2" x14ac:dyDescent="0.25">
      <c r="B445" s="541" t="str">
        <f>IF(ISBLANK(dms_E3_Projects_28),"",dms_E3_Projects_28)</f>
        <v/>
      </c>
      <c r="C445" s="640"/>
      <c r="D445" s="641"/>
      <c r="E445" s="642"/>
      <c r="F445" s="643"/>
      <c r="G445" s="643"/>
      <c r="H445" s="643"/>
      <c r="I445" s="644"/>
    </row>
    <row r="446" spans="2:9" ht="15.75" customHeight="1" outlineLevel="2" x14ac:dyDescent="0.25">
      <c r="B446" s="541" t="str">
        <f>IF(ISBLANK(dms_E3_Projects_29),"",dms_E3_Projects_29)</f>
        <v/>
      </c>
      <c r="C446" s="380"/>
      <c r="D446" s="267"/>
      <c r="E446" s="266"/>
      <c r="F446" s="260"/>
      <c r="G446" s="260"/>
      <c r="H446" s="260"/>
      <c r="I446" s="245"/>
    </row>
    <row r="447" spans="2:9" ht="15.75" customHeight="1" outlineLevel="2" x14ac:dyDescent="0.25">
      <c r="B447" s="541" t="str">
        <f>IF(ISBLANK(dms_E3_Projects_30),"",dms_E3_Projects_30)</f>
        <v/>
      </c>
      <c r="C447" s="640"/>
      <c r="D447" s="641"/>
      <c r="E447" s="642"/>
      <c r="F447" s="643"/>
      <c r="G447" s="643"/>
      <c r="H447" s="643"/>
      <c r="I447" s="644"/>
    </row>
    <row r="448" spans="2:9" ht="15.75" customHeight="1" outlineLevel="2" x14ac:dyDescent="0.25">
      <c r="B448" s="541" t="str">
        <f>IF(ISBLANK(dms_E3_Projects_31),"",dms_E3_Projects_31)</f>
        <v/>
      </c>
      <c r="C448" s="380"/>
      <c r="D448" s="267"/>
      <c r="E448" s="266"/>
      <c r="F448" s="260"/>
      <c r="G448" s="260"/>
      <c r="H448" s="260"/>
      <c r="I448" s="245"/>
    </row>
    <row r="449" spans="2:9" ht="15.75" customHeight="1" outlineLevel="2" x14ac:dyDescent="0.25">
      <c r="B449" s="541" t="str">
        <f>IF(ISBLANK(dms_E3_Projects_32),"",dms_E3_Projects_32)</f>
        <v/>
      </c>
      <c r="C449" s="640"/>
      <c r="D449" s="641"/>
      <c r="E449" s="642"/>
      <c r="F449" s="643"/>
      <c r="G449" s="643"/>
      <c r="H449" s="643"/>
      <c r="I449" s="644"/>
    </row>
    <row r="450" spans="2:9" ht="15.75" customHeight="1" outlineLevel="2" x14ac:dyDescent="0.25">
      <c r="B450" s="541" t="str">
        <f>IF(ISBLANK(dms_E3_Projects_33),"",dms_E3_Projects_33)</f>
        <v/>
      </c>
      <c r="C450" s="380"/>
      <c r="D450" s="267"/>
      <c r="E450" s="266"/>
      <c r="F450" s="260"/>
      <c r="G450" s="260"/>
      <c r="H450" s="260"/>
      <c r="I450" s="245"/>
    </row>
    <row r="451" spans="2:9" ht="15.75" customHeight="1" outlineLevel="2" x14ac:dyDescent="0.25">
      <c r="B451" s="541" t="str">
        <f>IF(ISBLANK(dms_E3_Projects_34),"",dms_E3_Projects_34)</f>
        <v/>
      </c>
      <c r="C451" s="640"/>
      <c r="D451" s="641"/>
      <c r="E451" s="642"/>
      <c r="F451" s="643"/>
      <c r="G451" s="643"/>
      <c r="H451" s="643"/>
      <c r="I451" s="644"/>
    </row>
    <row r="452" spans="2:9" ht="15.75" customHeight="1" outlineLevel="2" x14ac:dyDescent="0.25">
      <c r="B452" s="541" t="str">
        <f>IF(ISBLANK(dms_E3_Projects_35),"",dms_E3_Projects_35)</f>
        <v/>
      </c>
      <c r="C452" s="380"/>
      <c r="D452" s="267"/>
      <c r="E452" s="266"/>
      <c r="F452" s="260"/>
      <c r="G452" s="260"/>
      <c r="H452" s="260"/>
      <c r="I452" s="245"/>
    </row>
    <row r="453" spans="2:9" ht="15.75" customHeight="1" outlineLevel="2" x14ac:dyDescent="0.25">
      <c r="B453" s="541" t="str">
        <f>IF(ISBLANK(dms_E3_Projects_36),"",dms_E3_Projects_36)</f>
        <v/>
      </c>
      <c r="C453" s="640"/>
      <c r="D453" s="641"/>
      <c r="E453" s="642"/>
      <c r="F453" s="643"/>
      <c r="G453" s="643"/>
      <c r="H453" s="643"/>
      <c r="I453" s="644"/>
    </row>
    <row r="454" spans="2:9" ht="15.75" customHeight="1" outlineLevel="2" x14ac:dyDescent="0.25">
      <c r="B454" s="541" t="str">
        <f>IF(ISBLANK(dms_E3_Projects_37),"",dms_E3_Projects_37)</f>
        <v/>
      </c>
      <c r="C454" s="380"/>
      <c r="D454" s="267"/>
      <c r="E454" s="266"/>
      <c r="F454" s="260"/>
      <c r="G454" s="260"/>
      <c r="H454" s="260"/>
      <c r="I454" s="245"/>
    </row>
    <row r="455" spans="2:9" ht="15.75" customHeight="1" outlineLevel="2" x14ac:dyDescent="0.25">
      <c r="B455" s="541" t="str">
        <f>IF(ISBLANK(dms_E3_Projects_38),"",dms_E3_Projects_38)</f>
        <v/>
      </c>
      <c r="C455" s="640"/>
      <c r="D455" s="641"/>
      <c r="E455" s="642"/>
      <c r="F455" s="643"/>
      <c r="G455" s="643"/>
      <c r="H455" s="643"/>
      <c r="I455" s="644"/>
    </row>
    <row r="456" spans="2:9" ht="15.75" customHeight="1" outlineLevel="2" x14ac:dyDescent="0.25">
      <c r="B456" s="541" t="str">
        <f>IF(ISBLANK(dms_E3_Projects_39),"",dms_E3_Projects_39)</f>
        <v/>
      </c>
      <c r="C456" s="380"/>
      <c r="D456" s="267"/>
      <c r="E456" s="266"/>
      <c r="F456" s="260"/>
      <c r="G456" s="260"/>
      <c r="H456" s="260"/>
      <c r="I456" s="245"/>
    </row>
    <row r="457" spans="2:9" ht="15.75" customHeight="1" outlineLevel="2" x14ac:dyDescent="0.25">
      <c r="B457" s="541" t="str">
        <f>IF(ISBLANK(dms_E3_Projects_40),"",dms_E3_Projects_40)</f>
        <v/>
      </c>
      <c r="C457" s="640"/>
      <c r="D457" s="641"/>
      <c r="E457" s="642"/>
      <c r="F457" s="643"/>
      <c r="G457" s="643"/>
      <c r="H457" s="643"/>
      <c r="I457" s="644"/>
    </row>
    <row r="458" spans="2:9" ht="15.75" customHeight="1" outlineLevel="2" x14ac:dyDescent="0.25">
      <c r="B458" s="541" t="str">
        <f>IF(ISBLANK(dms_E3_Projects_41),"",dms_E3_Projects_41)</f>
        <v/>
      </c>
      <c r="C458" s="380"/>
      <c r="D458" s="267"/>
      <c r="E458" s="266"/>
      <c r="F458" s="260"/>
      <c r="G458" s="260"/>
      <c r="H458" s="260"/>
      <c r="I458" s="245"/>
    </row>
    <row r="459" spans="2:9" ht="15.75" customHeight="1" outlineLevel="2" x14ac:dyDescent="0.25">
      <c r="B459" s="541" t="str">
        <f>IF(ISBLANK(dms_E3_Projects_42),"",dms_E3_Projects_42)</f>
        <v/>
      </c>
      <c r="C459" s="640"/>
      <c r="D459" s="641"/>
      <c r="E459" s="642"/>
      <c r="F459" s="643"/>
      <c r="G459" s="643"/>
      <c r="H459" s="643"/>
      <c r="I459" s="644"/>
    </row>
    <row r="460" spans="2:9" ht="15.75" customHeight="1" outlineLevel="2" x14ac:dyDescent="0.25">
      <c r="B460" s="541" t="str">
        <f>IF(ISBLANK(dms_E3_Projects_43),"",dms_E3_Projects_43)</f>
        <v/>
      </c>
      <c r="C460" s="380"/>
      <c r="D460" s="267"/>
      <c r="E460" s="266"/>
      <c r="F460" s="260"/>
      <c r="G460" s="260"/>
      <c r="H460" s="260"/>
      <c r="I460" s="245"/>
    </row>
    <row r="461" spans="2:9" ht="15.75" customHeight="1" outlineLevel="2" x14ac:dyDescent="0.25">
      <c r="B461" s="541" t="str">
        <f>IF(ISBLANK(dms_E3_Projects_44),"",dms_E3_Projects_44)</f>
        <v/>
      </c>
      <c r="C461" s="640"/>
      <c r="D461" s="641"/>
      <c r="E461" s="642"/>
      <c r="F461" s="643"/>
      <c r="G461" s="643"/>
      <c r="H461" s="643"/>
      <c r="I461" s="644"/>
    </row>
    <row r="462" spans="2:9" ht="15.75" customHeight="1" outlineLevel="2" x14ac:dyDescent="0.25">
      <c r="B462" s="541" t="str">
        <f>IF(ISBLANK(dms_E3_Projects_45),"",dms_E3_Projects_45)</f>
        <v/>
      </c>
      <c r="C462" s="380"/>
      <c r="D462" s="267"/>
      <c r="E462" s="266"/>
      <c r="F462" s="260"/>
      <c r="G462" s="260"/>
      <c r="H462" s="260"/>
      <c r="I462" s="245"/>
    </row>
    <row r="463" spans="2:9" ht="15.75" customHeight="1" outlineLevel="2" x14ac:dyDescent="0.25">
      <c r="B463" s="541" t="str">
        <f>IF(ISBLANK(dms_E3_Projects_46),"",dms_E3_Projects_46)</f>
        <v/>
      </c>
      <c r="C463" s="640"/>
      <c r="D463" s="641"/>
      <c r="E463" s="642"/>
      <c r="F463" s="643"/>
      <c r="G463" s="643"/>
      <c r="H463" s="643"/>
      <c r="I463" s="644"/>
    </row>
    <row r="464" spans="2:9" ht="15.75" customHeight="1" outlineLevel="2" x14ac:dyDescent="0.25">
      <c r="B464" s="541" t="str">
        <f>IF(ISBLANK(dms_E3_Projects_47),"",dms_E3_Projects_47)</f>
        <v/>
      </c>
      <c r="C464" s="380"/>
      <c r="D464" s="267"/>
      <c r="E464" s="266"/>
      <c r="F464" s="260"/>
      <c r="G464" s="260"/>
      <c r="H464" s="260"/>
      <c r="I464" s="245"/>
    </row>
    <row r="465" spans="1:9" ht="15.75" customHeight="1" outlineLevel="2" x14ac:dyDescent="0.25">
      <c r="B465" s="541" t="str">
        <f>IF(ISBLANK(dms_E3_Projects_48),"",dms_E3_Projects_48)</f>
        <v/>
      </c>
      <c r="C465" s="640"/>
      <c r="D465" s="641"/>
      <c r="E465" s="642"/>
      <c r="F465" s="643"/>
      <c r="G465" s="643"/>
      <c r="H465" s="643"/>
      <c r="I465" s="644"/>
    </row>
    <row r="466" spans="1:9" ht="15.75" customHeight="1" outlineLevel="2" x14ac:dyDescent="0.25">
      <c r="B466" s="541" t="str">
        <f>IF(ISBLANK(dms_E3_Projects_49),"",dms_E3_Projects_49)</f>
        <v/>
      </c>
      <c r="C466" s="380"/>
      <c r="D466" s="267"/>
      <c r="E466" s="266"/>
      <c r="F466" s="260"/>
      <c r="G466" s="260"/>
      <c r="H466" s="260"/>
      <c r="I466" s="245"/>
    </row>
    <row r="467" spans="1:9" ht="15.75" customHeight="1" outlineLevel="2" x14ac:dyDescent="0.25">
      <c r="B467" s="541" t="str">
        <f>IF(ISBLANK(dms_E3_Projects_50),"",dms_E3_Projects_50)</f>
        <v/>
      </c>
      <c r="C467" s="640"/>
      <c r="D467" s="641"/>
      <c r="E467" s="642"/>
      <c r="F467" s="643"/>
      <c r="G467" s="643"/>
      <c r="H467" s="643"/>
      <c r="I467" s="644"/>
    </row>
    <row r="468" spans="1:9" ht="15.75" customHeight="1" outlineLevel="2" thickBot="1" x14ac:dyDescent="0.3">
      <c r="B468" s="547" t="s">
        <v>152</v>
      </c>
      <c r="C468" s="381"/>
      <c r="D468" s="269"/>
      <c r="E468" s="268"/>
      <c r="F468" s="262"/>
      <c r="G468" s="262"/>
      <c r="H468" s="262"/>
      <c r="I468" s="494"/>
    </row>
    <row r="469" spans="1:9" ht="15.75" customHeight="1" outlineLevel="2" thickBot="1" x14ac:dyDescent="0.3">
      <c r="B469" s="544" t="s">
        <v>120</v>
      </c>
      <c r="C469" s="545">
        <f>SUM(C418:C468)</f>
        <v>0</v>
      </c>
      <c r="D469" s="545">
        <f t="shared" ref="D469" si="17">SUM(D418:D468)</f>
        <v>0</v>
      </c>
      <c r="E469" s="545">
        <f t="shared" ref="E469" si="18">SUM(E418:E468)</f>
        <v>0</v>
      </c>
      <c r="F469" s="545">
        <f t="shared" ref="F469" si="19">SUM(F418:F468)</f>
        <v>0</v>
      </c>
      <c r="G469" s="545">
        <f t="shared" ref="G469" si="20">SUM(G418:G468)</f>
        <v>0</v>
      </c>
      <c r="H469" s="545">
        <f t="shared" ref="H469" si="21">SUM(H418:H468)</f>
        <v>0</v>
      </c>
      <c r="I469" s="546">
        <f t="shared" ref="I469" si="22">SUM(I418:I468)</f>
        <v>0</v>
      </c>
    </row>
    <row r="470" spans="1:9" ht="15.75" outlineLevel="1" thickBot="1" x14ac:dyDescent="0.3">
      <c r="B470" s="75"/>
    </row>
    <row r="471" spans="1:9" ht="20.25" customHeight="1" outlineLevel="1" thickBot="1" x14ac:dyDescent="0.3">
      <c r="B471" s="250" t="s">
        <v>167</v>
      </c>
      <c r="C471" s="251"/>
      <c r="D471" s="251"/>
      <c r="E471" s="251"/>
      <c r="F471" s="251"/>
      <c r="G471" s="251"/>
      <c r="H471" s="251"/>
      <c r="I471" s="251"/>
    </row>
    <row r="472" spans="1:9" s="42" customFormat="1" outlineLevel="2" x14ac:dyDescent="0.25">
      <c r="A472" s="291"/>
      <c r="B472"/>
      <c r="C472" s="1382" t="s">
        <v>149</v>
      </c>
      <c r="D472" s="1383"/>
      <c r="E472" s="1383"/>
      <c r="F472" s="1383"/>
      <c r="G472" s="1383"/>
      <c r="H472" s="1383"/>
      <c r="I472" s="1384"/>
    </row>
    <row r="473" spans="1:9" s="42" customFormat="1" outlineLevel="2" x14ac:dyDescent="0.25">
      <c r="A473" s="291"/>
      <c r="B473"/>
      <c r="C473" s="1375" t="s">
        <v>150</v>
      </c>
      <c r="D473" s="1376"/>
      <c r="E473" s="1376"/>
      <c r="F473" s="1376"/>
      <c r="G473" s="1376"/>
      <c r="H473" s="1376"/>
      <c r="I473" s="1377"/>
    </row>
    <row r="474" spans="1:9" s="42" customFormat="1" ht="15.75" outlineLevel="2" thickBot="1" x14ac:dyDescent="0.3">
      <c r="A474" s="291"/>
      <c r="B474" s="78"/>
      <c r="C474" s="405" t="str">
        <f ca="1">dms_y1</f>
        <v>2024-25</v>
      </c>
      <c r="D474" s="306" t="str">
        <f ca="1">dms_y2</f>
        <v>2025-26</v>
      </c>
      <c r="E474" s="305" t="str">
        <f ca="1">dms_y3</f>
        <v>2026-27</v>
      </c>
      <c r="F474" s="305" t="str">
        <f ca="1">dms_y4</f>
        <v>2027-28</v>
      </c>
      <c r="G474" s="305" t="str">
        <f ca="1">dms_y5</f>
        <v>2028-29</v>
      </c>
      <c r="H474" s="305" t="str">
        <f ca="1">dms_y6</f>
        <v>2029-30</v>
      </c>
      <c r="I474" s="406" t="str">
        <f ca="1">dms_y7</f>
        <v>2030-31</v>
      </c>
    </row>
    <row r="475" spans="1:9" ht="15.75" customHeight="1" outlineLevel="2" x14ac:dyDescent="0.25">
      <c r="B475" s="536" t="str">
        <f>IF(ISBLANK(dms_E3_Projects_01),"",dms_E3_Projects_01)</f>
        <v>Northern Corridor - Angle Vale</v>
      </c>
      <c r="C475" s="366"/>
      <c r="D475" s="265"/>
      <c r="E475" s="264"/>
      <c r="F475" s="257"/>
      <c r="G475" s="257"/>
      <c r="H475" s="257"/>
      <c r="I475" s="258"/>
    </row>
    <row r="476" spans="1:9" ht="15.75" customHeight="1" outlineLevel="2" x14ac:dyDescent="0.25">
      <c r="B476" s="536" t="str">
        <f>IF(ISBLANK(dms_E3_Projects_02),"",dms_E3_Projects_02)</f>
        <v>Southern Corridor - Seaford Aldinga</v>
      </c>
      <c r="C476" s="640"/>
      <c r="D476" s="641"/>
      <c r="E476" s="642"/>
      <c r="F476" s="643"/>
      <c r="G476" s="643"/>
      <c r="H476" s="643"/>
      <c r="I476" s="644"/>
    </row>
    <row r="477" spans="1:9" ht="15.75" customHeight="1" outlineLevel="2" x14ac:dyDescent="0.25">
      <c r="B477" s="536" t="str">
        <f>IF(ISBLANK(dms_E3_Projects_03),"",dms_E3_Projects_03)</f>
        <v>Northern Metro HP Main and Gawler Gate Station</v>
      </c>
      <c r="C477" s="380"/>
      <c r="D477" s="267"/>
      <c r="E477" s="266"/>
      <c r="F477" s="260"/>
      <c r="G477" s="260"/>
      <c r="H477" s="260"/>
      <c r="I477" s="245"/>
    </row>
    <row r="478" spans="1:9" ht="15.75" customHeight="1" outlineLevel="2" x14ac:dyDescent="0.25">
      <c r="B478" s="536" t="str">
        <f>IF(ISBLANK(dms_E3_Projects_04),"",dms_E3_Projects_04)</f>
        <v/>
      </c>
      <c r="C478" s="640"/>
      <c r="D478" s="641"/>
      <c r="E478" s="642"/>
      <c r="F478" s="643"/>
      <c r="G478" s="643"/>
      <c r="H478" s="643"/>
      <c r="I478" s="644"/>
    </row>
    <row r="479" spans="1:9" ht="15.75" customHeight="1" outlineLevel="2" x14ac:dyDescent="0.25">
      <c r="B479" s="536" t="str">
        <f>IF(ISBLANK(dms_E3_Projects_05),"",dms_E3_Projects_05)</f>
        <v/>
      </c>
      <c r="C479" s="380"/>
      <c r="D479" s="267"/>
      <c r="E479" s="266"/>
      <c r="F479" s="260"/>
      <c r="G479" s="260"/>
      <c r="H479" s="260"/>
      <c r="I479" s="245"/>
    </row>
    <row r="480" spans="1:9" ht="15.75" customHeight="1" outlineLevel="2" x14ac:dyDescent="0.25">
      <c r="B480" s="536" t="str">
        <f>IF(ISBLANK(dms_E3_Projects_06),"",dms_E3_Projects_06)</f>
        <v/>
      </c>
      <c r="C480" s="640"/>
      <c r="D480" s="641"/>
      <c r="E480" s="642"/>
      <c r="F480" s="643"/>
      <c r="G480" s="643"/>
      <c r="H480" s="643"/>
      <c r="I480" s="644"/>
    </row>
    <row r="481" spans="2:9" ht="15.75" customHeight="1" outlineLevel="2" x14ac:dyDescent="0.25">
      <c r="B481" s="536" t="str">
        <f>IF(ISBLANK(dms_E3_Projects_07),"",dms_E3_Projects_07)</f>
        <v/>
      </c>
      <c r="C481" s="380"/>
      <c r="D481" s="267"/>
      <c r="E481" s="266"/>
      <c r="F481" s="260"/>
      <c r="G481" s="260"/>
      <c r="H481" s="260"/>
      <c r="I481" s="245"/>
    </row>
    <row r="482" spans="2:9" ht="15.75" customHeight="1" outlineLevel="2" x14ac:dyDescent="0.25">
      <c r="B482" s="536" t="str">
        <f>IF(ISBLANK(dms_E3_Projects_08),"",dms_E3_Projects_08)</f>
        <v/>
      </c>
      <c r="C482" s="640"/>
      <c r="D482" s="641"/>
      <c r="E482" s="642"/>
      <c r="F482" s="643"/>
      <c r="G482" s="643"/>
      <c r="H482" s="643"/>
      <c r="I482" s="644"/>
    </row>
    <row r="483" spans="2:9" ht="15.75" customHeight="1" outlineLevel="2" x14ac:dyDescent="0.25">
      <c r="B483" s="536" t="str">
        <f>IF(ISBLANK(dms_E3_Projects_09),"",dms_E3_Projects_09)</f>
        <v/>
      </c>
      <c r="C483" s="380"/>
      <c r="D483" s="267"/>
      <c r="E483" s="266"/>
      <c r="F483" s="260"/>
      <c r="G483" s="260"/>
      <c r="H483" s="260"/>
      <c r="I483" s="245"/>
    </row>
    <row r="484" spans="2:9" ht="15.75" customHeight="1" outlineLevel="2" x14ac:dyDescent="0.25">
      <c r="B484" s="536" t="str">
        <f>IF(ISBLANK(dms_E3_Projects_10),"",dms_E3_Projects_10)</f>
        <v/>
      </c>
      <c r="C484" s="640"/>
      <c r="D484" s="641"/>
      <c r="E484" s="642"/>
      <c r="F484" s="643"/>
      <c r="G484" s="643"/>
      <c r="H484" s="643"/>
      <c r="I484" s="644"/>
    </row>
    <row r="485" spans="2:9" ht="15.75" customHeight="1" outlineLevel="2" x14ac:dyDescent="0.25">
      <c r="B485" s="536" t="str">
        <f>IF(ISBLANK(dms_E3_Projects_11),"",dms_E3_Projects_11)</f>
        <v/>
      </c>
      <c r="C485" s="380"/>
      <c r="D485" s="267"/>
      <c r="E485" s="266"/>
      <c r="F485" s="260"/>
      <c r="G485" s="260"/>
      <c r="H485" s="260"/>
      <c r="I485" s="245"/>
    </row>
    <row r="486" spans="2:9" ht="15.75" customHeight="1" outlineLevel="2" x14ac:dyDescent="0.25">
      <c r="B486" s="536" t="str">
        <f>IF(ISBLANK(dms_E3_Projects_12),"",dms_E3_Projects_12)</f>
        <v/>
      </c>
      <c r="C486" s="640"/>
      <c r="D486" s="641"/>
      <c r="E486" s="642"/>
      <c r="F486" s="643"/>
      <c r="G486" s="643"/>
      <c r="H486" s="643"/>
      <c r="I486" s="644"/>
    </row>
    <row r="487" spans="2:9" ht="15.75" customHeight="1" outlineLevel="2" x14ac:dyDescent="0.25">
      <c r="B487" s="536" t="str">
        <f>IF(ISBLANK(dms_E3_Projects_13),"",dms_E3_Projects_13)</f>
        <v/>
      </c>
      <c r="C487" s="380"/>
      <c r="D487" s="267"/>
      <c r="E487" s="266"/>
      <c r="F487" s="260"/>
      <c r="G487" s="260"/>
      <c r="H487" s="260"/>
      <c r="I487" s="245"/>
    </row>
    <row r="488" spans="2:9" ht="15.75" customHeight="1" outlineLevel="2" x14ac:dyDescent="0.25">
      <c r="B488" s="536" t="str">
        <f>IF(ISBLANK(dms_E3_Projects_14),"",dms_E3_Projects_14)</f>
        <v/>
      </c>
      <c r="C488" s="640"/>
      <c r="D488" s="641"/>
      <c r="E488" s="642"/>
      <c r="F488" s="643"/>
      <c r="G488" s="643"/>
      <c r="H488" s="643"/>
      <c r="I488" s="644"/>
    </row>
    <row r="489" spans="2:9" ht="15.75" customHeight="1" outlineLevel="2" x14ac:dyDescent="0.25">
      <c r="B489" s="536" t="str">
        <f>IF(ISBLANK(dms_E3_Projects_15),"",dms_E3_Projects_15)</f>
        <v/>
      </c>
      <c r="C489" s="380"/>
      <c r="D489" s="267"/>
      <c r="E489" s="266"/>
      <c r="F489" s="260"/>
      <c r="G489" s="260"/>
      <c r="H489" s="260"/>
      <c r="I489" s="245"/>
    </row>
    <row r="490" spans="2:9" ht="15.75" customHeight="1" outlineLevel="2" x14ac:dyDescent="0.25">
      <c r="B490" s="536" t="str">
        <f>IF(ISBLANK(dms_E3_Projects_16),"",dms_E3_Projects_16)</f>
        <v/>
      </c>
      <c r="C490" s="640"/>
      <c r="D490" s="641"/>
      <c r="E490" s="642"/>
      <c r="F490" s="643"/>
      <c r="G490" s="643"/>
      <c r="H490" s="643"/>
      <c r="I490" s="644"/>
    </row>
    <row r="491" spans="2:9" ht="15.75" customHeight="1" outlineLevel="2" x14ac:dyDescent="0.25">
      <c r="B491" s="541" t="str">
        <f>IF(ISBLANK(dms_E3_Projects_17),"",dms_E3_Projects_17)</f>
        <v/>
      </c>
      <c r="C491" s="380"/>
      <c r="D491" s="267"/>
      <c r="E491" s="266"/>
      <c r="F491" s="260"/>
      <c r="G491" s="260"/>
      <c r="H491" s="260"/>
      <c r="I491" s="245"/>
    </row>
    <row r="492" spans="2:9" ht="15.75" customHeight="1" outlineLevel="2" x14ac:dyDescent="0.25">
      <c r="B492" s="541" t="str">
        <f>IF(ISBLANK(dms_E3_Projects_18),"",dms_E3_Projects_18)</f>
        <v/>
      </c>
      <c r="C492" s="640"/>
      <c r="D492" s="641"/>
      <c r="E492" s="642"/>
      <c r="F492" s="643"/>
      <c r="G492" s="643"/>
      <c r="H492" s="643"/>
      <c r="I492" s="644"/>
    </row>
    <row r="493" spans="2:9" ht="15.75" customHeight="1" outlineLevel="2" x14ac:dyDescent="0.25">
      <c r="B493" s="541" t="str">
        <f>IF(ISBLANK(dms_E3_Projects_18),"",dms_E3_Projects_18)</f>
        <v/>
      </c>
      <c r="C493" s="380"/>
      <c r="D493" s="267"/>
      <c r="E493" s="266"/>
      <c r="F493" s="260"/>
      <c r="G493" s="260"/>
      <c r="H493" s="260"/>
      <c r="I493" s="245"/>
    </row>
    <row r="494" spans="2:9" ht="15.75" customHeight="1" outlineLevel="2" x14ac:dyDescent="0.25">
      <c r="B494" s="541" t="str">
        <f>IF(ISBLANK(dms_E3_Projects_19),"",dms_E3_Projects_19)</f>
        <v/>
      </c>
      <c r="C494" s="640"/>
      <c r="D494" s="641"/>
      <c r="E494" s="642"/>
      <c r="F494" s="643"/>
      <c r="G494" s="643"/>
      <c r="H494" s="643"/>
      <c r="I494" s="644"/>
    </row>
    <row r="495" spans="2:9" ht="15.75" customHeight="1" outlineLevel="2" x14ac:dyDescent="0.25">
      <c r="B495" s="541" t="str">
        <f>IF(ISBLANK(dms_E3_Projects_20),"",dms_E3_Projects_20)</f>
        <v/>
      </c>
      <c r="C495" s="380"/>
      <c r="D495" s="267"/>
      <c r="E495" s="266"/>
      <c r="F495" s="260"/>
      <c r="G495" s="260"/>
      <c r="H495" s="260"/>
      <c r="I495" s="245"/>
    </row>
    <row r="496" spans="2:9" ht="15.75" customHeight="1" outlineLevel="2" x14ac:dyDescent="0.25">
      <c r="B496" s="541" t="str">
        <f>IF(ISBLANK(dms_E3_Projects_21),"",dms_E3_Projects_21)</f>
        <v/>
      </c>
      <c r="C496" s="640"/>
      <c r="D496" s="641"/>
      <c r="E496" s="642"/>
      <c r="F496" s="643"/>
      <c r="G496" s="643"/>
      <c r="H496" s="643"/>
      <c r="I496" s="644"/>
    </row>
    <row r="497" spans="2:9" ht="15.75" customHeight="1" outlineLevel="2" x14ac:dyDescent="0.25">
      <c r="B497" s="541" t="str">
        <f>IF(ISBLANK(dms_E3_Projects_22),"",dms_E3_Projects_22)</f>
        <v/>
      </c>
      <c r="C497" s="380"/>
      <c r="D497" s="267"/>
      <c r="E497" s="266"/>
      <c r="F497" s="260"/>
      <c r="G497" s="260"/>
      <c r="H497" s="260"/>
      <c r="I497" s="245"/>
    </row>
    <row r="498" spans="2:9" ht="15.75" customHeight="1" outlineLevel="2" x14ac:dyDescent="0.25">
      <c r="B498" s="541" t="str">
        <f>IF(ISBLANK(dms_E3_Projects_23),"",dms_E3_Projects_23)</f>
        <v/>
      </c>
      <c r="C498" s="640"/>
      <c r="D498" s="641"/>
      <c r="E498" s="642"/>
      <c r="F498" s="643"/>
      <c r="G498" s="643"/>
      <c r="H498" s="643"/>
      <c r="I498" s="644"/>
    </row>
    <row r="499" spans="2:9" ht="15.75" customHeight="1" outlineLevel="2" x14ac:dyDescent="0.25">
      <c r="B499" s="541" t="str">
        <f>IF(ISBLANK(dms_E3_Projects_24),"",dms_E3_Projects_24)</f>
        <v/>
      </c>
      <c r="C499" s="380"/>
      <c r="D499" s="267"/>
      <c r="E499" s="266"/>
      <c r="F499" s="260"/>
      <c r="G499" s="260"/>
      <c r="H499" s="260"/>
      <c r="I499" s="245"/>
    </row>
    <row r="500" spans="2:9" ht="15.75" customHeight="1" outlineLevel="2" x14ac:dyDescent="0.25">
      <c r="B500" s="541" t="str">
        <f>IF(ISBLANK(dms_E3_Projects_25),"",dms_E3_Projects_26)</f>
        <v/>
      </c>
      <c r="C500" s="640"/>
      <c r="D500" s="641"/>
      <c r="E500" s="642"/>
      <c r="F500" s="643"/>
      <c r="G500" s="643"/>
      <c r="H500" s="643"/>
      <c r="I500" s="644"/>
    </row>
    <row r="501" spans="2:9" ht="15.75" customHeight="1" outlineLevel="2" x14ac:dyDescent="0.25">
      <c r="B501" s="541" t="str">
        <f>IF(ISBLANK(dms_E3_Projects_27),"",dms_E3_Projects_27)</f>
        <v/>
      </c>
      <c r="C501" s="380"/>
      <c r="D501" s="267"/>
      <c r="E501" s="266"/>
      <c r="F501" s="260"/>
      <c r="G501" s="260"/>
      <c r="H501" s="260"/>
      <c r="I501" s="245"/>
    </row>
    <row r="502" spans="2:9" ht="15.75" customHeight="1" outlineLevel="2" x14ac:dyDescent="0.25">
      <c r="B502" s="541" t="str">
        <f>IF(ISBLANK(dms_E3_Projects_28),"",dms_E3_Projects_28)</f>
        <v/>
      </c>
      <c r="C502" s="640"/>
      <c r="D502" s="641"/>
      <c r="E502" s="642"/>
      <c r="F502" s="643"/>
      <c r="G502" s="643"/>
      <c r="H502" s="643"/>
      <c r="I502" s="644"/>
    </row>
    <row r="503" spans="2:9" ht="15.75" customHeight="1" outlineLevel="2" x14ac:dyDescent="0.25">
      <c r="B503" s="541" t="str">
        <f>IF(ISBLANK(dms_E3_Projects_29),"",dms_E3_Projects_29)</f>
        <v/>
      </c>
      <c r="C503" s="380"/>
      <c r="D503" s="267"/>
      <c r="E503" s="266"/>
      <c r="F503" s="260"/>
      <c r="G503" s="260"/>
      <c r="H503" s="260"/>
      <c r="I503" s="245"/>
    </row>
    <row r="504" spans="2:9" ht="15.75" customHeight="1" outlineLevel="2" x14ac:dyDescent="0.25">
      <c r="B504" s="541" t="str">
        <f>IF(ISBLANK(dms_E3_Projects_30),"",dms_E3_Projects_30)</f>
        <v/>
      </c>
      <c r="C504" s="640"/>
      <c r="D504" s="641"/>
      <c r="E504" s="642"/>
      <c r="F504" s="643"/>
      <c r="G504" s="643"/>
      <c r="H504" s="643"/>
      <c r="I504" s="644"/>
    </row>
    <row r="505" spans="2:9" ht="15.75" customHeight="1" outlineLevel="2" x14ac:dyDescent="0.25">
      <c r="B505" s="541" t="str">
        <f>IF(ISBLANK(dms_E3_Projects_31),"",dms_E3_Projects_31)</f>
        <v/>
      </c>
      <c r="C505" s="380"/>
      <c r="D505" s="267"/>
      <c r="E505" s="266"/>
      <c r="F505" s="260"/>
      <c r="G505" s="260"/>
      <c r="H505" s="260"/>
      <c r="I505" s="245"/>
    </row>
    <row r="506" spans="2:9" ht="15.75" customHeight="1" outlineLevel="2" x14ac:dyDescent="0.25">
      <c r="B506" s="541" t="str">
        <f>IF(ISBLANK(dms_E3_Projects_32),"",dms_E3_Projects_32)</f>
        <v/>
      </c>
      <c r="C506" s="640"/>
      <c r="D506" s="641"/>
      <c r="E506" s="642"/>
      <c r="F506" s="643"/>
      <c r="G506" s="643"/>
      <c r="H506" s="643"/>
      <c r="I506" s="644"/>
    </row>
    <row r="507" spans="2:9" ht="15.75" customHeight="1" outlineLevel="2" x14ac:dyDescent="0.25">
      <c r="B507" s="541" t="str">
        <f>IF(ISBLANK(dms_E3_Projects_33),"",dms_E3_Projects_33)</f>
        <v/>
      </c>
      <c r="C507" s="380"/>
      <c r="D507" s="267"/>
      <c r="E507" s="266"/>
      <c r="F507" s="260"/>
      <c r="G507" s="260"/>
      <c r="H507" s="260"/>
      <c r="I507" s="245"/>
    </row>
    <row r="508" spans="2:9" ht="15.75" customHeight="1" outlineLevel="2" x14ac:dyDescent="0.25">
      <c r="B508" s="541" t="str">
        <f>IF(ISBLANK(dms_E3_Projects_34),"",dms_E3_Projects_34)</f>
        <v/>
      </c>
      <c r="C508" s="640"/>
      <c r="D508" s="641"/>
      <c r="E508" s="642"/>
      <c r="F508" s="643"/>
      <c r="G508" s="643"/>
      <c r="H508" s="643"/>
      <c r="I508" s="644"/>
    </row>
    <row r="509" spans="2:9" ht="15.75" customHeight="1" outlineLevel="2" x14ac:dyDescent="0.25">
      <c r="B509" s="541" t="str">
        <f>IF(ISBLANK(dms_E3_Projects_35),"",dms_E3_Projects_35)</f>
        <v/>
      </c>
      <c r="C509" s="380"/>
      <c r="D509" s="267"/>
      <c r="E509" s="266"/>
      <c r="F509" s="260"/>
      <c r="G509" s="260"/>
      <c r="H509" s="260"/>
      <c r="I509" s="245"/>
    </row>
    <row r="510" spans="2:9" ht="15.75" customHeight="1" outlineLevel="2" x14ac:dyDescent="0.25">
      <c r="B510" s="541" t="str">
        <f>IF(ISBLANK(dms_E3_Projects_36),"",dms_E3_Projects_36)</f>
        <v/>
      </c>
      <c r="C510" s="640"/>
      <c r="D510" s="641"/>
      <c r="E510" s="642"/>
      <c r="F510" s="643"/>
      <c r="G510" s="643"/>
      <c r="H510" s="643"/>
      <c r="I510" s="644"/>
    </row>
    <row r="511" spans="2:9" ht="15.75" customHeight="1" outlineLevel="2" x14ac:dyDescent="0.25">
      <c r="B511" s="541" t="str">
        <f>IF(ISBLANK(dms_E3_Projects_37),"",dms_E3_Projects_37)</f>
        <v/>
      </c>
      <c r="C511" s="380"/>
      <c r="D511" s="267"/>
      <c r="E511" s="266"/>
      <c r="F511" s="260"/>
      <c r="G511" s="260"/>
      <c r="H511" s="260"/>
      <c r="I511" s="245"/>
    </row>
    <row r="512" spans="2:9" ht="15.75" customHeight="1" outlineLevel="2" x14ac:dyDescent="0.25">
      <c r="B512" s="541" t="str">
        <f>IF(ISBLANK(dms_E3_Projects_38),"",dms_E3_Projects_38)</f>
        <v/>
      </c>
      <c r="C512" s="640"/>
      <c r="D512" s="641"/>
      <c r="E512" s="642"/>
      <c r="F512" s="643"/>
      <c r="G512" s="643"/>
      <c r="H512" s="643"/>
      <c r="I512" s="644"/>
    </row>
    <row r="513" spans="2:9" ht="15.75" customHeight="1" outlineLevel="2" x14ac:dyDescent="0.25">
      <c r="B513" s="541" t="str">
        <f>IF(ISBLANK(dms_E3_Projects_39),"",dms_E3_Projects_39)</f>
        <v/>
      </c>
      <c r="C513" s="380"/>
      <c r="D513" s="267"/>
      <c r="E513" s="266"/>
      <c r="F513" s="260"/>
      <c r="G513" s="260"/>
      <c r="H513" s="260"/>
      <c r="I513" s="245"/>
    </row>
    <row r="514" spans="2:9" ht="15.75" customHeight="1" outlineLevel="2" x14ac:dyDescent="0.25">
      <c r="B514" s="541" t="str">
        <f>IF(ISBLANK(dms_E3_Projects_40),"",dms_E3_Projects_40)</f>
        <v/>
      </c>
      <c r="C514" s="640"/>
      <c r="D514" s="641"/>
      <c r="E514" s="642"/>
      <c r="F514" s="643"/>
      <c r="G514" s="643"/>
      <c r="H514" s="643"/>
      <c r="I514" s="644"/>
    </row>
    <row r="515" spans="2:9" ht="15.75" customHeight="1" outlineLevel="2" x14ac:dyDescent="0.25">
      <c r="B515" s="541" t="str">
        <f>IF(ISBLANK(dms_E3_Projects_41),"",dms_E3_Projects_41)</f>
        <v/>
      </c>
      <c r="C515" s="380"/>
      <c r="D515" s="267"/>
      <c r="E515" s="266"/>
      <c r="F515" s="260"/>
      <c r="G515" s="260"/>
      <c r="H515" s="260"/>
      <c r="I515" s="245"/>
    </row>
    <row r="516" spans="2:9" ht="15.75" customHeight="1" outlineLevel="2" x14ac:dyDescent="0.25">
      <c r="B516" s="541" t="str">
        <f>IF(ISBLANK(dms_E3_Projects_42),"",dms_E3_Projects_42)</f>
        <v/>
      </c>
      <c r="C516" s="640"/>
      <c r="D516" s="641"/>
      <c r="E516" s="642"/>
      <c r="F516" s="643"/>
      <c r="G516" s="643"/>
      <c r="H516" s="643"/>
      <c r="I516" s="644"/>
    </row>
    <row r="517" spans="2:9" ht="15.75" customHeight="1" outlineLevel="2" x14ac:dyDescent="0.25">
      <c r="B517" s="541" t="str">
        <f>IF(ISBLANK(dms_E3_Projects_43),"",dms_E3_Projects_43)</f>
        <v/>
      </c>
      <c r="C517" s="380"/>
      <c r="D517" s="267"/>
      <c r="E517" s="266"/>
      <c r="F517" s="260"/>
      <c r="G517" s="260"/>
      <c r="H517" s="260"/>
      <c r="I517" s="245"/>
    </row>
    <row r="518" spans="2:9" ht="15.75" customHeight="1" outlineLevel="2" x14ac:dyDescent="0.25">
      <c r="B518" s="541" t="str">
        <f>IF(ISBLANK(dms_E3_Projects_44),"",dms_E3_Projects_44)</f>
        <v/>
      </c>
      <c r="C518" s="640"/>
      <c r="D518" s="641"/>
      <c r="E518" s="642"/>
      <c r="F518" s="643"/>
      <c r="G518" s="643"/>
      <c r="H518" s="643"/>
      <c r="I518" s="644"/>
    </row>
    <row r="519" spans="2:9" ht="15.75" customHeight="1" outlineLevel="2" x14ac:dyDescent="0.25">
      <c r="B519" s="541" t="str">
        <f>IF(ISBLANK(dms_E3_Projects_45),"",dms_E3_Projects_45)</f>
        <v/>
      </c>
      <c r="C519" s="380"/>
      <c r="D519" s="267"/>
      <c r="E519" s="266"/>
      <c r="F519" s="260"/>
      <c r="G519" s="260"/>
      <c r="H519" s="260"/>
      <c r="I519" s="245"/>
    </row>
    <row r="520" spans="2:9" ht="15.75" customHeight="1" outlineLevel="2" x14ac:dyDescent="0.25">
      <c r="B520" s="541" t="str">
        <f>IF(ISBLANK(dms_E3_Projects_46),"",dms_E3_Projects_46)</f>
        <v/>
      </c>
      <c r="C520" s="640"/>
      <c r="D520" s="641"/>
      <c r="E520" s="642"/>
      <c r="F520" s="643"/>
      <c r="G520" s="643"/>
      <c r="H520" s="643"/>
      <c r="I520" s="644"/>
    </row>
    <row r="521" spans="2:9" ht="15.75" customHeight="1" outlineLevel="2" x14ac:dyDescent="0.25">
      <c r="B521" s="541" t="str">
        <f>IF(ISBLANK(dms_E3_Projects_47),"",dms_E3_Projects_47)</f>
        <v/>
      </c>
      <c r="C521" s="380"/>
      <c r="D521" s="267"/>
      <c r="E521" s="266"/>
      <c r="F521" s="260"/>
      <c r="G521" s="260"/>
      <c r="H521" s="260"/>
      <c r="I521" s="245"/>
    </row>
    <row r="522" spans="2:9" ht="15.75" customHeight="1" outlineLevel="2" x14ac:dyDescent="0.25">
      <c r="B522" s="541" t="str">
        <f>IF(ISBLANK(dms_E3_Projects_48),"",dms_E3_Projects_48)</f>
        <v/>
      </c>
      <c r="C522" s="640"/>
      <c r="D522" s="641"/>
      <c r="E522" s="642"/>
      <c r="F522" s="643"/>
      <c r="G522" s="643"/>
      <c r="H522" s="643"/>
      <c r="I522" s="644"/>
    </row>
    <row r="523" spans="2:9" ht="15.75" customHeight="1" outlineLevel="2" x14ac:dyDescent="0.25">
      <c r="B523" s="541" t="str">
        <f>IF(ISBLANK(dms_E3_Projects_49),"",dms_E3_Projects_49)</f>
        <v/>
      </c>
      <c r="C523" s="380"/>
      <c r="D523" s="267"/>
      <c r="E523" s="266"/>
      <c r="F523" s="260"/>
      <c r="G523" s="260"/>
      <c r="H523" s="260"/>
      <c r="I523" s="245"/>
    </row>
    <row r="524" spans="2:9" ht="15.75" customHeight="1" outlineLevel="2" x14ac:dyDescent="0.25">
      <c r="B524" s="541" t="str">
        <f>IF(ISBLANK(dms_E3_Projects_50),"",dms_E3_Projects_50)</f>
        <v/>
      </c>
      <c r="C524" s="640"/>
      <c r="D524" s="641"/>
      <c r="E524" s="642"/>
      <c r="F524" s="643"/>
      <c r="G524" s="643"/>
      <c r="H524" s="643"/>
      <c r="I524" s="644"/>
    </row>
    <row r="525" spans="2:9" ht="15.75" customHeight="1" outlineLevel="2" thickBot="1" x14ac:dyDescent="0.3">
      <c r="B525" s="547" t="s">
        <v>152</v>
      </c>
      <c r="C525" s="381"/>
      <c r="D525" s="269"/>
      <c r="E525" s="268"/>
      <c r="F525" s="262"/>
      <c r="G525" s="262"/>
      <c r="H525" s="262"/>
      <c r="I525" s="494"/>
    </row>
    <row r="526" spans="2:9" ht="15.75" customHeight="1" outlineLevel="2" thickBot="1" x14ac:dyDescent="0.3">
      <c r="B526" s="544" t="s">
        <v>120</v>
      </c>
      <c r="C526" s="545">
        <f>SUM(C475:C525)</f>
        <v>0</v>
      </c>
      <c r="D526" s="545">
        <f t="shared" ref="D526" si="23">SUM(D475:D525)</f>
        <v>0</v>
      </c>
      <c r="E526" s="545">
        <f t="shared" ref="E526" si="24">SUM(E475:E525)</f>
        <v>0</v>
      </c>
      <c r="F526" s="545">
        <f t="shared" ref="F526" si="25">SUM(F475:F525)</f>
        <v>0</v>
      </c>
      <c r="G526" s="545">
        <f t="shared" ref="G526" si="26">SUM(G475:G525)</f>
        <v>0</v>
      </c>
      <c r="H526" s="545">
        <f t="shared" ref="H526" si="27">SUM(H475:H525)</f>
        <v>0</v>
      </c>
      <c r="I526" s="546">
        <f t="shared" ref="I526" si="28">SUM(I475:I525)</f>
        <v>0</v>
      </c>
    </row>
    <row r="527" spans="2:9" ht="15.75" outlineLevel="1" thickBot="1" x14ac:dyDescent="0.3">
      <c r="B527" s="75"/>
    </row>
    <row r="528" spans="2:9" ht="20.25" customHeight="1" outlineLevel="1" thickBot="1" x14ac:dyDescent="0.3">
      <c r="B528" s="250" t="s">
        <v>155</v>
      </c>
      <c r="C528" s="251"/>
      <c r="D528" s="251"/>
      <c r="E528" s="251"/>
      <c r="F528" s="251"/>
      <c r="G528" s="251"/>
      <c r="H528" s="251"/>
      <c r="I528" s="251"/>
    </row>
    <row r="529" spans="1:9" s="42" customFormat="1" outlineLevel="2" x14ac:dyDescent="0.25">
      <c r="A529" s="291"/>
      <c r="B529"/>
      <c r="C529" s="1382" t="s">
        <v>149</v>
      </c>
      <c r="D529" s="1383"/>
      <c r="E529" s="1383"/>
      <c r="F529" s="1383"/>
      <c r="G529" s="1383"/>
      <c r="H529" s="1383"/>
      <c r="I529" s="1384"/>
    </row>
    <row r="530" spans="1:9" s="42" customFormat="1" outlineLevel="2" x14ac:dyDescent="0.25">
      <c r="A530" s="291"/>
      <c r="B530"/>
      <c r="C530" s="1375" t="s">
        <v>150</v>
      </c>
      <c r="D530" s="1376"/>
      <c r="E530" s="1376"/>
      <c r="F530" s="1376"/>
      <c r="G530" s="1376"/>
      <c r="H530" s="1376"/>
      <c r="I530" s="1377"/>
    </row>
    <row r="531" spans="1:9" s="42" customFormat="1" ht="15.75" outlineLevel="2" thickBot="1" x14ac:dyDescent="0.3">
      <c r="A531" s="291"/>
      <c r="B531" s="78"/>
      <c r="C531" s="405" t="str">
        <f ca="1">dms_y1</f>
        <v>2024-25</v>
      </c>
      <c r="D531" s="306" t="str">
        <f ca="1">dms_y2</f>
        <v>2025-26</v>
      </c>
      <c r="E531" s="305" t="str">
        <f ca="1">dms_y3</f>
        <v>2026-27</v>
      </c>
      <c r="F531" s="305" t="str">
        <f ca="1">dms_y4</f>
        <v>2027-28</v>
      </c>
      <c r="G531" s="305" t="str">
        <f ca="1">dms_y5</f>
        <v>2028-29</v>
      </c>
      <c r="H531" s="305" t="str">
        <f ca="1">dms_y6</f>
        <v>2029-30</v>
      </c>
      <c r="I531" s="406" t="str">
        <f ca="1">dms_y7</f>
        <v>2030-31</v>
      </c>
    </row>
    <row r="532" spans="1:9" ht="15.75" customHeight="1" outlineLevel="2" x14ac:dyDescent="0.25">
      <c r="B532" s="536" t="str">
        <f>IF(ISBLANK(dms_E3_Projects_01),"",dms_E3_Projects_01)</f>
        <v>Northern Corridor - Angle Vale</v>
      </c>
      <c r="C532" s="366"/>
      <c r="D532" s="265"/>
      <c r="E532" s="264"/>
      <c r="F532" s="257"/>
      <c r="G532" s="257"/>
      <c r="H532" s="257"/>
      <c r="I532" s="258"/>
    </row>
    <row r="533" spans="1:9" ht="15.75" customHeight="1" outlineLevel="2" x14ac:dyDescent="0.25">
      <c r="B533" s="536" t="str">
        <f>IF(ISBLANK(dms_E3_Projects_02),"",dms_E3_Projects_02)</f>
        <v>Southern Corridor - Seaford Aldinga</v>
      </c>
      <c r="C533" s="640"/>
      <c r="D533" s="641"/>
      <c r="E533" s="642"/>
      <c r="F533" s="643"/>
      <c r="G533" s="643"/>
      <c r="H533" s="643"/>
      <c r="I533" s="644"/>
    </row>
    <row r="534" spans="1:9" ht="15.75" customHeight="1" outlineLevel="2" x14ac:dyDescent="0.25">
      <c r="B534" s="536" t="str">
        <f>IF(ISBLANK(dms_E3_Projects_03),"",dms_E3_Projects_03)</f>
        <v>Northern Metro HP Main and Gawler Gate Station</v>
      </c>
      <c r="C534" s="380"/>
      <c r="D534" s="267"/>
      <c r="E534" s="266"/>
      <c r="F534" s="260"/>
      <c r="G534" s="260"/>
      <c r="H534" s="260"/>
      <c r="I534" s="245"/>
    </row>
    <row r="535" spans="1:9" ht="15.75" customHeight="1" outlineLevel="2" x14ac:dyDescent="0.25">
      <c r="B535" s="536" t="str">
        <f>IF(ISBLANK(dms_E3_Projects_04),"",dms_E3_Projects_04)</f>
        <v/>
      </c>
      <c r="C535" s="640"/>
      <c r="D535" s="641"/>
      <c r="E535" s="642"/>
      <c r="F535" s="643"/>
      <c r="G535" s="643"/>
      <c r="H535" s="643"/>
      <c r="I535" s="644"/>
    </row>
    <row r="536" spans="1:9" ht="15.75" customHeight="1" outlineLevel="2" x14ac:dyDescent="0.25">
      <c r="B536" s="536" t="str">
        <f>IF(ISBLANK(dms_E3_Projects_05),"",dms_E3_Projects_05)</f>
        <v/>
      </c>
      <c r="C536" s="380"/>
      <c r="D536" s="267"/>
      <c r="E536" s="266"/>
      <c r="F536" s="260"/>
      <c r="G536" s="260"/>
      <c r="H536" s="260"/>
      <c r="I536" s="245"/>
    </row>
    <row r="537" spans="1:9" ht="15.75" customHeight="1" outlineLevel="2" x14ac:dyDescent="0.25">
      <c r="B537" s="536" t="str">
        <f>IF(ISBLANK(dms_E3_Projects_06),"",dms_E3_Projects_06)</f>
        <v/>
      </c>
      <c r="C537" s="640"/>
      <c r="D537" s="641"/>
      <c r="E537" s="642"/>
      <c r="F537" s="643"/>
      <c r="G537" s="643"/>
      <c r="H537" s="643"/>
      <c r="I537" s="644"/>
    </row>
    <row r="538" spans="1:9" ht="15.75" customHeight="1" outlineLevel="2" x14ac:dyDescent="0.25">
      <c r="B538" s="536" t="str">
        <f>IF(ISBLANK(dms_E3_Projects_07),"",dms_E3_Projects_07)</f>
        <v/>
      </c>
      <c r="C538" s="380"/>
      <c r="D538" s="267"/>
      <c r="E538" s="266"/>
      <c r="F538" s="260"/>
      <c r="G538" s="260"/>
      <c r="H538" s="260"/>
      <c r="I538" s="245"/>
    </row>
    <row r="539" spans="1:9" ht="15.75" customHeight="1" outlineLevel="2" x14ac:dyDescent="0.25">
      <c r="B539" s="536" t="str">
        <f>IF(ISBLANK(dms_E3_Projects_08),"",dms_E3_Projects_08)</f>
        <v/>
      </c>
      <c r="C539" s="640"/>
      <c r="D539" s="641"/>
      <c r="E539" s="642"/>
      <c r="F539" s="643"/>
      <c r="G539" s="643"/>
      <c r="H539" s="643"/>
      <c r="I539" s="644"/>
    </row>
    <row r="540" spans="1:9" ht="15.75" customHeight="1" outlineLevel="2" x14ac:dyDescent="0.25">
      <c r="B540" s="536" t="str">
        <f>IF(ISBLANK(dms_E3_Projects_09),"",dms_E3_Projects_09)</f>
        <v/>
      </c>
      <c r="C540" s="380"/>
      <c r="D540" s="267"/>
      <c r="E540" s="266"/>
      <c r="F540" s="260"/>
      <c r="G540" s="260"/>
      <c r="H540" s="260"/>
      <c r="I540" s="245"/>
    </row>
    <row r="541" spans="1:9" ht="15.75" customHeight="1" outlineLevel="2" x14ac:dyDescent="0.25">
      <c r="B541" s="536" t="str">
        <f>IF(ISBLANK(dms_E3_Projects_10),"",dms_E3_Projects_10)</f>
        <v/>
      </c>
      <c r="C541" s="640"/>
      <c r="D541" s="641"/>
      <c r="E541" s="642"/>
      <c r="F541" s="643"/>
      <c r="G541" s="643"/>
      <c r="H541" s="643"/>
      <c r="I541" s="644"/>
    </row>
    <row r="542" spans="1:9" ht="15.75" customHeight="1" outlineLevel="2" x14ac:dyDescent="0.25">
      <c r="B542" s="536" t="str">
        <f>IF(ISBLANK(dms_E3_Projects_11),"",dms_E3_Projects_11)</f>
        <v/>
      </c>
      <c r="C542" s="380"/>
      <c r="D542" s="267"/>
      <c r="E542" s="266"/>
      <c r="F542" s="260"/>
      <c r="G542" s="260"/>
      <c r="H542" s="260"/>
      <c r="I542" s="245"/>
    </row>
    <row r="543" spans="1:9" ht="15.75" customHeight="1" outlineLevel="2" x14ac:dyDescent="0.25">
      <c r="B543" s="536" t="str">
        <f>IF(ISBLANK(dms_E3_Projects_12),"",dms_E3_Projects_12)</f>
        <v/>
      </c>
      <c r="C543" s="640"/>
      <c r="D543" s="641"/>
      <c r="E543" s="642"/>
      <c r="F543" s="643"/>
      <c r="G543" s="643"/>
      <c r="H543" s="643"/>
      <c r="I543" s="644"/>
    </row>
    <row r="544" spans="1:9" ht="15.75" customHeight="1" outlineLevel="2" x14ac:dyDescent="0.25">
      <c r="B544" s="536" t="str">
        <f>IF(ISBLANK(dms_E3_Projects_13),"",dms_E3_Projects_13)</f>
        <v/>
      </c>
      <c r="C544" s="380"/>
      <c r="D544" s="267"/>
      <c r="E544" s="266"/>
      <c r="F544" s="260"/>
      <c r="G544" s="260"/>
      <c r="H544" s="260"/>
      <c r="I544" s="245"/>
    </row>
    <row r="545" spans="2:9" ht="15.75" customHeight="1" outlineLevel="2" x14ac:dyDescent="0.25">
      <c r="B545" s="536" t="str">
        <f>IF(ISBLANK(dms_E3_Projects_14),"",dms_E3_Projects_14)</f>
        <v/>
      </c>
      <c r="C545" s="640"/>
      <c r="D545" s="641"/>
      <c r="E545" s="642"/>
      <c r="F545" s="643"/>
      <c r="G545" s="643"/>
      <c r="H545" s="643"/>
      <c r="I545" s="644"/>
    </row>
    <row r="546" spans="2:9" ht="15.75" customHeight="1" outlineLevel="2" x14ac:dyDescent="0.25">
      <c r="B546" s="536" t="str">
        <f>IF(ISBLANK(dms_E3_Projects_15),"",dms_E3_Projects_15)</f>
        <v/>
      </c>
      <c r="C546" s="380"/>
      <c r="D546" s="267"/>
      <c r="E546" s="266"/>
      <c r="F546" s="260"/>
      <c r="G546" s="260"/>
      <c r="H546" s="260"/>
      <c r="I546" s="245"/>
    </row>
    <row r="547" spans="2:9" ht="15.75" customHeight="1" outlineLevel="2" x14ac:dyDescent="0.25">
      <c r="B547" s="536" t="str">
        <f>IF(ISBLANK(dms_E3_Projects_16),"",dms_E3_Projects_16)</f>
        <v/>
      </c>
      <c r="C547" s="640"/>
      <c r="D547" s="641"/>
      <c r="E547" s="642"/>
      <c r="F547" s="643"/>
      <c r="G547" s="643"/>
      <c r="H547" s="643"/>
      <c r="I547" s="644"/>
    </row>
    <row r="548" spans="2:9" ht="15.75" customHeight="1" outlineLevel="2" x14ac:dyDescent="0.25">
      <c r="B548" s="541" t="str">
        <f>IF(ISBLANK(dms_E3_Projects_17),"",dms_E3_Projects_17)</f>
        <v/>
      </c>
      <c r="C548" s="380"/>
      <c r="D548" s="267"/>
      <c r="E548" s="266"/>
      <c r="F548" s="260"/>
      <c r="G548" s="260"/>
      <c r="H548" s="260"/>
      <c r="I548" s="245"/>
    </row>
    <row r="549" spans="2:9" ht="15.75" customHeight="1" outlineLevel="2" x14ac:dyDescent="0.25">
      <c r="B549" s="541" t="str">
        <f>IF(ISBLANK(dms_E3_Projects_18),"",dms_E3_Projects_18)</f>
        <v/>
      </c>
      <c r="C549" s="640"/>
      <c r="D549" s="641"/>
      <c r="E549" s="642"/>
      <c r="F549" s="643"/>
      <c r="G549" s="643"/>
      <c r="H549" s="643"/>
      <c r="I549" s="644"/>
    </row>
    <row r="550" spans="2:9" ht="15.75" customHeight="1" outlineLevel="2" x14ac:dyDescent="0.25">
      <c r="B550" s="541" t="str">
        <f>IF(ISBLANK(dms_E3_Projects_18),"",dms_E3_Projects_18)</f>
        <v/>
      </c>
      <c r="C550" s="380"/>
      <c r="D550" s="267"/>
      <c r="E550" s="266"/>
      <c r="F550" s="260"/>
      <c r="G550" s="260"/>
      <c r="H550" s="260"/>
      <c r="I550" s="245"/>
    </row>
    <row r="551" spans="2:9" ht="15.75" customHeight="1" outlineLevel="2" x14ac:dyDescent="0.25">
      <c r="B551" s="541" t="str">
        <f>IF(ISBLANK(dms_E3_Projects_19),"",dms_E3_Projects_19)</f>
        <v/>
      </c>
      <c r="C551" s="640"/>
      <c r="D551" s="641"/>
      <c r="E551" s="642"/>
      <c r="F551" s="643"/>
      <c r="G551" s="643"/>
      <c r="H551" s="643"/>
      <c r="I551" s="644"/>
    </row>
    <row r="552" spans="2:9" ht="15.75" customHeight="1" outlineLevel="2" x14ac:dyDescent="0.25">
      <c r="B552" s="541" t="str">
        <f>IF(ISBLANK(dms_E3_Projects_20),"",dms_E3_Projects_20)</f>
        <v/>
      </c>
      <c r="C552" s="380"/>
      <c r="D552" s="267"/>
      <c r="E552" s="266"/>
      <c r="F552" s="260"/>
      <c r="G552" s="260"/>
      <c r="H552" s="260"/>
      <c r="I552" s="245"/>
    </row>
    <row r="553" spans="2:9" ht="15.75" customHeight="1" outlineLevel="2" x14ac:dyDescent="0.25">
      <c r="B553" s="541" t="str">
        <f>IF(ISBLANK(dms_E3_Projects_21),"",dms_E3_Projects_21)</f>
        <v/>
      </c>
      <c r="C553" s="640"/>
      <c r="D553" s="641"/>
      <c r="E553" s="642"/>
      <c r="F553" s="643"/>
      <c r="G553" s="643"/>
      <c r="H553" s="643"/>
      <c r="I553" s="644"/>
    </row>
    <row r="554" spans="2:9" ht="15.75" customHeight="1" outlineLevel="2" x14ac:dyDescent="0.25">
      <c r="B554" s="541" t="str">
        <f>IF(ISBLANK(dms_E3_Projects_22),"",dms_E3_Projects_22)</f>
        <v/>
      </c>
      <c r="C554" s="380"/>
      <c r="D554" s="267"/>
      <c r="E554" s="266"/>
      <c r="F554" s="260"/>
      <c r="G554" s="260"/>
      <c r="H554" s="260"/>
      <c r="I554" s="245"/>
    </row>
    <row r="555" spans="2:9" ht="15.75" customHeight="1" outlineLevel="2" x14ac:dyDescent="0.25">
      <c r="B555" s="541" t="str">
        <f>IF(ISBLANK(dms_E3_Projects_23),"",dms_E3_Projects_23)</f>
        <v/>
      </c>
      <c r="C555" s="640"/>
      <c r="D555" s="641"/>
      <c r="E555" s="642"/>
      <c r="F555" s="643"/>
      <c r="G555" s="643"/>
      <c r="H555" s="643"/>
      <c r="I555" s="644"/>
    </row>
    <row r="556" spans="2:9" ht="15.75" customHeight="1" outlineLevel="2" x14ac:dyDescent="0.25">
      <c r="B556" s="541" t="str">
        <f>IF(ISBLANK(dms_E3_Projects_24),"",dms_E3_Projects_24)</f>
        <v/>
      </c>
      <c r="C556" s="380"/>
      <c r="D556" s="267"/>
      <c r="E556" s="266"/>
      <c r="F556" s="260"/>
      <c r="G556" s="260"/>
      <c r="H556" s="260"/>
      <c r="I556" s="245"/>
    </row>
    <row r="557" spans="2:9" ht="15.75" customHeight="1" outlineLevel="2" x14ac:dyDescent="0.25">
      <c r="B557" s="541" t="str">
        <f>IF(ISBLANK(dms_E3_Projects_25),"",dms_E3_Projects_26)</f>
        <v/>
      </c>
      <c r="C557" s="640"/>
      <c r="D557" s="641"/>
      <c r="E557" s="642"/>
      <c r="F557" s="643"/>
      <c r="G557" s="643"/>
      <c r="H557" s="643"/>
      <c r="I557" s="644"/>
    </row>
    <row r="558" spans="2:9" ht="15.75" customHeight="1" outlineLevel="2" x14ac:dyDescent="0.25">
      <c r="B558" s="541" t="str">
        <f>IF(ISBLANK(dms_E3_Projects_27),"",dms_E3_Projects_27)</f>
        <v/>
      </c>
      <c r="C558" s="380"/>
      <c r="D558" s="267"/>
      <c r="E558" s="266"/>
      <c r="F558" s="260"/>
      <c r="G558" s="260"/>
      <c r="H558" s="260"/>
      <c r="I558" s="245"/>
    </row>
    <row r="559" spans="2:9" ht="15.75" customHeight="1" outlineLevel="2" x14ac:dyDescent="0.25">
      <c r="B559" s="541" t="str">
        <f>IF(ISBLANK(dms_E3_Projects_28),"",dms_E3_Projects_28)</f>
        <v/>
      </c>
      <c r="C559" s="640"/>
      <c r="D559" s="641"/>
      <c r="E559" s="642"/>
      <c r="F559" s="643"/>
      <c r="G559" s="643"/>
      <c r="H559" s="643"/>
      <c r="I559" s="644"/>
    </row>
    <row r="560" spans="2:9" ht="15.75" customHeight="1" outlineLevel="2" x14ac:dyDescent="0.25">
      <c r="B560" s="541" t="str">
        <f>IF(ISBLANK(dms_E3_Projects_29),"",dms_E3_Projects_29)</f>
        <v/>
      </c>
      <c r="C560" s="380"/>
      <c r="D560" s="267"/>
      <c r="E560" s="266"/>
      <c r="F560" s="260"/>
      <c r="G560" s="260"/>
      <c r="H560" s="260"/>
      <c r="I560" s="245"/>
    </row>
    <row r="561" spans="2:9" ht="15.75" customHeight="1" outlineLevel="2" x14ac:dyDescent="0.25">
      <c r="B561" s="541" t="str">
        <f>IF(ISBLANK(dms_E3_Projects_30),"",dms_E3_Projects_30)</f>
        <v/>
      </c>
      <c r="C561" s="640"/>
      <c r="D561" s="641"/>
      <c r="E561" s="642"/>
      <c r="F561" s="643"/>
      <c r="G561" s="643"/>
      <c r="H561" s="643"/>
      <c r="I561" s="644"/>
    </row>
    <row r="562" spans="2:9" ht="15.75" customHeight="1" outlineLevel="2" x14ac:dyDescent="0.25">
      <c r="B562" s="541" t="str">
        <f>IF(ISBLANK(dms_E3_Projects_31),"",dms_E3_Projects_31)</f>
        <v/>
      </c>
      <c r="C562" s="380"/>
      <c r="D562" s="267"/>
      <c r="E562" s="266"/>
      <c r="F562" s="260"/>
      <c r="G562" s="260"/>
      <c r="H562" s="260"/>
      <c r="I562" s="245"/>
    </row>
    <row r="563" spans="2:9" ht="15.75" customHeight="1" outlineLevel="2" x14ac:dyDescent="0.25">
      <c r="B563" s="541" t="str">
        <f>IF(ISBLANK(dms_E3_Projects_32),"",dms_E3_Projects_32)</f>
        <v/>
      </c>
      <c r="C563" s="640"/>
      <c r="D563" s="641"/>
      <c r="E563" s="642"/>
      <c r="F563" s="643"/>
      <c r="G563" s="643"/>
      <c r="H563" s="643"/>
      <c r="I563" s="644"/>
    </row>
    <row r="564" spans="2:9" ht="15.75" customHeight="1" outlineLevel="2" x14ac:dyDescent="0.25">
      <c r="B564" s="541" t="str">
        <f>IF(ISBLANK(dms_E3_Projects_33),"",dms_E3_Projects_33)</f>
        <v/>
      </c>
      <c r="C564" s="380"/>
      <c r="D564" s="267"/>
      <c r="E564" s="266"/>
      <c r="F564" s="260"/>
      <c r="G564" s="260"/>
      <c r="H564" s="260"/>
      <c r="I564" s="245"/>
    </row>
    <row r="565" spans="2:9" ht="15.75" customHeight="1" outlineLevel="2" x14ac:dyDescent="0.25">
      <c r="B565" s="541" t="str">
        <f>IF(ISBLANK(dms_E3_Projects_34),"",dms_E3_Projects_34)</f>
        <v/>
      </c>
      <c r="C565" s="640"/>
      <c r="D565" s="641"/>
      <c r="E565" s="642"/>
      <c r="F565" s="643"/>
      <c r="G565" s="643"/>
      <c r="H565" s="643"/>
      <c r="I565" s="644"/>
    </row>
    <row r="566" spans="2:9" ht="15.75" customHeight="1" outlineLevel="2" x14ac:dyDescent="0.25">
      <c r="B566" s="541" t="str">
        <f>IF(ISBLANK(dms_E3_Projects_35),"",dms_E3_Projects_35)</f>
        <v/>
      </c>
      <c r="C566" s="380"/>
      <c r="D566" s="267"/>
      <c r="E566" s="266"/>
      <c r="F566" s="260"/>
      <c r="G566" s="260"/>
      <c r="H566" s="260"/>
      <c r="I566" s="245"/>
    </row>
    <row r="567" spans="2:9" ht="15.75" customHeight="1" outlineLevel="2" x14ac:dyDescent="0.25">
      <c r="B567" s="541" t="str">
        <f>IF(ISBLANK(dms_E3_Projects_36),"",dms_E3_Projects_36)</f>
        <v/>
      </c>
      <c r="C567" s="640"/>
      <c r="D567" s="641"/>
      <c r="E567" s="642"/>
      <c r="F567" s="643"/>
      <c r="G567" s="643"/>
      <c r="H567" s="643"/>
      <c r="I567" s="644"/>
    </row>
    <row r="568" spans="2:9" ht="15.75" customHeight="1" outlineLevel="2" x14ac:dyDescent="0.25">
      <c r="B568" s="541" t="str">
        <f>IF(ISBLANK(dms_E3_Projects_37),"",dms_E3_Projects_37)</f>
        <v/>
      </c>
      <c r="C568" s="380"/>
      <c r="D568" s="267"/>
      <c r="E568" s="266"/>
      <c r="F568" s="260"/>
      <c r="G568" s="260"/>
      <c r="H568" s="260"/>
      <c r="I568" s="245"/>
    </row>
    <row r="569" spans="2:9" ht="15.75" customHeight="1" outlineLevel="2" x14ac:dyDescent="0.25">
      <c r="B569" s="541" t="str">
        <f>IF(ISBLANK(dms_E3_Projects_38),"",dms_E3_Projects_38)</f>
        <v/>
      </c>
      <c r="C569" s="640"/>
      <c r="D569" s="641"/>
      <c r="E569" s="642"/>
      <c r="F569" s="643"/>
      <c r="G569" s="643"/>
      <c r="H569" s="643"/>
      <c r="I569" s="644"/>
    </row>
    <row r="570" spans="2:9" ht="15.75" customHeight="1" outlineLevel="2" x14ac:dyDescent="0.25">
      <c r="B570" s="541" t="str">
        <f>IF(ISBLANK(dms_E3_Projects_39),"",dms_E3_Projects_39)</f>
        <v/>
      </c>
      <c r="C570" s="380"/>
      <c r="D570" s="267"/>
      <c r="E570" s="266"/>
      <c r="F570" s="260"/>
      <c r="G570" s="260"/>
      <c r="H570" s="260"/>
      <c r="I570" s="245"/>
    </row>
    <row r="571" spans="2:9" ht="15.75" customHeight="1" outlineLevel="2" x14ac:dyDescent="0.25">
      <c r="B571" s="541" t="str">
        <f>IF(ISBLANK(dms_E3_Projects_40),"",dms_E3_Projects_40)</f>
        <v/>
      </c>
      <c r="C571" s="640"/>
      <c r="D571" s="641"/>
      <c r="E571" s="642"/>
      <c r="F571" s="643"/>
      <c r="G571" s="643"/>
      <c r="H571" s="643"/>
      <c r="I571" s="644"/>
    </row>
    <row r="572" spans="2:9" ht="15.75" customHeight="1" outlineLevel="2" x14ac:dyDescent="0.25">
      <c r="B572" s="541" t="str">
        <f>IF(ISBLANK(dms_E3_Projects_41),"",dms_E3_Projects_41)</f>
        <v/>
      </c>
      <c r="C572" s="380"/>
      <c r="D572" s="267"/>
      <c r="E572" s="266"/>
      <c r="F572" s="260"/>
      <c r="G572" s="260"/>
      <c r="H572" s="260"/>
      <c r="I572" s="245"/>
    </row>
    <row r="573" spans="2:9" ht="15.75" customHeight="1" outlineLevel="2" x14ac:dyDescent="0.25">
      <c r="B573" s="541" t="str">
        <f>IF(ISBLANK(dms_E3_Projects_42),"",dms_E3_Projects_42)</f>
        <v/>
      </c>
      <c r="C573" s="640"/>
      <c r="D573" s="641"/>
      <c r="E573" s="642"/>
      <c r="F573" s="643"/>
      <c r="G573" s="643"/>
      <c r="H573" s="643"/>
      <c r="I573" s="644"/>
    </row>
    <row r="574" spans="2:9" ht="15.75" customHeight="1" outlineLevel="2" x14ac:dyDescent="0.25">
      <c r="B574" s="541" t="str">
        <f>IF(ISBLANK(dms_E3_Projects_43),"",dms_E3_Projects_43)</f>
        <v/>
      </c>
      <c r="C574" s="380"/>
      <c r="D574" s="267"/>
      <c r="E574" s="266"/>
      <c r="F574" s="260"/>
      <c r="G574" s="260"/>
      <c r="H574" s="260"/>
      <c r="I574" s="245"/>
    </row>
    <row r="575" spans="2:9" ht="15.75" customHeight="1" outlineLevel="2" x14ac:dyDescent="0.25">
      <c r="B575" s="541" t="str">
        <f>IF(ISBLANK(dms_E3_Projects_44),"",dms_E3_Projects_44)</f>
        <v/>
      </c>
      <c r="C575" s="640"/>
      <c r="D575" s="641"/>
      <c r="E575" s="642"/>
      <c r="F575" s="643"/>
      <c r="G575" s="643"/>
      <c r="H575" s="643"/>
      <c r="I575" s="644"/>
    </row>
    <row r="576" spans="2:9" ht="15.75" customHeight="1" outlineLevel="2" x14ac:dyDescent="0.25">
      <c r="B576" s="541" t="str">
        <f>IF(ISBLANK(dms_E3_Projects_45),"",dms_E3_Projects_45)</f>
        <v/>
      </c>
      <c r="C576" s="380"/>
      <c r="D576" s="267"/>
      <c r="E576" s="266"/>
      <c r="F576" s="260"/>
      <c r="G576" s="260"/>
      <c r="H576" s="260"/>
      <c r="I576" s="245"/>
    </row>
    <row r="577" spans="1:9" ht="15.75" customHeight="1" outlineLevel="2" x14ac:dyDescent="0.25">
      <c r="B577" s="541" t="str">
        <f>IF(ISBLANK(dms_E3_Projects_46),"",dms_E3_Projects_46)</f>
        <v/>
      </c>
      <c r="C577" s="640"/>
      <c r="D577" s="641"/>
      <c r="E577" s="642"/>
      <c r="F577" s="643"/>
      <c r="G577" s="643"/>
      <c r="H577" s="643"/>
      <c r="I577" s="644"/>
    </row>
    <row r="578" spans="1:9" ht="15.75" customHeight="1" outlineLevel="2" x14ac:dyDescent="0.25">
      <c r="B578" s="541" t="str">
        <f>IF(ISBLANK(dms_E3_Projects_47),"",dms_E3_Projects_47)</f>
        <v/>
      </c>
      <c r="C578" s="380"/>
      <c r="D578" s="267"/>
      <c r="E578" s="266"/>
      <c r="F578" s="260"/>
      <c r="G578" s="260"/>
      <c r="H578" s="260"/>
      <c r="I578" s="245"/>
    </row>
    <row r="579" spans="1:9" ht="15.75" customHeight="1" outlineLevel="2" x14ac:dyDescent="0.25">
      <c r="B579" s="541" t="str">
        <f>IF(ISBLANK(dms_E3_Projects_48),"",dms_E3_Projects_48)</f>
        <v/>
      </c>
      <c r="C579" s="640"/>
      <c r="D579" s="641"/>
      <c r="E579" s="642"/>
      <c r="F579" s="643"/>
      <c r="G579" s="643"/>
      <c r="H579" s="643"/>
      <c r="I579" s="644"/>
    </row>
    <row r="580" spans="1:9" ht="15.75" customHeight="1" outlineLevel="2" x14ac:dyDescent="0.25">
      <c r="B580" s="541" t="str">
        <f>IF(ISBLANK(dms_E3_Projects_49),"",dms_E3_Projects_49)</f>
        <v/>
      </c>
      <c r="C580" s="380"/>
      <c r="D580" s="267"/>
      <c r="E580" s="266"/>
      <c r="F580" s="260"/>
      <c r="G580" s="260"/>
      <c r="H580" s="260"/>
      <c r="I580" s="245"/>
    </row>
    <row r="581" spans="1:9" ht="15.75" customHeight="1" outlineLevel="2" x14ac:dyDescent="0.25">
      <c r="B581" s="541" t="str">
        <f>IF(ISBLANK(dms_E3_Projects_50),"",dms_E3_Projects_50)</f>
        <v/>
      </c>
      <c r="C581" s="640"/>
      <c r="D581" s="641"/>
      <c r="E581" s="642"/>
      <c r="F581" s="643"/>
      <c r="G581" s="643"/>
      <c r="H581" s="643"/>
      <c r="I581" s="644"/>
    </row>
    <row r="582" spans="1:9" ht="15.75" customHeight="1" outlineLevel="2" thickBot="1" x14ac:dyDescent="0.3">
      <c r="B582" s="547" t="s">
        <v>152</v>
      </c>
      <c r="C582" s="381"/>
      <c r="D582" s="269"/>
      <c r="E582" s="268"/>
      <c r="F582" s="262"/>
      <c r="G582" s="262"/>
      <c r="H582" s="262"/>
      <c r="I582" s="494"/>
    </row>
    <row r="583" spans="1:9" ht="15.75" customHeight="1" outlineLevel="2" thickBot="1" x14ac:dyDescent="0.3">
      <c r="B583" s="544" t="s">
        <v>120</v>
      </c>
      <c r="C583" s="545">
        <f>SUM(C532:C582)</f>
        <v>0</v>
      </c>
      <c r="D583" s="545">
        <f t="shared" ref="D583" si="29">SUM(D532:D582)</f>
        <v>0</v>
      </c>
      <c r="E583" s="545">
        <f t="shared" ref="E583" si="30">SUM(E532:E582)</f>
        <v>0</v>
      </c>
      <c r="F583" s="545">
        <f t="shared" ref="F583" si="31">SUM(F532:F582)</f>
        <v>0</v>
      </c>
      <c r="G583" s="545">
        <f t="shared" ref="G583" si="32">SUM(G532:G582)</f>
        <v>0</v>
      </c>
      <c r="H583" s="545">
        <f t="shared" ref="H583" si="33">SUM(H532:H582)</f>
        <v>0</v>
      </c>
      <c r="I583" s="546">
        <f t="shared" ref="I583" si="34">SUM(I532:I582)</f>
        <v>0</v>
      </c>
    </row>
    <row r="584" spans="1:9" ht="15.75" outlineLevel="1" thickBot="1" x14ac:dyDescent="0.3">
      <c r="B584" s="75"/>
    </row>
    <row r="585" spans="1:9" ht="20.25" customHeight="1" outlineLevel="1" thickBot="1" x14ac:dyDescent="0.3">
      <c r="B585" s="250" t="s">
        <v>156</v>
      </c>
      <c r="C585" s="251"/>
      <c r="D585" s="251"/>
      <c r="E585" s="251"/>
      <c r="F585" s="251"/>
      <c r="G585" s="251"/>
      <c r="H585" s="251"/>
      <c r="I585" s="251"/>
    </row>
    <row r="586" spans="1:9" s="42" customFormat="1" outlineLevel="2" x14ac:dyDescent="0.25">
      <c r="A586" s="291"/>
      <c r="B586"/>
      <c r="C586" s="1382" t="s">
        <v>149</v>
      </c>
      <c r="D586" s="1383"/>
      <c r="E586" s="1383"/>
      <c r="F586" s="1383"/>
      <c r="G586" s="1383"/>
      <c r="H586" s="1383"/>
      <c r="I586" s="1384"/>
    </row>
    <row r="587" spans="1:9" s="42" customFormat="1" outlineLevel="2" x14ac:dyDescent="0.25">
      <c r="A587" s="291"/>
      <c r="B587"/>
      <c r="C587" s="1375" t="s">
        <v>150</v>
      </c>
      <c r="D587" s="1376"/>
      <c r="E587" s="1376"/>
      <c r="F587" s="1376"/>
      <c r="G587" s="1376"/>
      <c r="H587" s="1376"/>
      <c r="I587" s="1377"/>
    </row>
    <row r="588" spans="1:9" s="42" customFormat="1" ht="15.75" outlineLevel="2" thickBot="1" x14ac:dyDescent="0.3">
      <c r="A588" s="291"/>
      <c r="B588" s="78"/>
      <c r="C588" s="405" t="str">
        <f ca="1">dms_y1</f>
        <v>2024-25</v>
      </c>
      <c r="D588" s="306" t="str">
        <f ca="1">dms_y2</f>
        <v>2025-26</v>
      </c>
      <c r="E588" s="305" t="str">
        <f ca="1">dms_y3</f>
        <v>2026-27</v>
      </c>
      <c r="F588" s="305" t="str">
        <f ca="1">dms_y4</f>
        <v>2027-28</v>
      </c>
      <c r="G588" s="305" t="str">
        <f ca="1">dms_y5</f>
        <v>2028-29</v>
      </c>
      <c r="H588" s="305" t="str">
        <f ca="1">dms_y6</f>
        <v>2029-30</v>
      </c>
      <c r="I588" s="406" t="str">
        <f ca="1">dms_y7</f>
        <v>2030-31</v>
      </c>
    </row>
    <row r="589" spans="1:9" ht="15.75" customHeight="1" outlineLevel="2" x14ac:dyDescent="0.25">
      <c r="B589" s="536" t="str">
        <f>IF(ISBLANK(dms_E3_Projects_01),"",dms_E3_Projects_01)</f>
        <v>Northern Corridor - Angle Vale</v>
      </c>
      <c r="C589" s="366"/>
      <c r="D589" s="265"/>
      <c r="E589" s="264"/>
      <c r="F589" s="257"/>
      <c r="G589" s="257"/>
      <c r="H589" s="257"/>
      <c r="I589" s="258"/>
    </row>
    <row r="590" spans="1:9" ht="15.75" customHeight="1" outlineLevel="2" x14ac:dyDescent="0.25">
      <c r="B590" s="536" t="str">
        <f>IF(ISBLANK(dms_E3_Projects_02),"",dms_E3_Projects_02)</f>
        <v>Southern Corridor - Seaford Aldinga</v>
      </c>
      <c r="C590" s="640"/>
      <c r="D590" s="641"/>
      <c r="E590" s="642"/>
      <c r="F590" s="643"/>
      <c r="G590" s="643"/>
      <c r="H590" s="643"/>
      <c r="I590" s="644"/>
    </row>
    <row r="591" spans="1:9" ht="15.75" customHeight="1" outlineLevel="2" x14ac:dyDescent="0.25">
      <c r="B591" s="536" t="str">
        <f>IF(ISBLANK(dms_E3_Projects_03),"",dms_E3_Projects_03)</f>
        <v>Northern Metro HP Main and Gawler Gate Station</v>
      </c>
      <c r="C591" s="380"/>
      <c r="D591" s="267"/>
      <c r="E591" s="266"/>
      <c r="F591" s="260"/>
      <c r="G591" s="260"/>
      <c r="H591" s="260"/>
      <c r="I591" s="245"/>
    </row>
    <row r="592" spans="1:9" ht="15.75" customHeight="1" outlineLevel="2" x14ac:dyDescent="0.25">
      <c r="B592" s="536" t="str">
        <f>IF(ISBLANK(dms_E3_Projects_04),"",dms_E3_Projects_04)</f>
        <v/>
      </c>
      <c r="C592" s="640"/>
      <c r="D592" s="641"/>
      <c r="E592" s="642"/>
      <c r="F592" s="643"/>
      <c r="G592" s="643"/>
      <c r="H592" s="643"/>
      <c r="I592" s="644"/>
    </row>
    <row r="593" spans="2:9" ht="15.75" customHeight="1" outlineLevel="2" x14ac:dyDescent="0.25">
      <c r="B593" s="536" t="str">
        <f>IF(ISBLANK(dms_E3_Projects_05),"",dms_E3_Projects_05)</f>
        <v/>
      </c>
      <c r="C593" s="380"/>
      <c r="D593" s="267"/>
      <c r="E593" s="266"/>
      <c r="F593" s="260"/>
      <c r="G593" s="260"/>
      <c r="H593" s="260"/>
      <c r="I593" s="245"/>
    </row>
    <row r="594" spans="2:9" ht="15.75" customHeight="1" outlineLevel="2" x14ac:dyDescent="0.25">
      <c r="B594" s="536" t="str">
        <f>IF(ISBLANK(dms_E3_Projects_06),"",dms_E3_Projects_06)</f>
        <v/>
      </c>
      <c r="C594" s="640"/>
      <c r="D594" s="641"/>
      <c r="E594" s="642"/>
      <c r="F594" s="643"/>
      <c r="G594" s="643"/>
      <c r="H594" s="643"/>
      <c r="I594" s="644"/>
    </row>
    <row r="595" spans="2:9" ht="15.75" customHeight="1" outlineLevel="2" x14ac:dyDescent="0.25">
      <c r="B595" s="536" t="str">
        <f>IF(ISBLANK(dms_E3_Projects_07),"",dms_E3_Projects_07)</f>
        <v/>
      </c>
      <c r="C595" s="380"/>
      <c r="D595" s="267"/>
      <c r="E595" s="266"/>
      <c r="F595" s="260"/>
      <c r="G595" s="260"/>
      <c r="H595" s="260"/>
      <c r="I595" s="245"/>
    </row>
    <row r="596" spans="2:9" ht="15.75" customHeight="1" outlineLevel="2" x14ac:dyDescent="0.25">
      <c r="B596" s="536" t="str">
        <f>IF(ISBLANK(dms_E3_Projects_08),"",dms_E3_Projects_08)</f>
        <v/>
      </c>
      <c r="C596" s="640"/>
      <c r="D596" s="641"/>
      <c r="E596" s="642"/>
      <c r="F596" s="643"/>
      <c r="G596" s="643"/>
      <c r="H596" s="643"/>
      <c r="I596" s="644"/>
    </row>
    <row r="597" spans="2:9" ht="15.75" customHeight="1" outlineLevel="2" x14ac:dyDescent="0.25">
      <c r="B597" s="536" t="str">
        <f>IF(ISBLANK(dms_E3_Projects_09),"",dms_E3_Projects_09)</f>
        <v/>
      </c>
      <c r="C597" s="380"/>
      <c r="D597" s="267"/>
      <c r="E597" s="266"/>
      <c r="F597" s="260"/>
      <c r="G597" s="260"/>
      <c r="H597" s="260"/>
      <c r="I597" s="245"/>
    </row>
    <row r="598" spans="2:9" ht="15.75" customHeight="1" outlineLevel="2" x14ac:dyDescent="0.25">
      <c r="B598" s="536" t="str">
        <f>IF(ISBLANK(dms_E3_Projects_10),"",dms_E3_Projects_10)</f>
        <v/>
      </c>
      <c r="C598" s="640"/>
      <c r="D598" s="641"/>
      <c r="E598" s="642"/>
      <c r="F598" s="643"/>
      <c r="G598" s="643"/>
      <c r="H598" s="643"/>
      <c r="I598" s="644"/>
    </row>
    <row r="599" spans="2:9" ht="15.75" customHeight="1" outlineLevel="2" x14ac:dyDescent="0.25">
      <c r="B599" s="536" t="str">
        <f>IF(ISBLANK(dms_E3_Projects_11),"",dms_E3_Projects_11)</f>
        <v/>
      </c>
      <c r="C599" s="380"/>
      <c r="D599" s="267"/>
      <c r="E599" s="266"/>
      <c r="F599" s="260"/>
      <c r="G599" s="260"/>
      <c r="H599" s="260"/>
      <c r="I599" s="245"/>
    </row>
    <row r="600" spans="2:9" ht="15.75" customHeight="1" outlineLevel="2" x14ac:dyDescent="0.25">
      <c r="B600" s="536" t="str">
        <f>IF(ISBLANK(dms_E3_Projects_12),"",dms_E3_Projects_12)</f>
        <v/>
      </c>
      <c r="C600" s="640"/>
      <c r="D600" s="641"/>
      <c r="E600" s="642"/>
      <c r="F600" s="643"/>
      <c r="G600" s="643"/>
      <c r="H600" s="643"/>
      <c r="I600" s="644"/>
    </row>
    <row r="601" spans="2:9" ht="15.75" customHeight="1" outlineLevel="2" x14ac:dyDescent="0.25">
      <c r="B601" s="536" t="str">
        <f>IF(ISBLANK(dms_E3_Projects_13),"",dms_E3_Projects_13)</f>
        <v/>
      </c>
      <c r="C601" s="380"/>
      <c r="D601" s="267"/>
      <c r="E601" s="266"/>
      <c r="F601" s="260"/>
      <c r="G601" s="260"/>
      <c r="H601" s="260"/>
      <c r="I601" s="245"/>
    </row>
    <row r="602" spans="2:9" ht="15.75" customHeight="1" outlineLevel="2" x14ac:dyDescent="0.25">
      <c r="B602" s="536" t="str">
        <f>IF(ISBLANK(dms_E3_Projects_14),"",dms_E3_Projects_14)</f>
        <v/>
      </c>
      <c r="C602" s="640"/>
      <c r="D602" s="641"/>
      <c r="E602" s="642"/>
      <c r="F602" s="643"/>
      <c r="G602" s="643"/>
      <c r="H602" s="643"/>
      <c r="I602" s="644"/>
    </row>
    <row r="603" spans="2:9" ht="15.75" customHeight="1" outlineLevel="2" x14ac:dyDescent="0.25">
      <c r="B603" s="536" t="str">
        <f>IF(ISBLANK(dms_E3_Projects_15),"",dms_E3_Projects_15)</f>
        <v/>
      </c>
      <c r="C603" s="380"/>
      <c r="D603" s="267"/>
      <c r="E603" s="266"/>
      <c r="F603" s="260"/>
      <c r="G603" s="260"/>
      <c r="H603" s="260"/>
      <c r="I603" s="245"/>
    </row>
    <row r="604" spans="2:9" ht="15.75" customHeight="1" outlineLevel="2" x14ac:dyDescent="0.25">
      <c r="B604" s="536" t="str">
        <f>IF(ISBLANK(dms_E3_Projects_16),"",dms_E3_Projects_16)</f>
        <v/>
      </c>
      <c r="C604" s="640"/>
      <c r="D604" s="641"/>
      <c r="E604" s="642"/>
      <c r="F604" s="643"/>
      <c r="G604" s="643"/>
      <c r="H604" s="643"/>
      <c r="I604" s="644"/>
    </row>
    <row r="605" spans="2:9" ht="15.75" customHeight="1" outlineLevel="2" x14ac:dyDescent="0.25">
      <c r="B605" s="541" t="str">
        <f>IF(ISBLANK(dms_E3_Projects_17),"",dms_E3_Projects_17)</f>
        <v/>
      </c>
      <c r="C605" s="380"/>
      <c r="D605" s="267"/>
      <c r="E605" s="266"/>
      <c r="F605" s="260"/>
      <c r="G605" s="260"/>
      <c r="H605" s="260"/>
      <c r="I605" s="245"/>
    </row>
    <row r="606" spans="2:9" ht="15.75" customHeight="1" outlineLevel="2" x14ac:dyDescent="0.25">
      <c r="B606" s="541" t="str">
        <f>IF(ISBLANK(dms_E3_Projects_18),"",dms_E3_Projects_18)</f>
        <v/>
      </c>
      <c r="C606" s="640"/>
      <c r="D606" s="641"/>
      <c r="E606" s="642"/>
      <c r="F606" s="643"/>
      <c r="G606" s="643"/>
      <c r="H606" s="643"/>
      <c r="I606" s="644"/>
    </row>
    <row r="607" spans="2:9" ht="15.75" customHeight="1" outlineLevel="2" x14ac:dyDescent="0.25">
      <c r="B607" s="541" t="str">
        <f>IF(ISBLANK(dms_E3_Projects_18),"",dms_E3_Projects_18)</f>
        <v/>
      </c>
      <c r="C607" s="380"/>
      <c r="D607" s="267"/>
      <c r="E607" s="266"/>
      <c r="F607" s="260"/>
      <c r="G607" s="260"/>
      <c r="H607" s="260"/>
      <c r="I607" s="245"/>
    </row>
    <row r="608" spans="2:9" ht="15.75" customHeight="1" outlineLevel="2" x14ac:dyDescent="0.25">
      <c r="B608" s="541" t="str">
        <f>IF(ISBLANK(dms_E3_Projects_19),"",dms_E3_Projects_19)</f>
        <v/>
      </c>
      <c r="C608" s="640"/>
      <c r="D608" s="641"/>
      <c r="E608" s="642"/>
      <c r="F608" s="643"/>
      <c r="G608" s="643"/>
      <c r="H608" s="643"/>
      <c r="I608" s="644"/>
    </row>
    <row r="609" spans="2:9" ht="15.75" customHeight="1" outlineLevel="2" x14ac:dyDescent="0.25">
      <c r="B609" s="541" t="str">
        <f>IF(ISBLANK(dms_E3_Projects_20),"",dms_E3_Projects_20)</f>
        <v/>
      </c>
      <c r="C609" s="380"/>
      <c r="D609" s="267"/>
      <c r="E609" s="266"/>
      <c r="F609" s="260"/>
      <c r="G609" s="260"/>
      <c r="H609" s="260"/>
      <c r="I609" s="245"/>
    </row>
    <row r="610" spans="2:9" ht="15.75" customHeight="1" outlineLevel="2" x14ac:dyDescent="0.25">
      <c r="B610" s="541" t="str">
        <f>IF(ISBLANK(dms_E3_Projects_21),"",dms_E3_Projects_21)</f>
        <v/>
      </c>
      <c r="C610" s="640"/>
      <c r="D610" s="641"/>
      <c r="E610" s="642"/>
      <c r="F610" s="643"/>
      <c r="G610" s="643"/>
      <c r="H610" s="643"/>
      <c r="I610" s="644"/>
    </row>
    <row r="611" spans="2:9" ht="15.75" customHeight="1" outlineLevel="2" x14ac:dyDescent="0.25">
      <c r="B611" s="541" t="str">
        <f>IF(ISBLANK(dms_E3_Projects_22),"",dms_E3_Projects_22)</f>
        <v/>
      </c>
      <c r="C611" s="380"/>
      <c r="D611" s="267"/>
      <c r="E611" s="266"/>
      <c r="F611" s="260"/>
      <c r="G611" s="260"/>
      <c r="H611" s="260"/>
      <c r="I611" s="245"/>
    </row>
    <row r="612" spans="2:9" ht="15.75" customHeight="1" outlineLevel="2" x14ac:dyDescent="0.25">
      <c r="B612" s="541" t="str">
        <f>IF(ISBLANK(dms_E3_Projects_23),"",dms_E3_Projects_23)</f>
        <v/>
      </c>
      <c r="C612" s="640"/>
      <c r="D612" s="641"/>
      <c r="E612" s="642"/>
      <c r="F612" s="643"/>
      <c r="G612" s="643"/>
      <c r="H612" s="643"/>
      <c r="I612" s="644"/>
    </row>
    <row r="613" spans="2:9" ht="15.75" customHeight="1" outlineLevel="2" x14ac:dyDescent="0.25">
      <c r="B613" s="541" t="str">
        <f>IF(ISBLANK(dms_E3_Projects_24),"",dms_E3_Projects_24)</f>
        <v/>
      </c>
      <c r="C613" s="380"/>
      <c r="D613" s="267"/>
      <c r="E613" s="266"/>
      <c r="F613" s="260"/>
      <c r="G613" s="260"/>
      <c r="H613" s="260"/>
      <c r="I613" s="245"/>
    </row>
    <row r="614" spans="2:9" ht="15.75" customHeight="1" outlineLevel="2" x14ac:dyDescent="0.25">
      <c r="B614" s="541" t="str">
        <f>IF(ISBLANK(dms_E3_Projects_25),"",dms_E3_Projects_26)</f>
        <v/>
      </c>
      <c r="C614" s="640"/>
      <c r="D614" s="641"/>
      <c r="E614" s="642"/>
      <c r="F614" s="643"/>
      <c r="G614" s="643"/>
      <c r="H614" s="643"/>
      <c r="I614" s="644"/>
    </row>
    <row r="615" spans="2:9" ht="15.75" customHeight="1" outlineLevel="2" x14ac:dyDescent="0.25">
      <c r="B615" s="541" t="str">
        <f>IF(ISBLANK(dms_E3_Projects_27),"",dms_E3_Projects_27)</f>
        <v/>
      </c>
      <c r="C615" s="380"/>
      <c r="D615" s="267"/>
      <c r="E615" s="266"/>
      <c r="F615" s="260"/>
      <c r="G615" s="260"/>
      <c r="H615" s="260"/>
      <c r="I615" s="245"/>
    </row>
    <row r="616" spans="2:9" ht="15.75" customHeight="1" outlineLevel="2" x14ac:dyDescent="0.25">
      <c r="B616" s="541" t="str">
        <f>IF(ISBLANK(dms_E3_Projects_28),"",dms_E3_Projects_28)</f>
        <v/>
      </c>
      <c r="C616" s="640"/>
      <c r="D616" s="641"/>
      <c r="E616" s="642"/>
      <c r="F616" s="643"/>
      <c r="G616" s="643"/>
      <c r="H616" s="643"/>
      <c r="I616" s="644"/>
    </row>
    <row r="617" spans="2:9" ht="15.75" customHeight="1" outlineLevel="2" x14ac:dyDescent="0.25">
      <c r="B617" s="541" t="str">
        <f>IF(ISBLANK(dms_E3_Projects_29),"",dms_E3_Projects_29)</f>
        <v/>
      </c>
      <c r="C617" s="380"/>
      <c r="D617" s="267"/>
      <c r="E617" s="266"/>
      <c r="F617" s="260"/>
      <c r="G617" s="260"/>
      <c r="H617" s="260"/>
      <c r="I617" s="245"/>
    </row>
    <row r="618" spans="2:9" ht="15.75" customHeight="1" outlineLevel="2" x14ac:dyDescent="0.25">
      <c r="B618" s="541" t="str">
        <f>IF(ISBLANK(dms_E3_Projects_30),"",dms_E3_Projects_30)</f>
        <v/>
      </c>
      <c r="C618" s="640"/>
      <c r="D618" s="641"/>
      <c r="E618" s="642"/>
      <c r="F618" s="643"/>
      <c r="G618" s="643"/>
      <c r="H618" s="643"/>
      <c r="I618" s="644"/>
    </row>
    <row r="619" spans="2:9" ht="15.75" customHeight="1" outlineLevel="2" x14ac:dyDescent="0.25">
      <c r="B619" s="541" t="str">
        <f>IF(ISBLANK(dms_E3_Projects_31),"",dms_E3_Projects_31)</f>
        <v/>
      </c>
      <c r="C619" s="380"/>
      <c r="D619" s="267"/>
      <c r="E619" s="266"/>
      <c r="F619" s="260"/>
      <c r="G619" s="260"/>
      <c r="H619" s="260"/>
      <c r="I619" s="245"/>
    </row>
    <row r="620" spans="2:9" ht="15.75" customHeight="1" outlineLevel="2" x14ac:dyDescent="0.25">
      <c r="B620" s="541" t="str">
        <f>IF(ISBLANK(dms_E3_Projects_32),"",dms_E3_Projects_32)</f>
        <v/>
      </c>
      <c r="C620" s="640"/>
      <c r="D620" s="641"/>
      <c r="E620" s="642"/>
      <c r="F620" s="643"/>
      <c r="G620" s="643"/>
      <c r="H620" s="643"/>
      <c r="I620" s="644"/>
    </row>
    <row r="621" spans="2:9" ht="15.75" customHeight="1" outlineLevel="2" x14ac:dyDescent="0.25">
      <c r="B621" s="541" t="str">
        <f>IF(ISBLANK(dms_E3_Projects_33),"",dms_E3_Projects_33)</f>
        <v/>
      </c>
      <c r="C621" s="380"/>
      <c r="D621" s="267"/>
      <c r="E621" s="266"/>
      <c r="F621" s="260"/>
      <c r="G621" s="260"/>
      <c r="H621" s="260"/>
      <c r="I621" s="245"/>
    </row>
    <row r="622" spans="2:9" ht="15.75" customHeight="1" outlineLevel="2" x14ac:dyDescent="0.25">
      <c r="B622" s="541" t="str">
        <f>IF(ISBLANK(dms_E3_Projects_34),"",dms_E3_Projects_34)</f>
        <v/>
      </c>
      <c r="C622" s="640"/>
      <c r="D622" s="641"/>
      <c r="E622" s="642"/>
      <c r="F622" s="643"/>
      <c r="G622" s="643"/>
      <c r="H622" s="643"/>
      <c r="I622" s="644"/>
    </row>
    <row r="623" spans="2:9" ht="15.75" customHeight="1" outlineLevel="2" x14ac:dyDescent="0.25">
      <c r="B623" s="541" t="str">
        <f>IF(ISBLANK(dms_E3_Projects_35),"",dms_E3_Projects_35)</f>
        <v/>
      </c>
      <c r="C623" s="380"/>
      <c r="D623" s="267"/>
      <c r="E623" s="266"/>
      <c r="F623" s="260"/>
      <c r="G623" s="260"/>
      <c r="H623" s="260"/>
      <c r="I623" s="245"/>
    </row>
    <row r="624" spans="2:9" ht="15.75" customHeight="1" outlineLevel="2" x14ac:dyDescent="0.25">
      <c r="B624" s="541" t="str">
        <f>IF(ISBLANK(dms_E3_Projects_36),"",dms_E3_Projects_36)</f>
        <v/>
      </c>
      <c r="C624" s="640"/>
      <c r="D624" s="641"/>
      <c r="E624" s="642"/>
      <c r="F624" s="643"/>
      <c r="G624" s="643"/>
      <c r="H624" s="643"/>
      <c r="I624" s="644"/>
    </row>
    <row r="625" spans="2:9" ht="15.75" customHeight="1" outlineLevel="2" x14ac:dyDescent="0.25">
      <c r="B625" s="541" t="str">
        <f>IF(ISBLANK(dms_E3_Projects_37),"",dms_E3_Projects_37)</f>
        <v/>
      </c>
      <c r="C625" s="380"/>
      <c r="D625" s="267"/>
      <c r="E625" s="266"/>
      <c r="F625" s="260"/>
      <c r="G625" s="260"/>
      <c r="H625" s="260"/>
      <c r="I625" s="245"/>
    </row>
    <row r="626" spans="2:9" ht="15.75" customHeight="1" outlineLevel="2" x14ac:dyDescent="0.25">
      <c r="B626" s="541" t="str">
        <f>IF(ISBLANK(dms_E3_Projects_38),"",dms_E3_Projects_38)</f>
        <v/>
      </c>
      <c r="C626" s="640"/>
      <c r="D626" s="641"/>
      <c r="E626" s="642"/>
      <c r="F626" s="643"/>
      <c r="G626" s="643"/>
      <c r="H626" s="643"/>
      <c r="I626" s="644"/>
    </row>
    <row r="627" spans="2:9" ht="15.75" customHeight="1" outlineLevel="2" x14ac:dyDescent="0.25">
      <c r="B627" s="541" t="str">
        <f>IF(ISBLANK(dms_E3_Projects_39),"",dms_E3_Projects_39)</f>
        <v/>
      </c>
      <c r="C627" s="380"/>
      <c r="D627" s="267"/>
      <c r="E627" s="266"/>
      <c r="F627" s="260"/>
      <c r="G627" s="260"/>
      <c r="H627" s="260"/>
      <c r="I627" s="245"/>
    </row>
    <row r="628" spans="2:9" ht="15.75" customHeight="1" outlineLevel="2" x14ac:dyDescent="0.25">
      <c r="B628" s="541" t="str">
        <f>IF(ISBLANK(dms_E3_Projects_40),"",dms_E3_Projects_40)</f>
        <v/>
      </c>
      <c r="C628" s="640"/>
      <c r="D628" s="641"/>
      <c r="E628" s="642"/>
      <c r="F628" s="643"/>
      <c r="G628" s="643"/>
      <c r="H628" s="643"/>
      <c r="I628" s="644"/>
    </row>
    <row r="629" spans="2:9" ht="15.75" customHeight="1" outlineLevel="2" x14ac:dyDescent="0.25">
      <c r="B629" s="541" t="str">
        <f>IF(ISBLANK(dms_E3_Projects_41),"",dms_E3_Projects_41)</f>
        <v/>
      </c>
      <c r="C629" s="380"/>
      <c r="D629" s="267"/>
      <c r="E629" s="266"/>
      <c r="F629" s="260"/>
      <c r="G629" s="260"/>
      <c r="H629" s="260"/>
      <c r="I629" s="245"/>
    </row>
    <row r="630" spans="2:9" ht="15.75" customHeight="1" outlineLevel="2" x14ac:dyDescent="0.25">
      <c r="B630" s="541" t="str">
        <f>IF(ISBLANK(dms_E3_Projects_42),"",dms_E3_Projects_42)</f>
        <v/>
      </c>
      <c r="C630" s="640"/>
      <c r="D630" s="641"/>
      <c r="E630" s="642"/>
      <c r="F630" s="643"/>
      <c r="G630" s="643"/>
      <c r="H630" s="643"/>
      <c r="I630" s="644"/>
    </row>
    <row r="631" spans="2:9" ht="15.75" customHeight="1" outlineLevel="2" x14ac:dyDescent="0.25">
      <c r="B631" s="541" t="str">
        <f>IF(ISBLANK(dms_E3_Projects_43),"",dms_E3_Projects_43)</f>
        <v/>
      </c>
      <c r="C631" s="380"/>
      <c r="D631" s="267"/>
      <c r="E631" s="266"/>
      <c r="F631" s="260"/>
      <c r="G631" s="260"/>
      <c r="H631" s="260"/>
      <c r="I631" s="245"/>
    </row>
    <row r="632" spans="2:9" ht="15.75" customHeight="1" outlineLevel="2" x14ac:dyDescent="0.25">
      <c r="B632" s="541" t="str">
        <f>IF(ISBLANK(dms_E3_Projects_44),"",dms_E3_Projects_44)</f>
        <v/>
      </c>
      <c r="C632" s="640"/>
      <c r="D632" s="641"/>
      <c r="E632" s="642"/>
      <c r="F632" s="643"/>
      <c r="G632" s="643"/>
      <c r="H632" s="643"/>
      <c r="I632" s="644"/>
    </row>
    <row r="633" spans="2:9" ht="15.75" customHeight="1" outlineLevel="2" x14ac:dyDescent="0.25">
      <c r="B633" s="541" t="str">
        <f>IF(ISBLANK(dms_E3_Projects_45),"",dms_E3_Projects_45)</f>
        <v/>
      </c>
      <c r="C633" s="380"/>
      <c r="D633" s="267"/>
      <c r="E633" s="266"/>
      <c r="F633" s="260"/>
      <c r="G633" s="260"/>
      <c r="H633" s="260"/>
      <c r="I633" s="245"/>
    </row>
    <row r="634" spans="2:9" ht="15.75" customHeight="1" outlineLevel="2" x14ac:dyDescent="0.25">
      <c r="B634" s="541" t="str">
        <f>IF(ISBLANK(dms_E3_Projects_46),"",dms_E3_Projects_46)</f>
        <v/>
      </c>
      <c r="C634" s="640"/>
      <c r="D634" s="641"/>
      <c r="E634" s="642"/>
      <c r="F634" s="643"/>
      <c r="G634" s="643"/>
      <c r="H634" s="643"/>
      <c r="I634" s="644"/>
    </row>
    <row r="635" spans="2:9" ht="15.75" customHeight="1" outlineLevel="2" x14ac:dyDescent="0.25">
      <c r="B635" s="541" t="str">
        <f>IF(ISBLANK(dms_E3_Projects_47),"",dms_E3_Projects_47)</f>
        <v/>
      </c>
      <c r="C635" s="380"/>
      <c r="D635" s="267"/>
      <c r="E635" s="266"/>
      <c r="F635" s="260"/>
      <c r="G635" s="260"/>
      <c r="H635" s="260"/>
      <c r="I635" s="245"/>
    </row>
    <row r="636" spans="2:9" ht="15.75" customHeight="1" outlineLevel="2" x14ac:dyDescent="0.25">
      <c r="B636" s="541" t="str">
        <f>IF(ISBLANK(dms_E3_Projects_48),"",dms_E3_Projects_48)</f>
        <v/>
      </c>
      <c r="C636" s="640"/>
      <c r="D636" s="641"/>
      <c r="E636" s="642"/>
      <c r="F636" s="643"/>
      <c r="G636" s="643"/>
      <c r="H636" s="643"/>
      <c r="I636" s="644"/>
    </row>
    <row r="637" spans="2:9" ht="15.75" customHeight="1" outlineLevel="2" x14ac:dyDescent="0.25">
      <c r="B637" s="541" t="str">
        <f>IF(ISBLANK(dms_E3_Projects_49),"",dms_E3_Projects_49)</f>
        <v/>
      </c>
      <c r="C637" s="380"/>
      <c r="D637" s="267"/>
      <c r="E637" s="266"/>
      <c r="F637" s="260"/>
      <c r="G637" s="260"/>
      <c r="H637" s="260"/>
      <c r="I637" s="245"/>
    </row>
    <row r="638" spans="2:9" ht="15.75" customHeight="1" outlineLevel="2" x14ac:dyDescent="0.25">
      <c r="B638" s="541" t="str">
        <f>IF(ISBLANK(dms_E3_Projects_50),"",dms_E3_Projects_50)</f>
        <v/>
      </c>
      <c r="C638" s="640"/>
      <c r="D638" s="641"/>
      <c r="E638" s="642"/>
      <c r="F638" s="643"/>
      <c r="G638" s="643"/>
      <c r="H638" s="643"/>
      <c r="I638" s="644"/>
    </row>
    <row r="639" spans="2:9" ht="15.75" customHeight="1" outlineLevel="2" thickBot="1" x14ac:dyDescent="0.3">
      <c r="B639" s="645" t="s">
        <v>152</v>
      </c>
      <c r="C639" s="385"/>
      <c r="D639" s="387"/>
      <c r="E639" s="388"/>
      <c r="F639" s="386"/>
      <c r="G639" s="386"/>
      <c r="H639" s="386"/>
      <c r="I639" s="620"/>
    </row>
    <row r="640" spans="2:9" ht="15.75" customHeight="1" outlineLevel="2" thickBot="1" x14ac:dyDescent="0.3">
      <c r="B640" s="295" t="s">
        <v>120</v>
      </c>
      <c r="C640" s="296">
        <f>SUM(C589:C639)</f>
        <v>0</v>
      </c>
      <c r="D640" s="296">
        <f t="shared" ref="D640" si="35">SUM(D589:D639)</f>
        <v>0</v>
      </c>
      <c r="E640" s="296">
        <f t="shared" ref="E640" si="36">SUM(E589:E639)</f>
        <v>0</v>
      </c>
      <c r="F640" s="296">
        <f t="shared" ref="F640" si="37">SUM(F589:F639)</f>
        <v>0</v>
      </c>
      <c r="G640" s="296">
        <f t="shared" ref="G640" si="38">SUM(G589:G639)</f>
        <v>0</v>
      </c>
      <c r="H640" s="296">
        <f t="shared" ref="H640" si="39">SUM(H589:H639)</f>
        <v>0</v>
      </c>
      <c r="I640" s="297">
        <f t="shared" ref="I640" si="40">SUM(I589:I639)</f>
        <v>0</v>
      </c>
    </row>
    <row r="641" spans="1:10" s="42" customFormat="1" ht="13.5" customHeight="1" outlineLevel="1" thickBot="1" x14ac:dyDescent="0.3">
      <c r="A641"/>
      <c r="B641"/>
      <c r="C641"/>
      <c r="D641"/>
      <c r="E641"/>
      <c r="F641"/>
      <c r="G641"/>
      <c r="H641"/>
      <c r="I641"/>
      <c r="J641"/>
    </row>
    <row r="642" spans="1:10" ht="20.25" customHeight="1" outlineLevel="1" thickBot="1" x14ac:dyDescent="0.3">
      <c r="B642" s="250" t="s">
        <v>157</v>
      </c>
      <c r="C642" s="251"/>
      <c r="D642" s="251"/>
      <c r="E642" s="251"/>
      <c r="F642" s="251"/>
      <c r="G642" s="251"/>
      <c r="H642" s="251"/>
      <c r="I642" s="251"/>
    </row>
    <row r="643" spans="1:10" s="42" customFormat="1" outlineLevel="2" x14ac:dyDescent="0.25">
      <c r="A643" s="291"/>
      <c r="B643"/>
      <c r="C643" s="1382" t="s">
        <v>149</v>
      </c>
      <c r="D643" s="1383"/>
      <c r="E643" s="1383"/>
      <c r="F643" s="1383"/>
      <c r="G643" s="1383"/>
      <c r="H643" s="1383"/>
      <c r="I643" s="1384"/>
    </row>
    <row r="644" spans="1:10" s="42" customFormat="1" outlineLevel="2" x14ac:dyDescent="0.25">
      <c r="A644" s="291"/>
      <c r="B644"/>
      <c r="C644" s="1375" t="s">
        <v>150</v>
      </c>
      <c r="D644" s="1376"/>
      <c r="E644" s="1376"/>
      <c r="F644" s="1376"/>
      <c r="G644" s="1376"/>
      <c r="H644" s="1376"/>
      <c r="I644" s="1377"/>
    </row>
    <row r="645" spans="1:10" s="42" customFormat="1" ht="15.75" outlineLevel="2" thickBot="1" x14ac:dyDescent="0.3">
      <c r="A645" s="291"/>
      <c r="B645" s="78"/>
      <c r="C645" s="405" t="str">
        <f ca="1">dms_y1</f>
        <v>2024-25</v>
      </c>
      <c r="D645" s="306" t="str">
        <f ca="1">dms_y2</f>
        <v>2025-26</v>
      </c>
      <c r="E645" s="305" t="str">
        <f ca="1">dms_y3</f>
        <v>2026-27</v>
      </c>
      <c r="F645" s="305" t="str">
        <f ca="1">dms_y4</f>
        <v>2027-28</v>
      </c>
      <c r="G645" s="305" t="str">
        <f ca="1">dms_y5</f>
        <v>2028-29</v>
      </c>
      <c r="H645" s="305" t="str">
        <f ca="1">dms_y6</f>
        <v>2029-30</v>
      </c>
      <c r="I645" s="406" t="str">
        <f ca="1">dms_y7</f>
        <v>2030-31</v>
      </c>
    </row>
    <row r="646" spans="1:10" ht="15.75" customHeight="1" outlineLevel="2" x14ac:dyDescent="0.25">
      <c r="B646" s="536" t="str">
        <f>IF(ISBLANK(dms_E3_Projects_01),"",dms_E3_Projects_01)</f>
        <v>Northern Corridor - Angle Vale</v>
      </c>
      <c r="C646" s="366"/>
      <c r="D646" s="265"/>
      <c r="E646" s="264"/>
      <c r="F646" s="257"/>
      <c r="G646" s="257"/>
      <c r="H646" s="257"/>
      <c r="I646" s="258"/>
    </row>
    <row r="647" spans="1:10" ht="15.75" customHeight="1" outlineLevel="2" x14ac:dyDescent="0.25">
      <c r="B647" s="536" t="str">
        <f>IF(ISBLANK(dms_E3_Projects_02),"",dms_E3_Projects_02)</f>
        <v>Southern Corridor - Seaford Aldinga</v>
      </c>
      <c r="C647" s="640"/>
      <c r="D647" s="641"/>
      <c r="E647" s="642"/>
      <c r="F647" s="643"/>
      <c r="G647" s="643"/>
      <c r="H647" s="643"/>
      <c r="I647" s="644"/>
    </row>
    <row r="648" spans="1:10" ht="15.75" customHeight="1" outlineLevel="2" x14ac:dyDescent="0.25">
      <c r="B648" s="536" t="str">
        <f>IF(ISBLANK(dms_E3_Projects_03),"",dms_E3_Projects_03)</f>
        <v>Northern Metro HP Main and Gawler Gate Station</v>
      </c>
      <c r="C648" s="380"/>
      <c r="D648" s="267"/>
      <c r="E648" s="266"/>
      <c r="F648" s="260"/>
      <c r="G648" s="260"/>
      <c r="H648" s="260"/>
      <c r="I648" s="245"/>
    </row>
    <row r="649" spans="1:10" ht="15.75" customHeight="1" outlineLevel="2" x14ac:dyDescent="0.25">
      <c r="B649" s="536" t="str">
        <f>IF(ISBLANK(dms_E3_Projects_04),"",dms_E3_Projects_04)</f>
        <v/>
      </c>
      <c r="C649" s="640"/>
      <c r="D649" s="641"/>
      <c r="E649" s="642"/>
      <c r="F649" s="643"/>
      <c r="G649" s="643"/>
      <c r="H649" s="643"/>
      <c r="I649" s="644"/>
    </row>
    <row r="650" spans="1:10" ht="15.75" customHeight="1" outlineLevel="2" x14ac:dyDescent="0.25">
      <c r="B650" s="536" t="str">
        <f>IF(ISBLANK(dms_E3_Projects_05),"",dms_E3_Projects_05)</f>
        <v/>
      </c>
      <c r="C650" s="380"/>
      <c r="D650" s="267"/>
      <c r="E650" s="266"/>
      <c r="F650" s="260"/>
      <c r="G650" s="260"/>
      <c r="H650" s="260"/>
      <c r="I650" s="245"/>
    </row>
    <row r="651" spans="1:10" ht="15.75" customHeight="1" outlineLevel="2" x14ac:dyDescent="0.25">
      <c r="B651" s="536" t="str">
        <f>IF(ISBLANK(dms_E3_Projects_06),"",dms_E3_Projects_06)</f>
        <v/>
      </c>
      <c r="C651" s="640"/>
      <c r="D651" s="641"/>
      <c r="E651" s="642"/>
      <c r="F651" s="643"/>
      <c r="G651" s="643"/>
      <c r="H651" s="643"/>
      <c r="I651" s="644"/>
    </row>
    <row r="652" spans="1:10" ht="15.75" customHeight="1" outlineLevel="2" x14ac:dyDescent="0.25">
      <c r="B652" s="536" t="str">
        <f>IF(ISBLANK(dms_E3_Projects_07),"",dms_E3_Projects_07)</f>
        <v/>
      </c>
      <c r="C652" s="380"/>
      <c r="D652" s="267"/>
      <c r="E652" s="266"/>
      <c r="F652" s="260"/>
      <c r="G652" s="260"/>
      <c r="H652" s="260"/>
      <c r="I652" s="245"/>
    </row>
    <row r="653" spans="1:10" ht="15.75" customHeight="1" outlineLevel="2" x14ac:dyDescent="0.25">
      <c r="B653" s="536" t="str">
        <f>IF(ISBLANK(dms_E3_Projects_08),"",dms_E3_Projects_08)</f>
        <v/>
      </c>
      <c r="C653" s="640"/>
      <c r="D653" s="641"/>
      <c r="E653" s="642"/>
      <c r="F653" s="643"/>
      <c r="G653" s="643"/>
      <c r="H653" s="643"/>
      <c r="I653" s="644"/>
    </row>
    <row r="654" spans="1:10" ht="15.75" customHeight="1" outlineLevel="2" x14ac:dyDescent="0.25">
      <c r="B654" s="536" t="str">
        <f>IF(ISBLANK(dms_E3_Projects_09),"",dms_E3_Projects_09)</f>
        <v/>
      </c>
      <c r="C654" s="380"/>
      <c r="D654" s="267"/>
      <c r="E654" s="266"/>
      <c r="F654" s="260"/>
      <c r="G654" s="260"/>
      <c r="H654" s="260"/>
      <c r="I654" s="245"/>
    </row>
    <row r="655" spans="1:10" ht="15.75" customHeight="1" outlineLevel="2" x14ac:dyDescent="0.25">
      <c r="B655" s="536" t="str">
        <f>IF(ISBLANK(dms_E3_Projects_10),"",dms_E3_Projects_10)</f>
        <v/>
      </c>
      <c r="C655" s="640"/>
      <c r="D655" s="641"/>
      <c r="E655" s="642"/>
      <c r="F655" s="643"/>
      <c r="G655" s="643"/>
      <c r="H655" s="643"/>
      <c r="I655" s="644"/>
    </row>
    <row r="656" spans="1:10" ht="15.75" customHeight="1" outlineLevel="2" x14ac:dyDescent="0.25">
      <c r="B656" s="536" t="str">
        <f>IF(ISBLANK(dms_E3_Projects_11),"",dms_E3_Projects_11)</f>
        <v/>
      </c>
      <c r="C656" s="380"/>
      <c r="D656" s="267"/>
      <c r="E656" s="266"/>
      <c r="F656" s="260"/>
      <c r="G656" s="260"/>
      <c r="H656" s="260"/>
      <c r="I656" s="245"/>
    </row>
    <row r="657" spans="2:9" ht="15.75" customHeight="1" outlineLevel="2" x14ac:dyDescent="0.25">
      <c r="B657" s="536" t="str">
        <f>IF(ISBLANK(dms_E3_Projects_12),"",dms_E3_Projects_12)</f>
        <v/>
      </c>
      <c r="C657" s="640"/>
      <c r="D657" s="641"/>
      <c r="E657" s="642"/>
      <c r="F657" s="643"/>
      <c r="G657" s="643"/>
      <c r="H657" s="643"/>
      <c r="I657" s="644"/>
    </row>
    <row r="658" spans="2:9" ht="15.75" customHeight="1" outlineLevel="2" x14ac:dyDescent="0.25">
      <c r="B658" s="536" t="str">
        <f>IF(ISBLANK(dms_E3_Projects_13),"",dms_E3_Projects_13)</f>
        <v/>
      </c>
      <c r="C658" s="380"/>
      <c r="D658" s="267"/>
      <c r="E658" s="266"/>
      <c r="F658" s="260"/>
      <c r="G658" s="260"/>
      <c r="H658" s="260"/>
      <c r="I658" s="245"/>
    </row>
    <row r="659" spans="2:9" ht="15.75" customHeight="1" outlineLevel="2" x14ac:dyDescent="0.25">
      <c r="B659" s="536" t="str">
        <f>IF(ISBLANK(dms_E3_Projects_14),"",dms_E3_Projects_14)</f>
        <v/>
      </c>
      <c r="C659" s="640"/>
      <c r="D659" s="641"/>
      <c r="E659" s="642"/>
      <c r="F659" s="643"/>
      <c r="G659" s="643"/>
      <c r="H659" s="643"/>
      <c r="I659" s="644"/>
    </row>
    <row r="660" spans="2:9" ht="15.75" customHeight="1" outlineLevel="2" x14ac:dyDescent="0.25">
      <c r="B660" s="536" t="str">
        <f>IF(ISBLANK(dms_E3_Projects_15),"",dms_E3_Projects_15)</f>
        <v/>
      </c>
      <c r="C660" s="380"/>
      <c r="D660" s="267"/>
      <c r="E660" s="266"/>
      <c r="F660" s="260"/>
      <c r="G660" s="260"/>
      <c r="H660" s="260"/>
      <c r="I660" s="245"/>
    </row>
    <row r="661" spans="2:9" ht="15.75" customHeight="1" outlineLevel="2" x14ac:dyDescent="0.25">
      <c r="B661" s="536" t="str">
        <f>IF(ISBLANK(dms_E3_Projects_16),"",dms_E3_Projects_16)</f>
        <v/>
      </c>
      <c r="C661" s="640"/>
      <c r="D661" s="641"/>
      <c r="E661" s="642"/>
      <c r="F661" s="643"/>
      <c r="G661" s="643"/>
      <c r="H661" s="643"/>
      <c r="I661" s="644"/>
    </row>
    <row r="662" spans="2:9" ht="15.75" customHeight="1" outlineLevel="2" x14ac:dyDescent="0.25">
      <c r="B662" s="541" t="str">
        <f>IF(ISBLANK(dms_E3_Projects_17),"",dms_E3_Projects_17)</f>
        <v/>
      </c>
      <c r="C662" s="380"/>
      <c r="D662" s="267"/>
      <c r="E662" s="266"/>
      <c r="F662" s="260"/>
      <c r="G662" s="260"/>
      <c r="H662" s="260"/>
      <c r="I662" s="245"/>
    </row>
    <row r="663" spans="2:9" ht="15.75" customHeight="1" outlineLevel="2" x14ac:dyDescent="0.25">
      <c r="B663" s="541" t="str">
        <f>IF(ISBLANK(dms_E3_Projects_18),"",dms_E3_Projects_18)</f>
        <v/>
      </c>
      <c r="C663" s="640"/>
      <c r="D663" s="641"/>
      <c r="E663" s="642"/>
      <c r="F663" s="643"/>
      <c r="G663" s="643"/>
      <c r="H663" s="643"/>
      <c r="I663" s="644"/>
    </row>
    <row r="664" spans="2:9" ht="15.75" customHeight="1" outlineLevel="2" x14ac:dyDescent="0.25">
      <c r="B664" s="541" t="str">
        <f>IF(ISBLANK(dms_E3_Projects_18),"",dms_E3_Projects_18)</f>
        <v/>
      </c>
      <c r="C664" s="380"/>
      <c r="D664" s="267"/>
      <c r="E664" s="266"/>
      <c r="F664" s="260"/>
      <c r="G664" s="260"/>
      <c r="H664" s="260"/>
      <c r="I664" s="245"/>
    </row>
    <row r="665" spans="2:9" ht="15.75" customHeight="1" outlineLevel="2" x14ac:dyDescent="0.25">
      <c r="B665" s="541" t="str">
        <f>IF(ISBLANK(dms_E3_Projects_19),"",dms_E3_Projects_19)</f>
        <v/>
      </c>
      <c r="C665" s="640"/>
      <c r="D665" s="641"/>
      <c r="E665" s="642"/>
      <c r="F665" s="643"/>
      <c r="G665" s="643"/>
      <c r="H665" s="643"/>
      <c r="I665" s="644"/>
    </row>
    <row r="666" spans="2:9" ht="15.75" customHeight="1" outlineLevel="2" x14ac:dyDescent="0.25">
      <c r="B666" s="541" t="str">
        <f>IF(ISBLANK(dms_E3_Projects_20),"",dms_E3_Projects_20)</f>
        <v/>
      </c>
      <c r="C666" s="380"/>
      <c r="D666" s="267"/>
      <c r="E666" s="266"/>
      <c r="F666" s="260"/>
      <c r="G666" s="260"/>
      <c r="H666" s="260"/>
      <c r="I666" s="245"/>
    </row>
    <row r="667" spans="2:9" ht="15.75" customHeight="1" outlineLevel="2" x14ac:dyDescent="0.25">
      <c r="B667" s="541" t="str">
        <f>IF(ISBLANK(dms_E3_Projects_21),"",dms_E3_Projects_21)</f>
        <v/>
      </c>
      <c r="C667" s="640"/>
      <c r="D667" s="641"/>
      <c r="E667" s="642"/>
      <c r="F667" s="643"/>
      <c r="G667" s="643"/>
      <c r="H667" s="643"/>
      <c r="I667" s="644"/>
    </row>
    <row r="668" spans="2:9" ht="15.75" customHeight="1" outlineLevel="2" x14ac:dyDescent="0.25">
      <c r="B668" s="541" t="str">
        <f>IF(ISBLANK(dms_E3_Projects_22),"",dms_E3_Projects_22)</f>
        <v/>
      </c>
      <c r="C668" s="380"/>
      <c r="D668" s="267"/>
      <c r="E668" s="266"/>
      <c r="F668" s="260"/>
      <c r="G668" s="260"/>
      <c r="H668" s="260"/>
      <c r="I668" s="245"/>
    </row>
    <row r="669" spans="2:9" ht="15.75" customHeight="1" outlineLevel="2" x14ac:dyDescent="0.25">
      <c r="B669" s="541" t="str">
        <f>IF(ISBLANK(dms_E3_Projects_23),"",dms_E3_Projects_23)</f>
        <v/>
      </c>
      <c r="C669" s="640"/>
      <c r="D669" s="641"/>
      <c r="E669" s="642"/>
      <c r="F669" s="643"/>
      <c r="G669" s="643"/>
      <c r="H669" s="643"/>
      <c r="I669" s="644"/>
    </row>
    <row r="670" spans="2:9" ht="15.75" customHeight="1" outlineLevel="2" x14ac:dyDescent="0.25">
      <c r="B670" s="541" t="str">
        <f>IF(ISBLANK(dms_E3_Projects_24),"",dms_E3_Projects_24)</f>
        <v/>
      </c>
      <c r="C670" s="380"/>
      <c r="D670" s="267"/>
      <c r="E670" s="266"/>
      <c r="F670" s="260"/>
      <c r="G670" s="260"/>
      <c r="H670" s="260"/>
      <c r="I670" s="245"/>
    </row>
    <row r="671" spans="2:9" ht="15.75" customHeight="1" outlineLevel="2" x14ac:dyDescent="0.25">
      <c r="B671" s="541" t="str">
        <f>IF(ISBLANK(dms_E3_Projects_25),"",dms_E3_Projects_26)</f>
        <v/>
      </c>
      <c r="C671" s="640"/>
      <c r="D671" s="641"/>
      <c r="E671" s="642"/>
      <c r="F671" s="643"/>
      <c r="G671" s="643"/>
      <c r="H671" s="643"/>
      <c r="I671" s="644"/>
    </row>
    <row r="672" spans="2:9" ht="15.75" customHeight="1" outlineLevel="2" x14ac:dyDescent="0.25">
      <c r="B672" s="541" t="str">
        <f>IF(ISBLANK(dms_E3_Projects_27),"",dms_E3_Projects_27)</f>
        <v/>
      </c>
      <c r="C672" s="380"/>
      <c r="D672" s="267"/>
      <c r="E672" s="266"/>
      <c r="F672" s="260"/>
      <c r="G672" s="260"/>
      <c r="H672" s="260"/>
      <c r="I672" s="245"/>
    </row>
    <row r="673" spans="2:9" ht="15.75" customHeight="1" outlineLevel="2" x14ac:dyDescent="0.25">
      <c r="B673" s="541" t="str">
        <f>IF(ISBLANK(dms_E3_Projects_28),"",dms_E3_Projects_28)</f>
        <v/>
      </c>
      <c r="C673" s="640"/>
      <c r="D673" s="641"/>
      <c r="E673" s="642"/>
      <c r="F673" s="643"/>
      <c r="G673" s="643"/>
      <c r="H673" s="643"/>
      <c r="I673" s="644"/>
    </row>
    <row r="674" spans="2:9" ht="15.75" customHeight="1" outlineLevel="2" x14ac:dyDescent="0.25">
      <c r="B674" s="541" t="str">
        <f>IF(ISBLANK(dms_E3_Projects_29),"",dms_E3_Projects_29)</f>
        <v/>
      </c>
      <c r="C674" s="380"/>
      <c r="D674" s="267"/>
      <c r="E674" s="266"/>
      <c r="F674" s="260"/>
      <c r="G674" s="260"/>
      <c r="H674" s="260"/>
      <c r="I674" s="245"/>
    </row>
    <row r="675" spans="2:9" ht="15.75" customHeight="1" outlineLevel="2" x14ac:dyDescent="0.25">
      <c r="B675" s="541" t="str">
        <f>IF(ISBLANK(dms_E3_Projects_30),"",dms_E3_Projects_30)</f>
        <v/>
      </c>
      <c r="C675" s="640"/>
      <c r="D675" s="641"/>
      <c r="E675" s="642"/>
      <c r="F675" s="643"/>
      <c r="G675" s="643"/>
      <c r="H675" s="643"/>
      <c r="I675" s="644"/>
    </row>
    <row r="676" spans="2:9" ht="15.75" customHeight="1" outlineLevel="2" x14ac:dyDescent="0.25">
      <c r="B676" s="541" t="str">
        <f>IF(ISBLANK(dms_E3_Projects_31),"",dms_E3_Projects_31)</f>
        <v/>
      </c>
      <c r="C676" s="380"/>
      <c r="D676" s="267"/>
      <c r="E676" s="266"/>
      <c r="F676" s="260"/>
      <c r="G676" s="260"/>
      <c r="H676" s="260"/>
      <c r="I676" s="245"/>
    </row>
    <row r="677" spans="2:9" ht="15.75" customHeight="1" outlineLevel="2" x14ac:dyDescent="0.25">
      <c r="B677" s="541" t="str">
        <f>IF(ISBLANK(dms_E3_Projects_32),"",dms_E3_Projects_32)</f>
        <v/>
      </c>
      <c r="C677" s="640"/>
      <c r="D677" s="641"/>
      <c r="E677" s="642"/>
      <c r="F677" s="643"/>
      <c r="G677" s="643"/>
      <c r="H677" s="643"/>
      <c r="I677" s="644"/>
    </row>
    <row r="678" spans="2:9" ht="15.75" customHeight="1" outlineLevel="2" x14ac:dyDescent="0.25">
      <c r="B678" s="541" t="str">
        <f>IF(ISBLANK(dms_E3_Projects_33),"",dms_E3_Projects_33)</f>
        <v/>
      </c>
      <c r="C678" s="380"/>
      <c r="D678" s="267"/>
      <c r="E678" s="266"/>
      <c r="F678" s="260"/>
      <c r="G678" s="260"/>
      <c r="H678" s="260"/>
      <c r="I678" s="245"/>
    </row>
    <row r="679" spans="2:9" ht="15.75" customHeight="1" outlineLevel="2" x14ac:dyDescent="0.25">
      <c r="B679" s="541" t="str">
        <f>IF(ISBLANK(dms_E3_Projects_34),"",dms_E3_Projects_34)</f>
        <v/>
      </c>
      <c r="C679" s="640"/>
      <c r="D679" s="641"/>
      <c r="E679" s="642"/>
      <c r="F679" s="643"/>
      <c r="G679" s="643"/>
      <c r="H679" s="643"/>
      <c r="I679" s="644"/>
    </row>
    <row r="680" spans="2:9" ht="15.75" customHeight="1" outlineLevel="2" x14ac:dyDescent="0.25">
      <c r="B680" s="541" t="str">
        <f>IF(ISBLANK(dms_E3_Projects_35),"",dms_E3_Projects_35)</f>
        <v/>
      </c>
      <c r="C680" s="380"/>
      <c r="D680" s="267"/>
      <c r="E680" s="266"/>
      <c r="F680" s="260"/>
      <c r="G680" s="260"/>
      <c r="H680" s="260"/>
      <c r="I680" s="245"/>
    </row>
    <row r="681" spans="2:9" ht="15.75" customHeight="1" outlineLevel="2" x14ac:dyDescent="0.25">
      <c r="B681" s="541" t="str">
        <f>IF(ISBLANK(dms_E3_Projects_36),"",dms_E3_Projects_36)</f>
        <v/>
      </c>
      <c r="C681" s="640"/>
      <c r="D681" s="641"/>
      <c r="E681" s="642"/>
      <c r="F681" s="643"/>
      <c r="G681" s="643"/>
      <c r="H681" s="643"/>
      <c r="I681" s="644"/>
    </row>
    <row r="682" spans="2:9" ht="15.75" customHeight="1" outlineLevel="2" x14ac:dyDescent="0.25">
      <c r="B682" s="541" t="str">
        <f>IF(ISBLANK(dms_E3_Projects_37),"",dms_E3_Projects_37)</f>
        <v/>
      </c>
      <c r="C682" s="380"/>
      <c r="D682" s="267"/>
      <c r="E682" s="266"/>
      <c r="F682" s="260"/>
      <c r="G682" s="260"/>
      <c r="H682" s="260"/>
      <c r="I682" s="245"/>
    </row>
    <row r="683" spans="2:9" ht="15.75" customHeight="1" outlineLevel="2" x14ac:dyDescent="0.25">
      <c r="B683" s="541" t="str">
        <f>IF(ISBLANK(dms_E3_Projects_38),"",dms_E3_Projects_38)</f>
        <v/>
      </c>
      <c r="C683" s="640"/>
      <c r="D683" s="641"/>
      <c r="E683" s="642"/>
      <c r="F683" s="643"/>
      <c r="G683" s="643"/>
      <c r="H683" s="643"/>
      <c r="I683" s="644"/>
    </row>
    <row r="684" spans="2:9" ht="15.75" customHeight="1" outlineLevel="2" x14ac:dyDescent="0.25">
      <c r="B684" s="541" t="str">
        <f>IF(ISBLANK(dms_E3_Projects_39),"",dms_E3_Projects_39)</f>
        <v/>
      </c>
      <c r="C684" s="380"/>
      <c r="D684" s="267"/>
      <c r="E684" s="266"/>
      <c r="F684" s="260"/>
      <c r="G684" s="260"/>
      <c r="H684" s="260"/>
      <c r="I684" s="245"/>
    </row>
    <row r="685" spans="2:9" ht="15.75" customHeight="1" outlineLevel="2" x14ac:dyDescent="0.25">
      <c r="B685" s="541" t="str">
        <f>IF(ISBLANK(dms_E3_Projects_40),"",dms_E3_Projects_40)</f>
        <v/>
      </c>
      <c r="C685" s="640"/>
      <c r="D685" s="641"/>
      <c r="E685" s="642"/>
      <c r="F685" s="643"/>
      <c r="G685" s="643"/>
      <c r="H685" s="643"/>
      <c r="I685" s="644"/>
    </row>
    <row r="686" spans="2:9" ht="15.75" customHeight="1" outlineLevel="2" x14ac:dyDescent="0.25">
      <c r="B686" s="541" t="str">
        <f>IF(ISBLANK(dms_E3_Projects_41),"",dms_E3_Projects_41)</f>
        <v/>
      </c>
      <c r="C686" s="380"/>
      <c r="D686" s="267"/>
      <c r="E686" s="266"/>
      <c r="F686" s="260"/>
      <c r="G686" s="260"/>
      <c r="H686" s="260"/>
      <c r="I686" s="245"/>
    </row>
    <row r="687" spans="2:9" ht="15.75" customHeight="1" outlineLevel="2" x14ac:dyDescent="0.25">
      <c r="B687" s="541" t="str">
        <f>IF(ISBLANK(dms_E3_Projects_42),"",dms_E3_Projects_42)</f>
        <v/>
      </c>
      <c r="C687" s="640"/>
      <c r="D687" s="641"/>
      <c r="E687" s="642"/>
      <c r="F687" s="643"/>
      <c r="G687" s="643"/>
      <c r="H687" s="643"/>
      <c r="I687" s="644"/>
    </row>
    <row r="688" spans="2:9" ht="15.75" customHeight="1" outlineLevel="2" x14ac:dyDescent="0.25">
      <c r="B688" s="541" t="str">
        <f>IF(ISBLANK(dms_E3_Projects_43),"",dms_E3_Projects_43)</f>
        <v/>
      </c>
      <c r="C688" s="380"/>
      <c r="D688" s="267"/>
      <c r="E688" s="266"/>
      <c r="F688" s="260"/>
      <c r="G688" s="260"/>
      <c r="H688" s="260"/>
      <c r="I688" s="245"/>
    </row>
    <row r="689" spans="1:10" ht="15.75" customHeight="1" outlineLevel="2" x14ac:dyDescent="0.25">
      <c r="B689" s="541" t="str">
        <f>IF(ISBLANK(dms_E3_Projects_44),"",dms_E3_Projects_44)</f>
        <v/>
      </c>
      <c r="C689" s="640"/>
      <c r="D689" s="641"/>
      <c r="E689" s="642"/>
      <c r="F689" s="643"/>
      <c r="G689" s="643"/>
      <c r="H689" s="643"/>
      <c r="I689" s="644"/>
    </row>
    <row r="690" spans="1:10" ht="15.75" customHeight="1" outlineLevel="2" x14ac:dyDescent="0.25">
      <c r="B690" s="541" t="str">
        <f>IF(ISBLANK(dms_E3_Projects_45),"",dms_E3_Projects_45)</f>
        <v/>
      </c>
      <c r="C690" s="380"/>
      <c r="D690" s="267"/>
      <c r="E690" s="266"/>
      <c r="F690" s="260"/>
      <c r="G690" s="260"/>
      <c r="H690" s="260"/>
      <c r="I690" s="245"/>
    </row>
    <row r="691" spans="1:10" ht="15.75" customHeight="1" outlineLevel="2" x14ac:dyDescent="0.25">
      <c r="B691" s="541" t="str">
        <f>IF(ISBLANK(dms_E3_Projects_46),"",dms_E3_Projects_46)</f>
        <v/>
      </c>
      <c r="C691" s="640"/>
      <c r="D691" s="641"/>
      <c r="E691" s="642"/>
      <c r="F691" s="643"/>
      <c r="G691" s="643"/>
      <c r="H691" s="643"/>
      <c r="I691" s="644"/>
    </row>
    <row r="692" spans="1:10" ht="15.75" customHeight="1" outlineLevel="2" x14ac:dyDescent="0.25">
      <c r="B692" s="541" t="str">
        <f>IF(ISBLANK(dms_E3_Projects_47),"",dms_E3_Projects_47)</f>
        <v/>
      </c>
      <c r="C692" s="380"/>
      <c r="D692" s="267"/>
      <c r="E692" s="266"/>
      <c r="F692" s="260"/>
      <c r="G692" s="260"/>
      <c r="H692" s="260"/>
      <c r="I692" s="245"/>
    </row>
    <row r="693" spans="1:10" ht="15.75" customHeight="1" outlineLevel="2" x14ac:dyDescent="0.25">
      <c r="B693" s="541" t="str">
        <f>IF(ISBLANK(dms_E3_Projects_48),"",dms_E3_Projects_48)</f>
        <v/>
      </c>
      <c r="C693" s="640"/>
      <c r="D693" s="641"/>
      <c r="E693" s="642"/>
      <c r="F693" s="643"/>
      <c r="G693" s="643"/>
      <c r="H693" s="643"/>
      <c r="I693" s="644"/>
    </row>
    <row r="694" spans="1:10" ht="15.75" customHeight="1" outlineLevel="2" x14ac:dyDescent="0.25">
      <c r="B694" s="541" t="str">
        <f>IF(ISBLANK(dms_E3_Projects_49),"",dms_E3_Projects_49)</f>
        <v/>
      </c>
      <c r="C694" s="380"/>
      <c r="D694" s="267"/>
      <c r="E694" s="266"/>
      <c r="F694" s="260"/>
      <c r="G694" s="260"/>
      <c r="H694" s="260"/>
      <c r="I694" s="245"/>
    </row>
    <row r="695" spans="1:10" ht="15.75" customHeight="1" outlineLevel="2" x14ac:dyDescent="0.25">
      <c r="B695" s="541" t="str">
        <f>IF(ISBLANK(dms_E3_Projects_50),"",dms_E3_Projects_50)</f>
        <v/>
      </c>
      <c r="C695" s="640"/>
      <c r="D695" s="641"/>
      <c r="E695" s="642"/>
      <c r="F695" s="643"/>
      <c r="G695" s="643"/>
      <c r="H695" s="643"/>
      <c r="I695" s="644"/>
    </row>
    <row r="696" spans="1:10" ht="15.75" customHeight="1" outlineLevel="2" thickBot="1" x14ac:dyDescent="0.3">
      <c r="B696" s="547" t="s">
        <v>152</v>
      </c>
      <c r="C696" s="381"/>
      <c r="D696" s="269"/>
      <c r="E696" s="268"/>
      <c r="F696" s="262"/>
      <c r="G696" s="262"/>
      <c r="H696" s="262"/>
      <c r="I696" s="494"/>
    </row>
    <row r="697" spans="1:10" ht="15.75" customHeight="1" outlineLevel="2" thickBot="1" x14ac:dyDescent="0.3">
      <c r="B697" s="544" t="s">
        <v>120</v>
      </c>
      <c r="C697" s="545">
        <f>SUM(C646:C696)</f>
        <v>0</v>
      </c>
      <c r="D697" s="545">
        <f t="shared" ref="D697:I697" si="41">SUM(D646:D696)</f>
        <v>0</v>
      </c>
      <c r="E697" s="545">
        <f t="shared" si="41"/>
        <v>0</v>
      </c>
      <c r="F697" s="545">
        <f t="shared" si="41"/>
        <v>0</v>
      </c>
      <c r="G697" s="545">
        <f t="shared" si="41"/>
        <v>0</v>
      </c>
      <c r="H697" s="545">
        <f t="shared" si="41"/>
        <v>0</v>
      </c>
      <c r="I697" s="546">
        <f t="shared" si="41"/>
        <v>0</v>
      </c>
    </row>
    <row r="698" spans="1:10" s="42" customFormat="1" ht="13.5" customHeight="1" outlineLevel="1" x14ac:dyDescent="0.25">
      <c r="A698"/>
      <c r="B698"/>
      <c r="C698"/>
      <c r="D698"/>
      <c r="E698"/>
      <c r="F698"/>
      <c r="G698"/>
      <c r="H698"/>
      <c r="I698"/>
      <c r="J69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3" tint="-0.249977111117893"/>
  </sheetPr>
  <dimension ref="A1:K209"/>
  <sheetViews>
    <sheetView showGridLines="0" zoomScaleNormal="100" workbookViewId="0"/>
  </sheetViews>
  <sheetFormatPr defaultColWidth="9.140625" defaultRowHeight="15" outlineLevelRow="3" x14ac:dyDescent="0.25"/>
  <cols>
    <col min="1" max="1" width="22.7109375" customWidth="1"/>
    <col min="2" max="2" width="57.140625" customWidth="1"/>
    <col min="3" max="9" width="20.7109375" customWidth="1"/>
  </cols>
  <sheetData>
    <row r="1" spans="1:9" ht="30" customHeight="1" x14ac:dyDescent="0.25">
      <c r="A1" s="1112"/>
      <c r="B1" s="1112" t="str">
        <f>INDEX(dms_Worksheet_List,MATCH(dms_Model,dms_Model_List))</f>
        <v>REGULATORY REPORTING STATEMENT</v>
      </c>
      <c r="C1" s="26"/>
      <c r="D1" s="26"/>
      <c r="E1" s="26"/>
      <c r="F1" s="26"/>
      <c r="G1" s="1502" t="s">
        <v>96</v>
      </c>
      <c r="H1" s="1503" t="s">
        <v>97</v>
      </c>
      <c r="I1" s="26"/>
    </row>
    <row r="2" spans="1:9" ht="30" customHeight="1" x14ac:dyDescent="0.25">
      <c r="A2" s="1113"/>
      <c r="B2" s="1113" t="str">
        <f>dms_TradingNameFull</f>
        <v>Australian Gas Networks Limited (reporting data for SA)</v>
      </c>
      <c r="C2" s="26"/>
      <c r="D2" s="26"/>
      <c r="E2" s="26"/>
      <c r="F2" s="26"/>
      <c r="G2" s="1504" t="s">
        <v>98</v>
      </c>
      <c r="H2" s="1505" t="s">
        <v>92</v>
      </c>
      <c r="I2" s="26"/>
    </row>
    <row r="3" spans="1:9" ht="30" customHeight="1" x14ac:dyDescent="0.25">
      <c r="A3" s="1115"/>
      <c r="B3" s="1115" t="str">
        <f ca="1">dms_Header_Span</f>
        <v>2024-25 to 2030-31</v>
      </c>
      <c r="C3" s="26"/>
      <c r="D3" s="26"/>
      <c r="E3" s="26"/>
      <c r="F3" s="26"/>
      <c r="G3" s="1506" t="s">
        <v>99</v>
      </c>
      <c r="H3" s="1507" t="s">
        <v>100</v>
      </c>
      <c r="I3" s="26"/>
    </row>
    <row r="4" spans="1:9" ht="30" customHeight="1" x14ac:dyDescent="0.25">
      <c r="A4" s="621"/>
      <c r="B4" s="621" t="s">
        <v>168</v>
      </c>
      <c r="C4" s="621"/>
      <c r="D4" s="621"/>
      <c r="E4" s="621"/>
      <c r="F4" s="621"/>
      <c r="G4" s="1508" t="s">
        <v>102</v>
      </c>
      <c r="H4" s="1509" t="s">
        <v>103</v>
      </c>
      <c r="I4" s="621"/>
    </row>
    <row r="5" spans="1:9" ht="30" customHeight="1" x14ac:dyDescent="0.25">
      <c r="B5" s="1492" t="s">
        <v>104</v>
      </c>
      <c r="C5" s="1492"/>
      <c r="D5" s="1492"/>
      <c r="E5" s="1492"/>
      <c r="F5" s="1492"/>
      <c r="G5" s="1492"/>
      <c r="H5" s="1492"/>
      <c r="I5" s="1492"/>
    </row>
    <row r="6" spans="1:9" ht="15.75" thickBot="1" x14ac:dyDescent="0.3"/>
    <row r="7" spans="1:9" s="317" customFormat="1" ht="24" customHeight="1" thickBot="1" x14ac:dyDescent="0.25">
      <c r="B7" s="32" t="s">
        <v>169</v>
      </c>
      <c r="C7" s="32"/>
      <c r="D7" s="32"/>
      <c r="E7" s="32"/>
      <c r="F7" s="32"/>
      <c r="G7" s="32"/>
      <c r="H7" s="32"/>
      <c r="I7" s="32"/>
    </row>
    <row r="8" spans="1:9" s="317" customFormat="1" ht="24" customHeight="1" outlineLevel="1" thickBot="1" x14ac:dyDescent="0.25">
      <c r="B8" s="247" t="s">
        <v>170</v>
      </c>
      <c r="C8" s="248"/>
      <c r="D8" s="248"/>
      <c r="E8" s="248"/>
      <c r="F8" s="248"/>
      <c r="G8" s="248"/>
      <c r="H8" s="248"/>
      <c r="I8" s="248"/>
    </row>
    <row r="9" spans="1:9" s="42" customFormat="1" ht="20.25" customHeight="1" outlineLevel="2" x14ac:dyDescent="0.25">
      <c r="A9" s="291"/>
      <c r="B9"/>
      <c r="C9" s="1378" t="s">
        <v>24</v>
      </c>
      <c r="D9" s="1378"/>
      <c r="E9" s="1378"/>
      <c r="F9" s="1378"/>
      <c r="G9" s="1378"/>
      <c r="H9" s="1378"/>
      <c r="I9" s="1378"/>
    </row>
    <row r="10" spans="1:9" s="42" customFormat="1" ht="20.25" customHeight="1" outlineLevel="2" x14ac:dyDescent="0.25">
      <c r="A10" s="291"/>
      <c r="B10"/>
      <c r="C10" s="1378" t="str">
        <f ca="1">CONCATENATE("$, real ",dms_DollarReal)</f>
        <v>$, real June 2026</v>
      </c>
      <c r="D10" s="1378"/>
      <c r="E10" s="1378"/>
      <c r="F10" s="1378"/>
      <c r="G10" s="1378"/>
      <c r="H10" s="1378"/>
      <c r="I10" s="1378"/>
    </row>
    <row r="11" spans="1:9" s="42" customFormat="1" ht="20.25" customHeight="1" outlineLevel="2" thickBot="1" x14ac:dyDescent="0.3">
      <c r="A11" s="291"/>
      <c r="B11"/>
      <c r="C11" s="314" t="str">
        <f ca="1">dms_y1</f>
        <v>2024-25</v>
      </c>
      <c r="D11" s="314" t="str">
        <f ca="1">dms_y2</f>
        <v>2025-26</v>
      </c>
      <c r="E11" s="314" t="str">
        <f ca="1">dms_y3</f>
        <v>2026-27</v>
      </c>
      <c r="F11" s="314" t="str">
        <f ca="1">dms_y4</f>
        <v>2027-28</v>
      </c>
      <c r="G11" s="314" t="str">
        <f ca="1">dms_y5</f>
        <v>2028-29</v>
      </c>
      <c r="H11" s="314" t="str">
        <f ca="1">dms_y6</f>
        <v>2029-30</v>
      </c>
      <c r="I11" s="314" t="str">
        <f ca="1">dms_y7</f>
        <v>2030-31</v>
      </c>
    </row>
    <row r="12" spans="1:9" ht="21.75" customHeight="1" outlineLevel="2" thickBot="1" x14ac:dyDescent="0.3">
      <c r="B12" s="250" t="s">
        <v>136</v>
      </c>
      <c r="C12" s="251"/>
      <c r="D12" s="251"/>
      <c r="E12" s="251"/>
      <c r="F12" s="251"/>
      <c r="G12" s="251"/>
      <c r="H12" s="251"/>
      <c r="I12" s="252"/>
    </row>
    <row r="13" spans="1:9" ht="15.75" customHeight="1" outlineLevel="3" x14ac:dyDescent="0.25">
      <c r="B13" s="536" t="s">
        <v>171</v>
      </c>
      <c r="C13" s="285"/>
      <c r="D13" s="1206"/>
      <c r="E13" s="283"/>
      <c r="F13" s="271"/>
      <c r="G13" s="271"/>
      <c r="H13" s="271"/>
      <c r="I13" s="272"/>
    </row>
    <row r="14" spans="1:9" ht="15.75" customHeight="1" outlineLevel="3" x14ac:dyDescent="0.25">
      <c r="B14" s="536" t="s">
        <v>172</v>
      </c>
      <c r="C14" s="285"/>
      <c r="D14" s="1206"/>
      <c r="E14" s="283"/>
      <c r="F14" s="271"/>
      <c r="G14" s="271"/>
      <c r="H14" s="271"/>
      <c r="I14" s="272"/>
    </row>
    <row r="15" spans="1:9" ht="15.75" customHeight="1" outlineLevel="3" x14ac:dyDescent="0.25">
      <c r="B15" s="555" t="s">
        <v>173</v>
      </c>
      <c r="C15" s="298"/>
      <c r="D15" s="299"/>
      <c r="E15" s="300"/>
      <c r="F15" s="301"/>
      <c r="G15" s="301"/>
      <c r="H15" s="301"/>
      <c r="I15" s="302"/>
    </row>
    <row r="16" spans="1:9" ht="15.75" customHeight="1" outlineLevel="3" collapsed="1" thickBot="1" x14ac:dyDescent="0.3">
      <c r="B16" s="552" t="s">
        <v>120</v>
      </c>
      <c r="C16" s="553">
        <f>SUM(C13:C15)</f>
        <v>0</v>
      </c>
      <c r="D16" s="553">
        <f t="shared" ref="D16:I16" si="0">SUM(D13:D15)</f>
        <v>0</v>
      </c>
      <c r="E16" s="553">
        <f t="shared" si="0"/>
        <v>0</v>
      </c>
      <c r="F16" s="553">
        <f t="shared" si="0"/>
        <v>0</v>
      </c>
      <c r="G16" s="553">
        <f t="shared" si="0"/>
        <v>0</v>
      </c>
      <c r="H16" s="553">
        <f t="shared" si="0"/>
        <v>0</v>
      </c>
      <c r="I16" s="554">
        <f t="shared" si="0"/>
        <v>0</v>
      </c>
    </row>
    <row r="17" spans="2:9" ht="21.75" customHeight="1" outlineLevel="2" thickBot="1" x14ac:dyDescent="0.3">
      <c r="B17" s="250" t="s">
        <v>138</v>
      </c>
      <c r="C17" s="251"/>
      <c r="D17" s="251"/>
      <c r="E17" s="251"/>
      <c r="F17" s="251"/>
      <c r="G17" s="251"/>
      <c r="H17" s="251"/>
      <c r="I17" s="252"/>
    </row>
    <row r="18" spans="2:9" ht="15.75" customHeight="1" outlineLevel="3" x14ac:dyDescent="0.25">
      <c r="B18" s="536" t="s">
        <v>171</v>
      </c>
      <c r="C18" s="1510"/>
      <c r="D18" s="1543"/>
      <c r="E18" s="1544"/>
      <c r="F18" s="1513"/>
      <c r="G18" s="1513"/>
      <c r="H18" s="1513"/>
      <c r="I18" s="1545"/>
    </row>
    <row r="19" spans="2:9" ht="15.75" customHeight="1" outlineLevel="3" x14ac:dyDescent="0.25">
      <c r="B19" s="536" t="s">
        <v>172</v>
      </c>
      <c r="C19" s="1510"/>
      <c r="D19" s="1543"/>
      <c r="E19" s="1544"/>
      <c r="F19" s="1513"/>
      <c r="G19" s="1513"/>
      <c r="H19" s="1513"/>
      <c r="I19" s="1545"/>
    </row>
    <row r="20" spans="2:9" ht="15.75" customHeight="1" outlineLevel="3" x14ac:dyDescent="0.25">
      <c r="B20" s="555" t="s">
        <v>173</v>
      </c>
      <c r="C20" s="1523"/>
      <c r="D20" s="1524"/>
      <c r="E20" s="1546"/>
      <c r="F20" s="1526"/>
      <c r="G20" s="1526"/>
      <c r="H20" s="1526"/>
      <c r="I20" s="1527"/>
    </row>
    <row r="21" spans="2:9" ht="15.75" customHeight="1" outlineLevel="3" collapsed="1" thickBot="1" x14ac:dyDescent="0.3">
      <c r="B21" s="552" t="s">
        <v>120</v>
      </c>
      <c r="C21" s="553">
        <f>SUM(C18:C20)</f>
        <v>0</v>
      </c>
      <c r="D21" s="553">
        <f t="shared" ref="D21:I21" si="1">SUM(D18:D20)</f>
        <v>0</v>
      </c>
      <c r="E21" s="553">
        <f t="shared" si="1"/>
        <v>0</v>
      </c>
      <c r="F21" s="553">
        <f t="shared" si="1"/>
        <v>0</v>
      </c>
      <c r="G21" s="553">
        <f t="shared" si="1"/>
        <v>0</v>
      </c>
      <c r="H21" s="553">
        <f t="shared" si="1"/>
        <v>0</v>
      </c>
      <c r="I21" s="554">
        <f t="shared" si="1"/>
        <v>0</v>
      </c>
    </row>
    <row r="22" spans="2:9" ht="21.75" customHeight="1" outlineLevel="2" thickBot="1" x14ac:dyDescent="0.3">
      <c r="B22" s="250" t="s">
        <v>139</v>
      </c>
      <c r="C22" s="251"/>
      <c r="D22" s="251"/>
      <c r="E22" s="251"/>
      <c r="F22" s="251"/>
      <c r="G22" s="251"/>
      <c r="H22" s="251"/>
      <c r="I22" s="252"/>
    </row>
    <row r="23" spans="2:9" ht="15.75" customHeight="1" outlineLevel="3" x14ac:dyDescent="0.25">
      <c r="B23" s="536" t="s">
        <v>171</v>
      </c>
      <c r="C23" s="285"/>
      <c r="D23" s="1206"/>
      <c r="E23" s="283"/>
      <c r="F23" s="271"/>
      <c r="G23" s="271"/>
      <c r="H23" s="271"/>
      <c r="I23" s="272"/>
    </row>
    <row r="24" spans="2:9" ht="15.75" customHeight="1" outlineLevel="3" x14ac:dyDescent="0.25">
      <c r="B24" s="536" t="s">
        <v>172</v>
      </c>
      <c r="C24" s="285"/>
      <c r="D24" s="1206"/>
      <c r="E24" s="283"/>
      <c r="F24" s="271"/>
      <c r="G24" s="271"/>
      <c r="H24" s="271"/>
      <c r="I24" s="272"/>
    </row>
    <row r="25" spans="2:9" ht="15.75" customHeight="1" outlineLevel="3" x14ac:dyDescent="0.25">
      <c r="B25" s="555" t="s">
        <v>173</v>
      </c>
      <c r="C25" s="298"/>
      <c r="D25" s="299"/>
      <c r="E25" s="300"/>
      <c r="F25" s="301"/>
      <c r="G25" s="301"/>
      <c r="H25" s="301"/>
      <c r="I25" s="302"/>
    </row>
    <row r="26" spans="2:9" ht="15.75" customHeight="1" outlineLevel="3" collapsed="1" thickBot="1" x14ac:dyDescent="0.3">
      <c r="B26" s="549" t="s">
        <v>120</v>
      </c>
      <c r="C26" s="550">
        <f>SUM(C23:C25)</f>
        <v>0</v>
      </c>
      <c r="D26" s="550">
        <f t="shared" ref="D26:I26" si="2">SUM(D23:D25)</f>
        <v>0</v>
      </c>
      <c r="E26" s="550">
        <f t="shared" si="2"/>
        <v>0</v>
      </c>
      <c r="F26" s="550">
        <f t="shared" si="2"/>
        <v>0</v>
      </c>
      <c r="G26" s="550">
        <f t="shared" si="2"/>
        <v>0</v>
      </c>
      <c r="H26" s="550">
        <f t="shared" si="2"/>
        <v>0</v>
      </c>
      <c r="I26" s="551">
        <f t="shared" si="2"/>
        <v>0</v>
      </c>
    </row>
    <row r="27" spans="2:9" ht="21.75" customHeight="1" outlineLevel="2" thickBot="1" x14ac:dyDescent="0.3">
      <c r="B27" s="250" t="s">
        <v>140</v>
      </c>
      <c r="C27" s="251"/>
      <c r="D27" s="251"/>
      <c r="E27" s="251"/>
      <c r="F27" s="251"/>
      <c r="G27" s="251"/>
      <c r="H27" s="251"/>
      <c r="I27" s="252"/>
    </row>
    <row r="28" spans="2:9" ht="15.75" customHeight="1" outlineLevel="3" x14ac:dyDescent="0.25">
      <c r="B28" s="536" t="s">
        <v>171</v>
      </c>
      <c r="C28" s="285"/>
      <c r="D28" s="1206"/>
      <c r="E28" s="283"/>
      <c r="F28" s="271"/>
      <c r="G28" s="271"/>
      <c r="H28" s="271"/>
      <c r="I28" s="272"/>
    </row>
    <row r="29" spans="2:9" ht="15.75" customHeight="1" outlineLevel="3" x14ac:dyDescent="0.25">
      <c r="B29" s="536" t="s">
        <v>172</v>
      </c>
      <c r="C29" s="285"/>
      <c r="D29" s="1206"/>
      <c r="E29" s="283"/>
      <c r="F29" s="271"/>
      <c r="G29" s="271"/>
      <c r="H29" s="271"/>
      <c r="I29" s="272"/>
    </row>
    <row r="30" spans="2:9" ht="15.75" customHeight="1" outlineLevel="3" x14ac:dyDescent="0.25">
      <c r="B30" s="555" t="s">
        <v>173</v>
      </c>
      <c r="C30" s="298"/>
      <c r="D30" s="299"/>
      <c r="E30" s="300"/>
      <c r="F30" s="301"/>
      <c r="G30" s="301"/>
      <c r="H30" s="301"/>
      <c r="I30" s="302"/>
    </row>
    <row r="31" spans="2:9" ht="15.75" customHeight="1" outlineLevel="3" collapsed="1" thickBot="1" x14ac:dyDescent="0.3">
      <c r="B31" s="549" t="s">
        <v>120</v>
      </c>
      <c r="C31" s="550">
        <f>SUM(C28:C30)</f>
        <v>0</v>
      </c>
      <c r="D31" s="550">
        <f t="shared" ref="D31:I31" si="3">SUM(D28:D30)</f>
        <v>0</v>
      </c>
      <c r="E31" s="550">
        <f t="shared" si="3"/>
        <v>0</v>
      </c>
      <c r="F31" s="550">
        <f t="shared" si="3"/>
        <v>0</v>
      </c>
      <c r="G31" s="550">
        <f t="shared" si="3"/>
        <v>0</v>
      </c>
      <c r="H31" s="550">
        <f t="shared" si="3"/>
        <v>0</v>
      </c>
      <c r="I31" s="551">
        <f t="shared" si="3"/>
        <v>0</v>
      </c>
    </row>
    <row r="32" spans="2:9" ht="21.75" customHeight="1" outlineLevel="2" thickBot="1" x14ac:dyDescent="0.3">
      <c r="B32" s="250" t="s">
        <v>141</v>
      </c>
      <c r="C32" s="251"/>
      <c r="D32" s="251"/>
      <c r="E32" s="251"/>
      <c r="F32" s="251"/>
      <c r="G32" s="251"/>
      <c r="H32" s="251"/>
      <c r="I32" s="252"/>
    </row>
    <row r="33" spans="1:10" ht="15.75" customHeight="1" outlineLevel="3" x14ac:dyDescent="0.25">
      <c r="B33" s="536" t="s">
        <v>171</v>
      </c>
      <c r="C33" s="285"/>
      <c r="D33" s="1206"/>
      <c r="E33" s="283"/>
      <c r="F33" s="271"/>
      <c r="G33" s="271"/>
      <c r="H33" s="271"/>
      <c r="I33" s="272"/>
    </row>
    <row r="34" spans="1:10" ht="15.75" customHeight="1" outlineLevel="3" x14ac:dyDescent="0.25">
      <c r="B34" s="536" t="s">
        <v>172</v>
      </c>
      <c r="C34" s="285"/>
      <c r="D34" s="1206"/>
      <c r="E34" s="283"/>
      <c r="F34" s="271"/>
      <c r="G34" s="271"/>
      <c r="H34" s="271"/>
      <c r="I34" s="272"/>
    </row>
    <row r="35" spans="1:10" ht="15.75" customHeight="1" outlineLevel="3" x14ac:dyDescent="0.25">
      <c r="B35" s="555" t="s">
        <v>173</v>
      </c>
      <c r="C35" s="298"/>
      <c r="D35" s="299"/>
      <c r="E35" s="300"/>
      <c r="F35" s="301"/>
      <c r="G35" s="301"/>
      <c r="H35" s="301"/>
      <c r="I35" s="302"/>
    </row>
    <row r="36" spans="1:10" ht="15.75" customHeight="1" outlineLevel="3" collapsed="1" thickBot="1" x14ac:dyDescent="0.3">
      <c r="B36" s="549" t="s">
        <v>120</v>
      </c>
      <c r="C36" s="550">
        <f>SUM(C33:C35)</f>
        <v>0</v>
      </c>
      <c r="D36" s="550">
        <f t="shared" ref="D36:I36" si="4">SUM(D33:D35)</f>
        <v>0</v>
      </c>
      <c r="E36" s="550">
        <f t="shared" si="4"/>
        <v>0</v>
      </c>
      <c r="F36" s="550">
        <f t="shared" si="4"/>
        <v>0</v>
      </c>
      <c r="G36" s="550">
        <f t="shared" si="4"/>
        <v>0</v>
      </c>
      <c r="H36" s="550">
        <f t="shared" si="4"/>
        <v>0</v>
      </c>
      <c r="I36" s="551">
        <f t="shared" si="4"/>
        <v>0</v>
      </c>
    </row>
    <row r="37" spans="1:10" ht="21.75" customHeight="1" outlineLevel="2" thickBot="1" x14ac:dyDescent="0.3">
      <c r="B37" s="250" t="s">
        <v>142</v>
      </c>
      <c r="C37" s="251"/>
      <c r="D37" s="251"/>
      <c r="E37" s="251"/>
      <c r="F37" s="251"/>
      <c r="G37" s="251"/>
      <c r="H37" s="251"/>
      <c r="I37" s="252"/>
    </row>
    <row r="38" spans="1:10" ht="15.75" customHeight="1" outlineLevel="3" x14ac:dyDescent="0.25">
      <c r="B38" s="536" t="s">
        <v>171</v>
      </c>
      <c r="C38" s="285"/>
      <c r="D38" s="1206"/>
      <c r="E38" s="283"/>
      <c r="F38" s="271"/>
      <c r="G38" s="271"/>
      <c r="H38" s="271"/>
      <c r="I38" s="272"/>
    </row>
    <row r="39" spans="1:10" ht="15.75" customHeight="1" outlineLevel="3" x14ac:dyDescent="0.25">
      <c r="B39" s="536" t="s">
        <v>172</v>
      </c>
      <c r="C39" s="285"/>
      <c r="D39" s="1206"/>
      <c r="E39" s="283"/>
      <c r="F39" s="271"/>
      <c r="G39" s="271"/>
      <c r="H39" s="271"/>
      <c r="I39" s="272"/>
    </row>
    <row r="40" spans="1:10" ht="15.75" customHeight="1" outlineLevel="3" x14ac:dyDescent="0.25">
      <c r="B40" s="555" t="s">
        <v>173</v>
      </c>
      <c r="C40" s="298"/>
      <c r="D40" s="299"/>
      <c r="E40" s="300"/>
      <c r="F40" s="301"/>
      <c r="G40" s="301"/>
      <c r="H40" s="301"/>
      <c r="I40" s="302"/>
    </row>
    <row r="41" spans="1:10" ht="15.75" customHeight="1" outlineLevel="3" collapsed="1" thickBot="1" x14ac:dyDescent="0.3">
      <c r="B41" s="549" t="s">
        <v>120</v>
      </c>
      <c r="C41" s="550">
        <f>SUM(C38:C40)</f>
        <v>0</v>
      </c>
      <c r="D41" s="550">
        <f t="shared" ref="D41:I41" si="5">SUM(D38:D40)</f>
        <v>0</v>
      </c>
      <c r="E41" s="550">
        <f t="shared" si="5"/>
        <v>0</v>
      </c>
      <c r="F41" s="550">
        <f t="shared" si="5"/>
        <v>0</v>
      </c>
      <c r="G41" s="550">
        <f t="shared" si="5"/>
        <v>0</v>
      </c>
      <c r="H41" s="550">
        <f t="shared" si="5"/>
        <v>0</v>
      </c>
      <c r="I41" s="551">
        <f t="shared" si="5"/>
        <v>0</v>
      </c>
    </row>
    <row r="42" spans="1:10" s="42" customFormat="1" ht="15" customHeight="1" outlineLevel="2" thickBot="1" x14ac:dyDescent="0.3">
      <c r="A42" s="291"/>
      <c r="B42" s="295" t="s">
        <v>146</v>
      </c>
      <c r="C42" s="296">
        <f>SUM(C16,C21,C26,C31,C36,C41)</f>
        <v>0</v>
      </c>
      <c r="D42" s="296">
        <f t="shared" ref="D42:I42" si="6">SUM(D16,D21,D26,D31,D36,D41)</f>
        <v>0</v>
      </c>
      <c r="E42" s="296">
        <f t="shared" si="6"/>
        <v>0</v>
      </c>
      <c r="F42" s="296">
        <f t="shared" si="6"/>
        <v>0</v>
      </c>
      <c r="G42" s="296">
        <f t="shared" si="6"/>
        <v>0</v>
      </c>
      <c r="H42" s="296">
        <f t="shared" si="6"/>
        <v>0</v>
      </c>
      <c r="I42" s="297">
        <f t="shared" si="6"/>
        <v>0</v>
      </c>
      <c r="J42"/>
    </row>
    <row r="43" spans="1:10" s="42" customFormat="1" ht="21" outlineLevel="1" thickBot="1" x14ac:dyDescent="0.35">
      <c r="A43" s="291"/>
      <c r="B43" s="331"/>
      <c r="C43" s="328"/>
      <c r="D43" s="328"/>
      <c r="E43" s="328"/>
    </row>
    <row r="44" spans="1:10" s="317" customFormat="1" ht="24" customHeight="1" outlineLevel="1" thickBot="1" x14ac:dyDescent="0.25">
      <c r="B44" s="247" t="s">
        <v>174</v>
      </c>
      <c r="C44" s="248"/>
      <c r="D44" s="248"/>
      <c r="E44" s="248"/>
      <c r="F44" s="248"/>
      <c r="G44" s="248"/>
      <c r="H44" s="248"/>
      <c r="I44" s="248"/>
    </row>
    <row r="45" spans="1:10" s="42" customFormat="1" ht="20.25" customHeight="1" outlineLevel="2" x14ac:dyDescent="0.25">
      <c r="A45" s="291"/>
      <c r="B45"/>
      <c r="C45" s="1378" t="s">
        <v>24</v>
      </c>
      <c r="D45" s="1378"/>
      <c r="E45" s="1378"/>
      <c r="F45" s="1378"/>
      <c r="G45" s="1378"/>
      <c r="H45" s="1378"/>
      <c r="I45" s="1378"/>
    </row>
    <row r="46" spans="1:10" s="42" customFormat="1" ht="20.25" customHeight="1" outlineLevel="2" x14ac:dyDescent="0.25">
      <c r="A46" s="291"/>
      <c r="B46"/>
      <c r="C46" s="1378" t="str">
        <f ca="1">CONCATENATE("$, real ",dms_DollarReal)</f>
        <v>$, real June 2026</v>
      </c>
      <c r="D46" s="1378"/>
      <c r="E46" s="1378"/>
      <c r="F46" s="1378"/>
      <c r="G46" s="1378"/>
      <c r="H46" s="1378"/>
      <c r="I46" s="1378"/>
    </row>
    <row r="47" spans="1:10" s="42" customFormat="1" ht="20.25" customHeight="1" outlineLevel="2" thickBot="1" x14ac:dyDescent="0.3">
      <c r="A47" s="291"/>
      <c r="B47"/>
      <c r="C47" s="314" t="str">
        <f ca="1">dms_y1</f>
        <v>2024-25</v>
      </c>
      <c r="D47" s="314" t="str">
        <f ca="1">dms_y2</f>
        <v>2025-26</v>
      </c>
      <c r="E47" s="314" t="str">
        <f ca="1">dms_y3</f>
        <v>2026-27</v>
      </c>
      <c r="F47" s="314" t="str">
        <f ca="1">dms_y4</f>
        <v>2027-28</v>
      </c>
      <c r="G47" s="314" t="str">
        <f ca="1">dms_y5</f>
        <v>2028-29</v>
      </c>
      <c r="H47" s="314" t="str">
        <f ca="1">dms_y6</f>
        <v>2029-30</v>
      </c>
      <c r="I47" s="314" t="str">
        <f ca="1">dms_y7</f>
        <v>2030-31</v>
      </c>
    </row>
    <row r="48" spans="1:10" ht="21.75" customHeight="1" outlineLevel="2" thickBot="1" x14ac:dyDescent="0.3">
      <c r="B48" s="250" t="s">
        <v>136</v>
      </c>
      <c r="C48" s="251"/>
      <c r="D48" s="251"/>
      <c r="E48" s="251"/>
      <c r="F48" s="251"/>
      <c r="G48" s="251"/>
      <c r="H48" s="251"/>
      <c r="I48" s="252"/>
    </row>
    <row r="49" spans="2:9" ht="15.75" customHeight="1" outlineLevel="3" x14ac:dyDescent="0.25">
      <c r="B49" s="536" t="s">
        <v>171</v>
      </c>
      <c r="C49" s="285"/>
      <c r="D49" s="1206"/>
      <c r="E49" s="283"/>
      <c r="F49" s="271"/>
      <c r="G49" s="271"/>
      <c r="H49" s="271"/>
      <c r="I49" s="272"/>
    </row>
    <row r="50" spans="2:9" ht="15.75" customHeight="1" outlineLevel="3" x14ac:dyDescent="0.25">
      <c r="B50" s="536" t="s">
        <v>172</v>
      </c>
      <c r="C50" s="285"/>
      <c r="D50" s="1206"/>
      <c r="E50" s="283"/>
      <c r="F50" s="271"/>
      <c r="G50" s="271"/>
      <c r="H50" s="271"/>
      <c r="I50" s="272"/>
    </row>
    <row r="51" spans="2:9" ht="15.75" customHeight="1" outlineLevel="3" x14ac:dyDescent="0.25">
      <c r="B51" s="555" t="s">
        <v>173</v>
      </c>
      <c r="C51" s="298"/>
      <c r="D51" s="299"/>
      <c r="E51" s="300"/>
      <c r="F51" s="301"/>
      <c r="G51" s="301"/>
      <c r="H51" s="301"/>
      <c r="I51" s="302"/>
    </row>
    <row r="52" spans="2:9" ht="15.75" customHeight="1" outlineLevel="3" collapsed="1" thickBot="1" x14ac:dyDescent="0.3">
      <c r="B52" s="553" t="s">
        <v>120</v>
      </c>
      <c r="C52" s="553">
        <f>SUM(C49:C51)</f>
        <v>0</v>
      </c>
      <c r="D52" s="553">
        <f t="shared" ref="D52:I52" si="7">SUM(D49:D51)</f>
        <v>0</v>
      </c>
      <c r="E52" s="553">
        <f t="shared" si="7"/>
        <v>0</v>
      </c>
      <c r="F52" s="553">
        <f t="shared" si="7"/>
        <v>0</v>
      </c>
      <c r="G52" s="553">
        <f t="shared" si="7"/>
        <v>0</v>
      </c>
      <c r="H52" s="553">
        <f t="shared" si="7"/>
        <v>0</v>
      </c>
      <c r="I52" s="554">
        <f t="shared" si="7"/>
        <v>0</v>
      </c>
    </row>
    <row r="53" spans="2:9" ht="21.75" customHeight="1" outlineLevel="2" thickBot="1" x14ac:dyDescent="0.3">
      <c r="B53" s="250" t="s">
        <v>138</v>
      </c>
      <c r="C53" s="251"/>
      <c r="D53" s="251"/>
      <c r="E53" s="251"/>
      <c r="F53" s="251"/>
      <c r="G53" s="251"/>
      <c r="H53" s="251"/>
      <c r="I53" s="252"/>
    </row>
    <row r="54" spans="2:9" ht="15.75" customHeight="1" outlineLevel="3" x14ac:dyDescent="0.25">
      <c r="B54" s="536" t="s">
        <v>171</v>
      </c>
      <c r="C54" s="285"/>
      <c r="D54" s="1206"/>
      <c r="E54" s="283"/>
      <c r="F54" s="271"/>
      <c r="G54" s="271"/>
      <c r="H54" s="271"/>
      <c r="I54" s="272"/>
    </row>
    <row r="55" spans="2:9" ht="15.75" customHeight="1" outlineLevel="3" x14ac:dyDescent="0.25">
      <c r="B55" s="536" t="s">
        <v>172</v>
      </c>
      <c r="C55" s="285"/>
      <c r="D55" s="1206"/>
      <c r="E55" s="283"/>
      <c r="F55" s="271"/>
      <c r="G55" s="271"/>
      <c r="H55" s="271"/>
      <c r="I55" s="272"/>
    </row>
    <row r="56" spans="2:9" ht="15.75" customHeight="1" outlineLevel="3" x14ac:dyDescent="0.25">
      <c r="B56" s="555" t="s">
        <v>173</v>
      </c>
      <c r="C56" s="298"/>
      <c r="D56" s="299"/>
      <c r="E56" s="300"/>
      <c r="F56" s="301"/>
      <c r="G56" s="301"/>
      <c r="H56" s="301"/>
      <c r="I56" s="302"/>
    </row>
    <row r="57" spans="2:9" ht="15.75" customHeight="1" outlineLevel="3" collapsed="1" thickBot="1" x14ac:dyDescent="0.3">
      <c r="B57" s="550" t="s">
        <v>120</v>
      </c>
      <c r="C57" s="550">
        <f>SUM(C54:C56)</f>
        <v>0</v>
      </c>
      <c r="D57" s="550">
        <f t="shared" ref="D57:I57" si="8">SUM(D54:D56)</f>
        <v>0</v>
      </c>
      <c r="E57" s="550">
        <f t="shared" si="8"/>
        <v>0</v>
      </c>
      <c r="F57" s="550">
        <f t="shared" si="8"/>
        <v>0</v>
      </c>
      <c r="G57" s="550">
        <f t="shared" si="8"/>
        <v>0</v>
      </c>
      <c r="H57" s="550">
        <f t="shared" si="8"/>
        <v>0</v>
      </c>
      <c r="I57" s="551">
        <f t="shared" si="8"/>
        <v>0</v>
      </c>
    </row>
    <row r="58" spans="2:9" ht="21.75" customHeight="1" outlineLevel="2" thickBot="1" x14ac:dyDescent="0.3">
      <c r="B58" s="250" t="s">
        <v>139</v>
      </c>
      <c r="C58" s="251"/>
      <c r="D58" s="251"/>
      <c r="E58" s="251"/>
      <c r="F58" s="251"/>
      <c r="G58" s="251"/>
      <c r="H58" s="251"/>
      <c r="I58" s="252"/>
    </row>
    <row r="59" spans="2:9" ht="15.75" customHeight="1" outlineLevel="3" x14ac:dyDescent="0.25">
      <c r="B59" s="536" t="s">
        <v>171</v>
      </c>
      <c r="C59" s="285"/>
      <c r="D59" s="1206"/>
      <c r="E59" s="283"/>
      <c r="F59" s="271"/>
      <c r="G59" s="271"/>
      <c r="H59" s="271"/>
      <c r="I59" s="272"/>
    </row>
    <row r="60" spans="2:9" ht="15.75" customHeight="1" outlineLevel="3" x14ac:dyDescent="0.25">
      <c r="B60" s="536" t="s">
        <v>172</v>
      </c>
      <c r="C60" s="285"/>
      <c r="D60" s="1206"/>
      <c r="E60" s="283"/>
      <c r="F60" s="271"/>
      <c r="G60" s="271"/>
      <c r="H60" s="271"/>
      <c r="I60" s="272"/>
    </row>
    <row r="61" spans="2:9" ht="15.75" customHeight="1" outlineLevel="3" x14ac:dyDescent="0.25">
      <c r="B61" s="555" t="s">
        <v>173</v>
      </c>
      <c r="C61" s="298"/>
      <c r="D61" s="299"/>
      <c r="E61" s="300"/>
      <c r="F61" s="301"/>
      <c r="G61" s="301"/>
      <c r="H61" s="301"/>
      <c r="I61" s="302"/>
    </row>
    <row r="62" spans="2:9" ht="15.75" customHeight="1" outlineLevel="3" collapsed="1" thickBot="1" x14ac:dyDescent="0.3">
      <c r="B62" s="550" t="s">
        <v>120</v>
      </c>
      <c r="C62" s="550">
        <f>SUM(C59:C61)</f>
        <v>0</v>
      </c>
      <c r="D62" s="550">
        <f t="shared" ref="D62:I62" si="9">SUM(D59:D61)</f>
        <v>0</v>
      </c>
      <c r="E62" s="550">
        <f t="shared" si="9"/>
        <v>0</v>
      </c>
      <c r="F62" s="550">
        <f t="shared" si="9"/>
        <v>0</v>
      </c>
      <c r="G62" s="550">
        <f t="shared" si="9"/>
        <v>0</v>
      </c>
      <c r="H62" s="550">
        <f t="shared" si="9"/>
        <v>0</v>
      </c>
      <c r="I62" s="551">
        <f t="shared" si="9"/>
        <v>0</v>
      </c>
    </row>
    <row r="63" spans="2:9" ht="21.75" customHeight="1" outlineLevel="2" thickBot="1" x14ac:dyDescent="0.3">
      <c r="B63" s="250" t="s">
        <v>140</v>
      </c>
      <c r="C63" s="251"/>
      <c r="D63" s="251"/>
      <c r="E63" s="251"/>
      <c r="F63" s="251"/>
      <c r="G63" s="251"/>
      <c r="H63" s="251"/>
      <c r="I63" s="252"/>
    </row>
    <row r="64" spans="2:9" ht="15.75" customHeight="1" outlineLevel="3" x14ac:dyDescent="0.25">
      <c r="B64" s="536" t="s">
        <v>171</v>
      </c>
      <c r="C64" s="285"/>
      <c r="D64" s="1206"/>
      <c r="E64" s="283"/>
      <c r="F64" s="271"/>
      <c r="G64" s="271"/>
      <c r="H64" s="271"/>
      <c r="I64" s="272"/>
    </row>
    <row r="65" spans="1:10" ht="15.75" customHeight="1" outlineLevel="3" x14ac:dyDescent="0.25">
      <c r="B65" s="536" t="s">
        <v>172</v>
      </c>
      <c r="C65" s="285"/>
      <c r="D65" s="1206"/>
      <c r="E65" s="283"/>
      <c r="F65" s="271"/>
      <c r="G65" s="271"/>
      <c r="H65" s="271"/>
      <c r="I65" s="272"/>
    </row>
    <row r="66" spans="1:10" ht="15.75" customHeight="1" outlineLevel="3" x14ac:dyDescent="0.25">
      <c r="B66" s="555" t="s">
        <v>173</v>
      </c>
      <c r="C66" s="298"/>
      <c r="D66" s="299"/>
      <c r="E66" s="300"/>
      <c r="F66" s="301"/>
      <c r="G66" s="301"/>
      <c r="H66" s="301"/>
      <c r="I66" s="302"/>
    </row>
    <row r="67" spans="1:10" ht="15.75" customHeight="1" outlineLevel="3" collapsed="1" thickBot="1" x14ac:dyDescent="0.3">
      <c r="B67" s="550" t="s">
        <v>120</v>
      </c>
      <c r="C67" s="550">
        <f>SUM(C64:C66)</f>
        <v>0</v>
      </c>
      <c r="D67" s="550">
        <f t="shared" ref="D67:I67" si="10">SUM(D64:D66)</f>
        <v>0</v>
      </c>
      <c r="E67" s="550">
        <f t="shared" si="10"/>
        <v>0</v>
      </c>
      <c r="F67" s="550">
        <f t="shared" si="10"/>
        <v>0</v>
      </c>
      <c r="G67" s="550">
        <f t="shared" si="10"/>
        <v>0</v>
      </c>
      <c r="H67" s="550">
        <f t="shared" si="10"/>
        <v>0</v>
      </c>
      <c r="I67" s="551">
        <f t="shared" si="10"/>
        <v>0</v>
      </c>
    </row>
    <row r="68" spans="1:10" ht="21.75" customHeight="1" outlineLevel="2" thickBot="1" x14ac:dyDescent="0.3">
      <c r="B68" s="250" t="s">
        <v>141</v>
      </c>
      <c r="C68" s="251"/>
      <c r="D68" s="251"/>
      <c r="E68" s="251"/>
      <c r="F68" s="251"/>
      <c r="G68" s="251"/>
      <c r="H68" s="251"/>
      <c r="I68" s="252"/>
    </row>
    <row r="69" spans="1:10" ht="15.75" customHeight="1" outlineLevel="3" x14ac:dyDescent="0.25">
      <c r="B69" s="536" t="s">
        <v>171</v>
      </c>
      <c r="C69" s="285"/>
      <c r="D69" s="1206"/>
      <c r="E69" s="283"/>
      <c r="F69" s="271"/>
      <c r="G69" s="271"/>
      <c r="H69" s="271"/>
      <c r="I69" s="272"/>
    </row>
    <row r="70" spans="1:10" ht="15.75" customHeight="1" outlineLevel="3" x14ac:dyDescent="0.25">
      <c r="B70" s="536" t="s">
        <v>172</v>
      </c>
      <c r="C70" s="285"/>
      <c r="D70" s="1206"/>
      <c r="E70" s="283"/>
      <c r="F70" s="271"/>
      <c r="G70" s="271"/>
      <c r="H70" s="271"/>
      <c r="I70" s="272"/>
    </row>
    <row r="71" spans="1:10" ht="15.75" customHeight="1" outlineLevel="3" x14ac:dyDescent="0.25">
      <c r="B71" s="555" t="s">
        <v>173</v>
      </c>
      <c r="C71" s="298"/>
      <c r="D71" s="299"/>
      <c r="E71" s="300"/>
      <c r="F71" s="301"/>
      <c r="G71" s="301"/>
      <c r="H71" s="301"/>
      <c r="I71" s="302"/>
    </row>
    <row r="72" spans="1:10" ht="15.75" customHeight="1" outlineLevel="3" collapsed="1" thickBot="1" x14ac:dyDescent="0.3">
      <c r="B72" s="550" t="s">
        <v>120</v>
      </c>
      <c r="C72" s="550">
        <f>SUM(C69:C71)</f>
        <v>0</v>
      </c>
      <c r="D72" s="550">
        <f t="shared" ref="D72:I72" si="11">SUM(D69:D71)</f>
        <v>0</v>
      </c>
      <c r="E72" s="550">
        <f t="shared" si="11"/>
        <v>0</v>
      </c>
      <c r="F72" s="550">
        <f t="shared" si="11"/>
        <v>0</v>
      </c>
      <c r="G72" s="550">
        <f t="shared" si="11"/>
        <v>0</v>
      </c>
      <c r="H72" s="550">
        <f t="shared" si="11"/>
        <v>0</v>
      </c>
      <c r="I72" s="551">
        <f t="shared" si="11"/>
        <v>0</v>
      </c>
    </row>
    <row r="73" spans="1:10" ht="21.75" customHeight="1" outlineLevel="2" thickBot="1" x14ac:dyDescent="0.3">
      <c r="B73" s="250" t="s">
        <v>142</v>
      </c>
      <c r="C73" s="251"/>
      <c r="D73" s="251"/>
      <c r="E73" s="251"/>
      <c r="F73" s="251"/>
      <c r="G73" s="251"/>
      <c r="H73" s="251"/>
      <c r="I73" s="252"/>
    </row>
    <row r="74" spans="1:10" ht="15.75" customHeight="1" outlineLevel="3" x14ac:dyDescent="0.25">
      <c r="B74" s="558" t="s">
        <v>171</v>
      </c>
      <c r="C74" s="285"/>
      <c r="D74" s="1206"/>
      <c r="E74" s="283"/>
      <c r="F74" s="271"/>
      <c r="G74" s="271"/>
      <c r="H74" s="271"/>
      <c r="I74" s="272"/>
    </row>
    <row r="75" spans="1:10" ht="15.75" customHeight="1" outlineLevel="3" x14ac:dyDescent="0.25">
      <c r="B75" s="536" t="s">
        <v>172</v>
      </c>
      <c r="C75" s="285"/>
      <c r="D75" s="1206"/>
      <c r="E75" s="283"/>
      <c r="F75" s="271"/>
      <c r="G75" s="271"/>
      <c r="H75" s="271"/>
      <c r="I75" s="272"/>
    </row>
    <row r="76" spans="1:10" ht="15.75" customHeight="1" outlineLevel="3" x14ac:dyDescent="0.25">
      <c r="B76" s="555" t="s">
        <v>173</v>
      </c>
      <c r="C76" s="298"/>
      <c r="D76" s="299"/>
      <c r="E76" s="300"/>
      <c r="F76" s="301"/>
      <c r="G76" s="301"/>
      <c r="H76" s="301"/>
      <c r="I76" s="302"/>
    </row>
    <row r="77" spans="1:10" ht="15.75" customHeight="1" outlineLevel="3" collapsed="1" thickBot="1" x14ac:dyDescent="0.3">
      <c r="B77" s="549" t="s">
        <v>120</v>
      </c>
      <c r="C77" s="550">
        <f>SUM(C74:C76)</f>
        <v>0</v>
      </c>
      <c r="D77" s="550">
        <f t="shared" ref="D77:I77" si="12">SUM(D74:D76)</f>
        <v>0</v>
      </c>
      <c r="E77" s="550">
        <f t="shared" si="12"/>
        <v>0</v>
      </c>
      <c r="F77" s="550">
        <f t="shared" si="12"/>
        <v>0</v>
      </c>
      <c r="G77" s="550">
        <f t="shared" si="12"/>
        <v>0</v>
      </c>
      <c r="H77" s="550">
        <f t="shared" si="12"/>
        <v>0</v>
      </c>
      <c r="I77" s="551">
        <f t="shared" si="12"/>
        <v>0</v>
      </c>
    </row>
    <row r="78" spans="1:10" s="42" customFormat="1" ht="15" customHeight="1" outlineLevel="2" thickBot="1" x14ac:dyDescent="0.3">
      <c r="A78" s="291"/>
      <c r="B78" s="295" t="s">
        <v>146</v>
      </c>
      <c r="C78" s="296">
        <f>SUM(C52,C57,C62,C67,C72,C77)</f>
        <v>0</v>
      </c>
      <c r="D78" s="296">
        <f t="shared" ref="D78:I78" si="13">SUM(D52,D57,D62,D67,D72,D77)</f>
        <v>0</v>
      </c>
      <c r="E78" s="296">
        <f t="shared" si="13"/>
        <v>0</v>
      </c>
      <c r="F78" s="296">
        <f t="shared" si="13"/>
        <v>0</v>
      </c>
      <c r="G78" s="296">
        <f t="shared" si="13"/>
        <v>0</v>
      </c>
      <c r="H78" s="296">
        <f t="shared" si="13"/>
        <v>0</v>
      </c>
      <c r="I78" s="297">
        <f t="shared" si="13"/>
        <v>0</v>
      </c>
      <c r="J78"/>
    </row>
    <row r="79" spans="1:10" ht="15.75" outlineLevel="1" thickBot="1" x14ac:dyDescent="0.3"/>
    <row r="80" spans="1:10" s="317" customFormat="1" ht="24" customHeight="1" outlineLevel="1" thickBot="1" x14ac:dyDescent="0.25">
      <c r="B80" s="247" t="s">
        <v>175</v>
      </c>
      <c r="C80" s="248"/>
      <c r="D80" s="248"/>
      <c r="E80" s="248"/>
      <c r="F80" s="248"/>
      <c r="G80" s="248"/>
      <c r="H80" s="248"/>
      <c r="I80" s="248"/>
    </row>
    <row r="81" spans="1:9" s="42" customFormat="1" ht="20.25" customHeight="1" outlineLevel="2" x14ac:dyDescent="0.25">
      <c r="A81" s="291"/>
      <c r="B81"/>
      <c r="C81" s="1378" t="s">
        <v>24</v>
      </c>
      <c r="D81" s="1378"/>
      <c r="E81" s="1378"/>
      <c r="F81" s="1378"/>
      <c r="G81" s="1378"/>
      <c r="H81" s="1378"/>
      <c r="I81" s="1378"/>
    </row>
    <row r="82" spans="1:9" s="42" customFormat="1" ht="20.25" customHeight="1" outlineLevel="2" x14ac:dyDescent="0.25">
      <c r="A82" s="291"/>
      <c r="B82"/>
      <c r="C82" s="1378" t="str">
        <f ca="1">CONCATENATE("$, real ",dms_DollarReal)</f>
        <v>$, real June 2026</v>
      </c>
      <c r="D82" s="1378"/>
      <c r="E82" s="1378"/>
      <c r="F82" s="1378"/>
      <c r="G82" s="1378"/>
      <c r="H82" s="1378"/>
      <c r="I82" s="1378"/>
    </row>
    <row r="83" spans="1:9" s="42" customFormat="1" ht="20.25" customHeight="1" outlineLevel="2" thickBot="1" x14ac:dyDescent="0.3">
      <c r="A83" s="291"/>
      <c r="B83"/>
      <c r="C83" s="314" t="str">
        <f ca="1">dms_y1</f>
        <v>2024-25</v>
      </c>
      <c r="D83" s="314" t="str">
        <f ca="1">dms_y2</f>
        <v>2025-26</v>
      </c>
      <c r="E83" s="314" t="str">
        <f ca="1">dms_y3</f>
        <v>2026-27</v>
      </c>
      <c r="F83" s="314" t="str">
        <f ca="1">dms_y4</f>
        <v>2027-28</v>
      </c>
      <c r="G83" s="314" t="str">
        <f ca="1">dms_y5</f>
        <v>2028-29</v>
      </c>
      <c r="H83" s="314" t="str">
        <f ca="1">dms_y6</f>
        <v>2029-30</v>
      </c>
      <c r="I83" s="314" t="str">
        <f ca="1">dms_y7</f>
        <v>2030-31</v>
      </c>
    </row>
    <row r="84" spans="1:9" ht="21.75" customHeight="1" outlineLevel="2" thickBot="1" x14ac:dyDescent="0.3">
      <c r="B84" s="250" t="s">
        <v>136</v>
      </c>
      <c r="C84" s="251"/>
      <c r="D84" s="251"/>
      <c r="E84" s="251"/>
      <c r="F84" s="251"/>
      <c r="G84" s="251"/>
      <c r="H84" s="251"/>
      <c r="I84" s="252"/>
    </row>
    <row r="85" spans="1:9" ht="15.75" customHeight="1" outlineLevel="3" x14ac:dyDescent="0.25">
      <c r="B85" s="536" t="s">
        <v>171</v>
      </c>
      <c r="C85" s="285"/>
      <c r="D85" s="1206"/>
      <c r="E85" s="283"/>
      <c r="F85" s="271"/>
      <c r="G85" s="271"/>
      <c r="H85" s="271"/>
      <c r="I85" s="272"/>
    </row>
    <row r="86" spans="1:9" ht="15.75" customHeight="1" outlineLevel="3" x14ac:dyDescent="0.25">
      <c r="B86" s="536" t="s">
        <v>172</v>
      </c>
      <c r="C86" s="285"/>
      <c r="D86" s="1206"/>
      <c r="E86" s="283"/>
      <c r="F86" s="271"/>
      <c r="G86" s="271"/>
      <c r="H86" s="271"/>
      <c r="I86" s="272"/>
    </row>
    <row r="87" spans="1:9" ht="15.75" customHeight="1" outlineLevel="3" x14ac:dyDescent="0.25">
      <c r="B87" s="555" t="s">
        <v>173</v>
      </c>
      <c r="C87" s="298"/>
      <c r="D87" s="299"/>
      <c r="E87" s="300"/>
      <c r="F87" s="301"/>
      <c r="G87" s="301"/>
      <c r="H87" s="301"/>
      <c r="I87" s="302"/>
    </row>
    <row r="88" spans="1:9" ht="15.75" customHeight="1" outlineLevel="3" collapsed="1" thickBot="1" x14ac:dyDescent="0.3">
      <c r="B88" s="553" t="s">
        <v>120</v>
      </c>
      <c r="C88" s="553">
        <f>SUM(C85:C87)</f>
        <v>0</v>
      </c>
      <c r="D88" s="553">
        <f t="shared" ref="D88:I88" si="14">SUM(D85:D87)</f>
        <v>0</v>
      </c>
      <c r="E88" s="553">
        <f t="shared" si="14"/>
        <v>0</v>
      </c>
      <c r="F88" s="553">
        <f t="shared" si="14"/>
        <v>0</v>
      </c>
      <c r="G88" s="553">
        <f t="shared" si="14"/>
        <v>0</v>
      </c>
      <c r="H88" s="553">
        <f t="shared" si="14"/>
        <v>0</v>
      </c>
      <c r="I88" s="554">
        <f t="shared" si="14"/>
        <v>0</v>
      </c>
    </row>
    <row r="89" spans="1:9" ht="21.75" customHeight="1" outlineLevel="2" thickBot="1" x14ac:dyDescent="0.3">
      <c r="B89" s="250" t="s">
        <v>138</v>
      </c>
      <c r="C89" s="251"/>
      <c r="D89" s="251"/>
      <c r="E89" s="251"/>
      <c r="F89" s="251"/>
      <c r="G89" s="251"/>
      <c r="H89" s="251"/>
      <c r="I89" s="252"/>
    </row>
    <row r="90" spans="1:9" ht="15.75" customHeight="1" outlineLevel="3" x14ac:dyDescent="0.25">
      <c r="B90" s="536" t="s">
        <v>171</v>
      </c>
      <c r="C90" s="285"/>
      <c r="D90" s="1206"/>
      <c r="E90" s="283"/>
      <c r="F90" s="271"/>
      <c r="G90" s="271"/>
      <c r="H90" s="271"/>
      <c r="I90" s="272"/>
    </row>
    <row r="91" spans="1:9" ht="15.75" customHeight="1" outlineLevel="3" x14ac:dyDescent="0.25">
      <c r="B91" s="536" t="s">
        <v>172</v>
      </c>
      <c r="C91" s="285"/>
      <c r="D91" s="1206"/>
      <c r="E91" s="283"/>
      <c r="F91" s="271"/>
      <c r="G91" s="271"/>
      <c r="H91" s="271"/>
      <c r="I91" s="272"/>
    </row>
    <row r="92" spans="1:9" ht="15.75" customHeight="1" outlineLevel="3" x14ac:dyDescent="0.25">
      <c r="B92" s="555" t="s">
        <v>173</v>
      </c>
      <c r="C92" s="298"/>
      <c r="D92" s="299"/>
      <c r="E92" s="300"/>
      <c r="F92" s="301"/>
      <c r="G92" s="301"/>
      <c r="H92" s="301"/>
      <c r="I92" s="302"/>
    </row>
    <row r="93" spans="1:9" ht="15.75" customHeight="1" outlineLevel="3" collapsed="1" thickBot="1" x14ac:dyDescent="0.3">
      <c r="B93" s="550" t="s">
        <v>120</v>
      </c>
      <c r="C93" s="550">
        <f>SUM(C90:C92)</f>
        <v>0</v>
      </c>
      <c r="D93" s="550">
        <f t="shared" ref="D93:I93" si="15">SUM(D90:D92)</f>
        <v>0</v>
      </c>
      <c r="E93" s="550">
        <f t="shared" si="15"/>
        <v>0</v>
      </c>
      <c r="F93" s="550">
        <f t="shared" si="15"/>
        <v>0</v>
      </c>
      <c r="G93" s="550">
        <f t="shared" si="15"/>
        <v>0</v>
      </c>
      <c r="H93" s="550">
        <f t="shared" si="15"/>
        <v>0</v>
      </c>
      <c r="I93" s="551">
        <f t="shared" si="15"/>
        <v>0</v>
      </c>
    </row>
    <row r="94" spans="1:9" ht="21.75" customHeight="1" outlineLevel="2" thickBot="1" x14ac:dyDescent="0.3">
      <c r="B94" s="250" t="s">
        <v>139</v>
      </c>
      <c r="C94" s="251"/>
      <c r="D94" s="251"/>
      <c r="E94" s="251"/>
      <c r="F94" s="251"/>
      <c r="G94" s="251"/>
      <c r="H94" s="251"/>
      <c r="I94" s="252"/>
    </row>
    <row r="95" spans="1:9" ht="15.75" customHeight="1" outlineLevel="3" x14ac:dyDescent="0.25">
      <c r="B95" s="536" t="s">
        <v>171</v>
      </c>
      <c r="C95" s="285"/>
      <c r="D95" s="1206"/>
      <c r="E95" s="283"/>
      <c r="F95" s="271"/>
      <c r="G95" s="271"/>
      <c r="H95" s="271"/>
      <c r="I95" s="272"/>
    </row>
    <row r="96" spans="1:9" ht="15.75" customHeight="1" outlineLevel="3" x14ac:dyDescent="0.25">
      <c r="B96" s="536" t="s">
        <v>172</v>
      </c>
      <c r="C96" s="285"/>
      <c r="D96" s="1206"/>
      <c r="E96" s="283"/>
      <c r="F96" s="271"/>
      <c r="G96" s="271"/>
      <c r="H96" s="271"/>
      <c r="I96" s="272"/>
    </row>
    <row r="97" spans="2:9" ht="15.75" customHeight="1" outlineLevel="3" x14ac:dyDescent="0.25">
      <c r="B97" s="555" t="s">
        <v>173</v>
      </c>
      <c r="C97" s="298"/>
      <c r="D97" s="299"/>
      <c r="E97" s="300"/>
      <c r="F97" s="301"/>
      <c r="G97" s="301"/>
      <c r="H97" s="301"/>
      <c r="I97" s="302"/>
    </row>
    <row r="98" spans="2:9" ht="15.75" customHeight="1" outlineLevel="3" collapsed="1" thickBot="1" x14ac:dyDescent="0.3">
      <c r="B98" s="550" t="s">
        <v>120</v>
      </c>
      <c r="C98" s="550">
        <f>SUM(C95:C97)</f>
        <v>0</v>
      </c>
      <c r="D98" s="550">
        <f t="shared" ref="D98:I98" si="16">SUM(D95:D97)</f>
        <v>0</v>
      </c>
      <c r="E98" s="550">
        <f t="shared" si="16"/>
        <v>0</v>
      </c>
      <c r="F98" s="550">
        <f t="shared" si="16"/>
        <v>0</v>
      </c>
      <c r="G98" s="550">
        <f t="shared" si="16"/>
        <v>0</v>
      </c>
      <c r="H98" s="550">
        <f t="shared" si="16"/>
        <v>0</v>
      </c>
      <c r="I98" s="551">
        <f t="shared" si="16"/>
        <v>0</v>
      </c>
    </row>
    <row r="99" spans="2:9" ht="21.75" customHeight="1" outlineLevel="2" thickBot="1" x14ac:dyDescent="0.3">
      <c r="B99" s="250" t="s">
        <v>140</v>
      </c>
      <c r="C99" s="251"/>
      <c r="D99" s="251"/>
      <c r="E99" s="251"/>
      <c r="F99" s="251"/>
      <c r="G99" s="251"/>
      <c r="H99" s="251"/>
      <c r="I99" s="252"/>
    </row>
    <row r="100" spans="2:9" ht="15.75" customHeight="1" outlineLevel="3" x14ac:dyDescent="0.25">
      <c r="B100" s="536" t="s">
        <v>171</v>
      </c>
      <c r="C100" s="285"/>
      <c r="D100" s="1206"/>
      <c r="E100" s="283"/>
      <c r="F100" s="271"/>
      <c r="G100" s="271"/>
      <c r="H100" s="271"/>
      <c r="I100" s="272"/>
    </row>
    <row r="101" spans="2:9" ht="15.75" customHeight="1" outlineLevel="3" x14ac:dyDescent="0.25">
      <c r="B101" s="536" t="s">
        <v>172</v>
      </c>
      <c r="C101" s="285"/>
      <c r="D101" s="1206"/>
      <c r="E101" s="283"/>
      <c r="F101" s="271"/>
      <c r="G101" s="271"/>
      <c r="H101" s="271"/>
      <c r="I101" s="272"/>
    </row>
    <row r="102" spans="2:9" ht="15.75" customHeight="1" outlineLevel="3" x14ac:dyDescent="0.25">
      <c r="B102" s="555" t="s">
        <v>173</v>
      </c>
      <c r="C102" s="298"/>
      <c r="D102" s="299"/>
      <c r="E102" s="300"/>
      <c r="F102" s="301"/>
      <c r="G102" s="301"/>
      <c r="H102" s="301"/>
      <c r="I102" s="302"/>
    </row>
    <row r="103" spans="2:9" ht="15.75" customHeight="1" outlineLevel="3" collapsed="1" thickBot="1" x14ac:dyDescent="0.3">
      <c r="B103" s="550" t="s">
        <v>120</v>
      </c>
      <c r="C103" s="550">
        <f>SUM(C100:C102)</f>
        <v>0</v>
      </c>
      <c r="D103" s="550">
        <f t="shared" ref="D103:I103" si="17">SUM(D100:D102)</f>
        <v>0</v>
      </c>
      <c r="E103" s="550">
        <f t="shared" si="17"/>
        <v>0</v>
      </c>
      <c r="F103" s="550">
        <f t="shared" si="17"/>
        <v>0</v>
      </c>
      <c r="G103" s="550">
        <f t="shared" si="17"/>
        <v>0</v>
      </c>
      <c r="H103" s="550">
        <f t="shared" si="17"/>
        <v>0</v>
      </c>
      <c r="I103" s="551">
        <f t="shared" si="17"/>
        <v>0</v>
      </c>
    </row>
    <row r="104" spans="2:9" ht="21.75" customHeight="1" outlineLevel="2" thickBot="1" x14ac:dyDescent="0.3">
      <c r="B104" s="250" t="s">
        <v>141</v>
      </c>
      <c r="C104" s="251"/>
      <c r="D104" s="251"/>
      <c r="E104" s="251"/>
      <c r="F104" s="251"/>
      <c r="G104" s="251"/>
      <c r="H104" s="251"/>
      <c r="I104" s="252"/>
    </row>
    <row r="105" spans="2:9" ht="15.75" customHeight="1" outlineLevel="3" x14ac:dyDescent="0.25">
      <c r="B105" s="536" t="s">
        <v>171</v>
      </c>
      <c r="C105" s="285"/>
      <c r="D105" s="1206"/>
      <c r="E105" s="283"/>
      <c r="F105" s="271"/>
      <c r="G105" s="271"/>
      <c r="H105" s="271"/>
      <c r="I105" s="272"/>
    </row>
    <row r="106" spans="2:9" ht="15.75" customHeight="1" outlineLevel="3" x14ac:dyDescent="0.25">
      <c r="B106" s="536" t="s">
        <v>172</v>
      </c>
      <c r="C106" s="285"/>
      <c r="D106" s="1206"/>
      <c r="E106" s="283"/>
      <c r="F106" s="271"/>
      <c r="G106" s="271"/>
      <c r="H106" s="271"/>
      <c r="I106" s="272"/>
    </row>
    <row r="107" spans="2:9" ht="15.75" customHeight="1" outlineLevel="3" x14ac:dyDescent="0.25">
      <c r="B107" s="555" t="s">
        <v>173</v>
      </c>
      <c r="C107" s="298"/>
      <c r="D107" s="299"/>
      <c r="E107" s="300"/>
      <c r="F107" s="301"/>
      <c r="G107" s="301"/>
      <c r="H107" s="301"/>
      <c r="I107" s="302"/>
    </row>
    <row r="108" spans="2:9" ht="15.75" customHeight="1" outlineLevel="3" collapsed="1" thickBot="1" x14ac:dyDescent="0.3">
      <c r="B108" s="550" t="s">
        <v>120</v>
      </c>
      <c r="C108" s="550">
        <f>SUM(C105:C107)</f>
        <v>0</v>
      </c>
      <c r="D108" s="550">
        <f t="shared" ref="D108:I108" si="18">SUM(D105:D107)</f>
        <v>0</v>
      </c>
      <c r="E108" s="550">
        <f t="shared" si="18"/>
        <v>0</v>
      </c>
      <c r="F108" s="550">
        <f t="shared" si="18"/>
        <v>0</v>
      </c>
      <c r="G108" s="550">
        <f t="shared" si="18"/>
        <v>0</v>
      </c>
      <c r="H108" s="550">
        <f t="shared" si="18"/>
        <v>0</v>
      </c>
      <c r="I108" s="551">
        <f t="shared" si="18"/>
        <v>0</v>
      </c>
    </row>
    <row r="109" spans="2:9" ht="21.75" customHeight="1" outlineLevel="2" thickBot="1" x14ac:dyDescent="0.3">
      <c r="B109" s="250" t="s">
        <v>142</v>
      </c>
      <c r="C109" s="251"/>
      <c r="D109" s="251"/>
      <c r="E109" s="251"/>
      <c r="F109" s="251"/>
      <c r="G109" s="251"/>
      <c r="H109" s="251"/>
      <c r="I109" s="252"/>
    </row>
    <row r="110" spans="2:9" ht="15.75" customHeight="1" outlineLevel="3" x14ac:dyDescent="0.25">
      <c r="B110" s="536" t="s">
        <v>171</v>
      </c>
      <c r="C110" s="285"/>
      <c r="D110" s="1206"/>
      <c r="E110" s="283"/>
      <c r="F110" s="271"/>
      <c r="G110" s="271"/>
      <c r="H110" s="271"/>
      <c r="I110" s="272"/>
    </row>
    <row r="111" spans="2:9" ht="15.75" customHeight="1" outlineLevel="3" x14ac:dyDescent="0.25">
      <c r="B111" s="536" t="s">
        <v>172</v>
      </c>
      <c r="C111" s="285"/>
      <c r="D111" s="1206"/>
      <c r="E111" s="283"/>
      <c r="F111" s="271"/>
      <c r="G111" s="271"/>
      <c r="H111" s="271"/>
      <c r="I111" s="272"/>
    </row>
    <row r="112" spans="2:9" ht="15.75" customHeight="1" outlineLevel="3" x14ac:dyDescent="0.25">
      <c r="B112" s="555" t="s">
        <v>173</v>
      </c>
      <c r="C112" s="298"/>
      <c r="D112" s="299"/>
      <c r="E112" s="300"/>
      <c r="F112" s="301"/>
      <c r="G112" s="301"/>
      <c r="H112" s="301"/>
      <c r="I112" s="302"/>
    </row>
    <row r="113" spans="1:10" ht="15.75" customHeight="1" outlineLevel="3" collapsed="1" thickBot="1" x14ac:dyDescent="0.3">
      <c r="B113" s="549" t="s">
        <v>120</v>
      </c>
      <c r="C113" s="550">
        <f>SUM(C110:C112)</f>
        <v>0</v>
      </c>
      <c r="D113" s="550">
        <f t="shared" ref="D113:I113" si="19">SUM(D110:D112)</f>
        <v>0</v>
      </c>
      <c r="E113" s="550">
        <f t="shared" si="19"/>
        <v>0</v>
      </c>
      <c r="F113" s="550">
        <f t="shared" si="19"/>
        <v>0</v>
      </c>
      <c r="G113" s="550">
        <f t="shared" si="19"/>
        <v>0</v>
      </c>
      <c r="H113" s="550">
        <f t="shared" si="19"/>
        <v>0</v>
      </c>
      <c r="I113" s="551">
        <f t="shared" si="19"/>
        <v>0</v>
      </c>
    </row>
    <row r="114" spans="1:10" s="42" customFormat="1" ht="15" customHeight="1" outlineLevel="2" thickBot="1" x14ac:dyDescent="0.3">
      <c r="A114" s="291"/>
      <c r="B114" s="295" t="s">
        <v>146</v>
      </c>
      <c r="C114" s="296">
        <f>SUM(C88,C93,C98,C103,C108,C113)</f>
        <v>0</v>
      </c>
      <c r="D114" s="296">
        <f t="shared" ref="D114:I114" si="20">SUM(D88,D93,D98,D103,D108,D113)</f>
        <v>0</v>
      </c>
      <c r="E114" s="296">
        <f t="shared" si="20"/>
        <v>0</v>
      </c>
      <c r="F114" s="296">
        <f t="shared" si="20"/>
        <v>0</v>
      </c>
      <c r="G114" s="296">
        <f t="shared" si="20"/>
        <v>0</v>
      </c>
      <c r="H114" s="296">
        <f t="shared" si="20"/>
        <v>0</v>
      </c>
      <c r="I114" s="297">
        <f t="shared" si="20"/>
        <v>0</v>
      </c>
      <c r="J114"/>
    </row>
    <row r="115" spans="1:10" ht="15.75" outlineLevel="1" thickBot="1" x14ac:dyDescent="0.3"/>
    <row r="116" spans="1:10" s="317" customFormat="1" ht="24" customHeight="1" outlineLevel="1" thickBot="1" x14ac:dyDescent="0.25">
      <c r="B116" s="247" t="s">
        <v>176</v>
      </c>
      <c r="C116" s="248"/>
      <c r="D116" s="248"/>
      <c r="E116" s="248"/>
      <c r="F116" s="248"/>
      <c r="G116" s="248"/>
      <c r="H116" s="248"/>
      <c r="I116" s="248"/>
    </row>
    <row r="117" spans="1:10" s="42" customFormat="1" ht="20.25" customHeight="1" outlineLevel="2" x14ac:dyDescent="0.25">
      <c r="A117" s="291"/>
      <c r="B117"/>
      <c r="C117" s="1378" t="s">
        <v>24</v>
      </c>
      <c r="D117" s="1378"/>
      <c r="E117" s="1378"/>
      <c r="F117" s="1378"/>
      <c r="G117" s="1378"/>
      <c r="H117" s="1378"/>
      <c r="I117" s="1378"/>
    </row>
    <row r="118" spans="1:10" s="42" customFormat="1" ht="20.25" customHeight="1" outlineLevel="2" x14ac:dyDescent="0.25">
      <c r="A118" s="291"/>
      <c r="B118"/>
      <c r="C118" s="1378" t="str">
        <f ca="1">CONCATENATE("$, real ",dms_DollarReal)</f>
        <v>$, real June 2026</v>
      </c>
      <c r="D118" s="1378"/>
      <c r="E118" s="1378"/>
      <c r="F118" s="1378"/>
      <c r="G118" s="1378"/>
      <c r="H118" s="1378"/>
      <c r="I118" s="1378"/>
    </row>
    <row r="119" spans="1:10" s="42" customFormat="1" ht="20.25" customHeight="1" outlineLevel="2" thickBot="1" x14ac:dyDescent="0.3">
      <c r="A119" s="291"/>
      <c r="B119"/>
      <c r="C119" s="314" t="str">
        <f ca="1">dms_y1</f>
        <v>2024-25</v>
      </c>
      <c r="D119" s="314" t="str">
        <f ca="1">dms_y2</f>
        <v>2025-26</v>
      </c>
      <c r="E119" s="313" t="str">
        <f ca="1">dms_y3</f>
        <v>2026-27</v>
      </c>
      <c r="F119" s="313" t="str">
        <f ca="1">dms_y4</f>
        <v>2027-28</v>
      </c>
      <c r="G119" s="313" t="str">
        <f ca="1">dms_y5</f>
        <v>2028-29</v>
      </c>
      <c r="H119" s="313" t="str">
        <f ca="1">dms_y6</f>
        <v>2029-30</v>
      </c>
      <c r="I119" s="313" t="str">
        <f ca="1">dms_y7</f>
        <v>2030-31</v>
      </c>
    </row>
    <row r="120" spans="1:10" ht="21.75" customHeight="1" outlineLevel="2" thickBot="1" x14ac:dyDescent="0.3">
      <c r="B120" s="250" t="s">
        <v>136</v>
      </c>
      <c r="C120" s="251"/>
      <c r="D120" s="251"/>
      <c r="E120" s="251"/>
      <c r="F120" s="251"/>
      <c r="G120" s="251"/>
      <c r="H120" s="251"/>
      <c r="I120" s="252"/>
    </row>
    <row r="121" spans="1:10" ht="15.75" customHeight="1" outlineLevel="3" x14ac:dyDescent="0.25">
      <c r="B121" s="536" t="s">
        <v>171</v>
      </c>
      <c r="C121" s="285"/>
      <c r="D121" s="1206"/>
      <c r="E121" s="283"/>
      <c r="F121" s="271"/>
      <c r="G121" s="271"/>
      <c r="H121" s="271"/>
      <c r="I121" s="272"/>
    </row>
    <row r="122" spans="1:10" ht="15.75" customHeight="1" outlineLevel="3" x14ac:dyDescent="0.25">
      <c r="B122" s="536" t="s">
        <v>172</v>
      </c>
      <c r="C122" s="285"/>
      <c r="D122" s="1206"/>
      <c r="E122" s="283"/>
      <c r="F122" s="271"/>
      <c r="G122" s="271"/>
      <c r="H122" s="271"/>
      <c r="I122" s="272"/>
    </row>
    <row r="123" spans="1:10" ht="15.75" customHeight="1" outlineLevel="3" x14ac:dyDescent="0.25">
      <c r="B123" s="555" t="s">
        <v>173</v>
      </c>
      <c r="C123" s="298"/>
      <c r="D123" s="299"/>
      <c r="E123" s="300"/>
      <c r="F123" s="301"/>
      <c r="G123" s="301"/>
      <c r="H123" s="301"/>
      <c r="I123" s="302"/>
    </row>
    <row r="124" spans="1:10" ht="15.75" customHeight="1" outlineLevel="3" collapsed="1" thickBot="1" x14ac:dyDescent="0.3">
      <c r="B124" s="553" t="s">
        <v>120</v>
      </c>
      <c r="C124" s="553">
        <f>SUM(C121:C123)</f>
        <v>0</v>
      </c>
      <c r="D124" s="553">
        <f t="shared" ref="D124:I124" si="21">SUM(D121:D123)</f>
        <v>0</v>
      </c>
      <c r="E124" s="553">
        <f t="shared" si="21"/>
        <v>0</v>
      </c>
      <c r="F124" s="553">
        <f t="shared" si="21"/>
        <v>0</v>
      </c>
      <c r="G124" s="553">
        <f t="shared" si="21"/>
        <v>0</v>
      </c>
      <c r="H124" s="553">
        <f t="shared" si="21"/>
        <v>0</v>
      </c>
      <c r="I124" s="554">
        <f t="shared" si="21"/>
        <v>0</v>
      </c>
    </row>
    <row r="125" spans="1:10" ht="21.75" customHeight="1" outlineLevel="2" thickBot="1" x14ac:dyDescent="0.3">
      <c r="B125" s="250" t="s">
        <v>138</v>
      </c>
      <c r="C125" s="251"/>
      <c r="D125" s="251"/>
      <c r="E125" s="251"/>
      <c r="F125" s="251"/>
      <c r="G125" s="251"/>
      <c r="H125" s="251"/>
      <c r="I125" s="252"/>
    </row>
    <row r="126" spans="1:10" ht="15.75" customHeight="1" outlineLevel="3" x14ac:dyDescent="0.25">
      <c r="B126" s="536" t="s">
        <v>171</v>
      </c>
      <c r="C126" s="285"/>
      <c r="D126" s="1206"/>
      <c r="E126" s="283"/>
      <c r="F126" s="271"/>
      <c r="G126" s="271"/>
      <c r="H126" s="271"/>
      <c r="I126" s="272"/>
    </row>
    <row r="127" spans="1:10" ht="15.75" customHeight="1" outlineLevel="3" x14ac:dyDescent="0.25">
      <c r="B127" s="536" t="s">
        <v>172</v>
      </c>
      <c r="C127" s="285"/>
      <c r="D127" s="1206"/>
      <c r="E127" s="283"/>
      <c r="F127" s="271"/>
      <c r="G127" s="271"/>
      <c r="H127" s="271"/>
      <c r="I127" s="272"/>
    </row>
    <row r="128" spans="1:10" ht="15.75" customHeight="1" outlineLevel="3" x14ac:dyDescent="0.25">
      <c r="B128" s="555" t="s">
        <v>173</v>
      </c>
      <c r="C128" s="298"/>
      <c r="D128" s="299"/>
      <c r="E128" s="300"/>
      <c r="F128" s="301"/>
      <c r="G128" s="301"/>
      <c r="H128" s="301"/>
      <c r="I128" s="302"/>
    </row>
    <row r="129" spans="2:9" ht="15.75" customHeight="1" outlineLevel="3" collapsed="1" thickBot="1" x14ac:dyDescent="0.3">
      <c r="B129" s="550" t="s">
        <v>120</v>
      </c>
      <c r="C129" s="550">
        <f>SUM(C126:C128)</f>
        <v>0</v>
      </c>
      <c r="D129" s="550">
        <f t="shared" ref="D129:I129" si="22">SUM(D126:D128)</f>
        <v>0</v>
      </c>
      <c r="E129" s="550">
        <f t="shared" si="22"/>
        <v>0</v>
      </c>
      <c r="F129" s="550">
        <f t="shared" si="22"/>
        <v>0</v>
      </c>
      <c r="G129" s="550">
        <f t="shared" si="22"/>
        <v>0</v>
      </c>
      <c r="H129" s="550">
        <f t="shared" si="22"/>
        <v>0</v>
      </c>
      <c r="I129" s="551">
        <f t="shared" si="22"/>
        <v>0</v>
      </c>
    </row>
    <row r="130" spans="2:9" ht="21.75" customHeight="1" outlineLevel="2" thickBot="1" x14ac:dyDescent="0.3">
      <c r="B130" s="250" t="s">
        <v>139</v>
      </c>
      <c r="C130" s="251"/>
      <c r="D130" s="251"/>
      <c r="E130" s="251"/>
      <c r="F130" s="251"/>
      <c r="G130" s="251"/>
      <c r="H130" s="251"/>
      <c r="I130" s="252"/>
    </row>
    <row r="131" spans="2:9" ht="15.75" customHeight="1" outlineLevel="3" x14ac:dyDescent="0.25">
      <c r="B131" s="536" t="s">
        <v>171</v>
      </c>
      <c r="C131" s="285"/>
      <c r="D131" s="1206"/>
      <c r="E131" s="283"/>
      <c r="F131" s="271"/>
      <c r="G131" s="271"/>
      <c r="H131" s="271"/>
      <c r="I131" s="272"/>
    </row>
    <row r="132" spans="2:9" ht="15.75" customHeight="1" outlineLevel="3" x14ac:dyDescent="0.25">
      <c r="B132" s="536" t="s">
        <v>172</v>
      </c>
      <c r="C132" s="285"/>
      <c r="D132" s="1206"/>
      <c r="E132" s="283"/>
      <c r="F132" s="271"/>
      <c r="G132" s="271"/>
      <c r="H132" s="271"/>
      <c r="I132" s="272"/>
    </row>
    <row r="133" spans="2:9" ht="15.75" customHeight="1" outlineLevel="3" x14ac:dyDescent="0.25">
      <c r="B133" s="555" t="s">
        <v>173</v>
      </c>
      <c r="C133" s="298"/>
      <c r="D133" s="299"/>
      <c r="E133" s="300"/>
      <c r="F133" s="301"/>
      <c r="G133" s="301"/>
      <c r="H133" s="301"/>
      <c r="I133" s="302"/>
    </row>
    <row r="134" spans="2:9" ht="15.75" customHeight="1" outlineLevel="3" collapsed="1" thickBot="1" x14ac:dyDescent="0.3">
      <c r="B134" s="550" t="s">
        <v>120</v>
      </c>
      <c r="C134" s="550">
        <f>SUM(C131:C133)</f>
        <v>0</v>
      </c>
      <c r="D134" s="550">
        <f t="shared" ref="D134:I134" si="23">SUM(D131:D133)</f>
        <v>0</v>
      </c>
      <c r="E134" s="550">
        <f t="shared" si="23"/>
        <v>0</v>
      </c>
      <c r="F134" s="550">
        <f t="shared" si="23"/>
        <v>0</v>
      </c>
      <c r="G134" s="550">
        <f t="shared" si="23"/>
        <v>0</v>
      </c>
      <c r="H134" s="550">
        <f t="shared" si="23"/>
        <v>0</v>
      </c>
      <c r="I134" s="551">
        <f t="shared" si="23"/>
        <v>0</v>
      </c>
    </row>
    <row r="135" spans="2:9" ht="21.75" customHeight="1" outlineLevel="2" thickBot="1" x14ac:dyDescent="0.3">
      <c r="B135" s="250" t="s">
        <v>140</v>
      </c>
      <c r="C135" s="251"/>
      <c r="D135" s="251"/>
      <c r="E135" s="251"/>
      <c r="F135" s="251"/>
      <c r="G135" s="251"/>
      <c r="H135" s="251"/>
      <c r="I135" s="252"/>
    </row>
    <row r="136" spans="2:9" ht="15.75" customHeight="1" outlineLevel="3" x14ac:dyDescent="0.25">
      <c r="B136" s="536" t="s">
        <v>171</v>
      </c>
      <c r="C136" s="285"/>
      <c r="D136" s="1206"/>
      <c r="E136" s="283"/>
      <c r="F136" s="271"/>
      <c r="G136" s="271"/>
      <c r="H136" s="271"/>
      <c r="I136" s="272"/>
    </row>
    <row r="137" spans="2:9" ht="15.75" customHeight="1" outlineLevel="3" x14ac:dyDescent="0.25">
      <c r="B137" s="536" t="s">
        <v>172</v>
      </c>
      <c r="C137" s="285"/>
      <c r="D137" s="1206"/>
      <c r="E137" s="283"/>
      <c r="F137" s="271"/>
      <c r="G137" s="271"/>
      <c r="H137" s="271"/>
      <c r="I137" s="272"/>
    </row>
    <row r="138" spans="2:9" ht="15.75" customHeight="1" outlineLevel="3" x14ac:dyDescent="0.25">
      <c r="B138" s="555" t="s">
        <v>173</v>
      </c>
      <c r="C138" s="298"/>
      <c r="D138" s="299"/>
      <c r="E138" s="300"/>
      <c r="F138" s="301"/>
      <c r="G138" s="301"/>
      <c r="H138" s="301"/>
      <c r="I138" s="302"/>
    </row>
    <row r="139" spans="2:9" ht="15.75" customHeight="1" outlineLevel="3" collapsed="1" thickBot="1" x14ac:dyDescent="0.3">
      <c r="B139" s="550" t="s">
        <v>120</v>
      </c>
      <c r="C139" s="550">
        <f>SUM(C136:C138)</f>
        <v>0</v>
      </c>
      <c r="D139" s="550">
        <f t="shared" ref="D139:I139" si="24">SUM(D136:D138)</f>
        <v>0</v>
      </c>
      <c r="E139" s="550">
        <f t="shared" si="24"/>
        <v>0</v>
      </c>
      <c r="F139" s="550">
        <f t="shared" si="24"/>
        <v>0</v>
      </c>
      <c r="G139" s="550">
        <f t="shared" si="24"/>
        <v>0</v>
      </c>
      <c r="H139" s="550">
        <f t="shared" si="24"/>
        <v>0</v>
      </c>
      <c r="I139" s="551">
        <f t="shared" si="24"/>
        <v>0</v>
      </c>
    </row>
    <row r="140" spans="2:9" ht="21.75" customHeight="1" outlineLevel="2" thickBot="1" x14ac:dyDescent="0.3">
      <c r="B140" s="250" t="s">
        <v>141</v>
      </c>
      <c r="C140" s="251"/>
      <c r="D140" s="251"/>
      <c r="E140" s="251"/>
      <c r="F140" s="251"/>
      <c r="G140" s="251"/>
      <c r="H140" s="251"/>
      <c r="I140" s="252"/>
    </row>
    <row r="141" spans="2:9" ht="15.75" customHeight="1" outlineLevel="3" x14ac:dyDescent="0.25">
      <c r="B141" s="536" t="s">
        <v>171</v>
      </c>
      <c r="C141" s="285"/>
      <c r="D141" s="1206"/>
      <c r="E141" s="283"/>
      <c r="F141" s="271"/>
      <c r="G141" s="271"/>
      <c r="H141" s="271"/>
      <c r="I141" s="272"/>
    </row>
    <row r="142" spans="2:9" ht="15.75" customHeight="1" outlineLevel="3" x14ac:dyDescent="0.25">
      <c r="B142" s="536" t="s">
        <v>172</v>
      </c>
      <c r="C142" s="285"/>
      <c r="D142" s="1206"/>
      <c r="E142" s="283"/>
      <c r="F142" s="271"/>
      <c r="G142" s="271"/>
      <c r="H142" s="271"/>
      <c r="I142" s="272"/>
    </row>
    <row r="143" spans="2:9" ht="15.75" customHeight="1" outlineLevel="3" x14ac:dyDescent="0.25">
      <c r="B143" s="555" t="s">
        <v>173</v>
      </c>
      <c r="C143" s="298"/>
      <c r="D143" s="299"/>
      <c r="E143" s="300"/>
      <c r="F143" s="301"/>
      <c r="G143" s="301"/>
      <c r="H143" s="301"/>
      <c r="I143" s="302"/>
    </row>
    <row r="144" spans="2:9" ht="15.75" customHeight="1" outlineLevel="3" collapsed="1" thickBot="1" x14ac:dyDescent="0.3">
      <c r="B144" s="550" t="s">
        <v>120</v>
      </c>
      <c r="C144" s="550">
        <f>SUM(C141:C143)</f>
        <v>0</v>
      </c>
      <c r="D144" s="550">
        <f t="shared" ref="D144:I144" si="25">SUM(D141:D143)</f>
        <v>0</v>
      </c>
      <c r="E144" s="550">
        <f t="shared" si="25"/>
        <v>0</v>
      </c>
      <c r="F144" s="550">
        <f t="shared" si="25"/>
        <v>0</v>
      </c>
      <c r="G144" s="550">
        <f t="shared" si="25"/>
        <v>0</v>
      </c>
      <c r="H144" s="550">
        <f t="shared" si="25"/>
        <v>0</v>
      </c>
      <c r="I144" s="551">
        <f t="shared" si="25"/>
        <v>0</v>
      </c>
    </row>
    <row r="145" spans="1:10" ht="21.75" customHeight="1" outlineLevel="2" thickBot="1" x14ac:dyDescent="0.3">
      <c r="B145" s="250" t="s">
        <v>142</v>
      </c>
      <c r="C145" s="251"/>
      <c r="D145" s="251"/>
      <c r="E145" s="251"/>
      <c r="F145" s="251"/>
      <c r="G145" s="251"/>
      <c r="H145" s="251"/>
      <c r="I145" s="252"/>
    </row>
    <row r="146" spans="1:10" ht="15.75" customHeight="1" outlineLevel="3" x14ac:dyDescent="0.25">
      <c r="B146" s="536" t="s">
        <v>171</v>
      </c>
      <c r="C146" s="285"/>
      <c r="D146" s="1206"/>
      <c r="E146" s="283"/>
      <c r="F146" s="271"/>
      <c r="G146" s="271"/>
      <c r="H146" s="271"/>
      <c r="I146" s="272"/>
    </row>
    <row r="147" spans="1:10" ht="15.75" customHeight="1" outlineLevel="3" x14ac:dyDescent="0.25">
      <c r="B147" s="536" t="s">
        <v>172</v>
      </c>
      <c r="C147" s="285"/>
      <c r="D147" s="1206"/>
      <c r="E147" s="283"/>
      <c r="F147" s="271"/>
      <c r="G147" s="271"/>
      <c r="H147" s="271"/>
      <c r="I147" s="272"/>
    </row>
    <row r="148" spans="1:10" ht="15.75" customHeight="1" outlineLevel="3" x14ac:dyDescent="0.25">
      <c r="B148" s="555" t="s">
        <v>173</v>
      </c>
      <c r="C148" s="298"/>
      <c r="D148" s="299"/>
      <c r="E148" s="300"/>
      <c r="F148" s="301"/>
      <c r="G148" s="301"/>
      <c r="H148" s="301"/>
      <c r="I148" s="302"/>
    </row>
    <row r="149" spans="1:10" ht="15.75" customHeight="1" outlineLevel="3" collapsed="1" thickBot="1" x14ac:dyDescent="0.3">
      <c r="B149" s="549" t="s">
        <v>120</v>
      </c>
      <c r="C149" s="550">
        <f>SUM(C146:C148)</f>
        <v>0</v>
      </c>
      <c r="D149" s="550">
        <f t="shared" ref="D149:I149" si="26">SUM(D146:D148)</f>
        <v>0</v>
      </c>
      <c r="E149" s="550">
        <f t="shared" si="26"/>
        <v>0</v>
      </c>
      <c r="F149" s="550">
        <f t="shared" si="26"/>
        <v>0</v>
      </c>
      <c r="G149" s="550">
        <f t="shared" si="26"/>
        <v>0</v>
      </c>
      <c r="H149" s="550">
        <f t="shared" si="26"/>
        <v>0</v>
      </c>
      <c r="I149" s="551">
        <f t="shared" si="26"/>
        <v>0</v>
      </c>
    </row>
    <row r="150" spans="1:10" s="42" customFormat="1" ht="15" customHeight="1" outlineLevel="2" thickBot="1" x14ac:dyDescent="0.3">
      <c r="A150" s="291"/>
      <c r="B150" s="295" t="s">
        <v>146</v>
      </c>
      <c r="C150" s="296">
        <f>SUM(C124,C129,C134,C139,C144,C149)</f>
        <v>0</v>
      </c>
      <c r="D150" s="296">
        <f t="shared" ref="D150:I150" si="27">SUM(D124,D129,D134,D139,D144,D149)</f>
        <v>0</v>
      </c>
      <c r="E150" s="296">
        <f t="shared" si="27"/>
        <v>0</v>
      </c>
      <c r="F150" s="296">
        <f t="shared" si="27"/>
        <v>0</v>
      </c>
      <c r="G150" s="296">
        <f t="shared" si="27"/>
        <v>0</v>
      </c>
      <c r="H150" s="296">
        <f t="shared" si="27"/>
        <v>0</v>
      </c>
      <c r="I150" s="297">
        <f t="shared" si="27"/>
        <v>0</v>
      </c>
      <c r="J150"/>
    </row>
    <row r="151" spans="1:10" outlineLevel="1" x14ac:dyDescent="0.25"/>
    <row r="152" spans="1:10" ht="12.75" customHeight="1" thickBot="1" x14ac:dyDescent="0.3"/>
    <row r="153" spans="1:10" s="317" customFormat="1" ht="24" customHeight="1" thickBot="1" x14ac:dyDescent="0.25">
      <c r="B153" s="32" t="s">
        <v>177</v>
      </c>
      <c r="C153" s="32"/>
      <c r="D153" s="32"/>
      <c r="E153" s="32"/>
      <c r="F153" s="32"/>
      <c r="G153" s="32"/>
      <c r="H153" s="32"/>
      <c r="I153" s="32"/>
    </row>
    <row r="154" spans="1:10" ht="23.25" customHeight="1" outlineLevel="1" thickBot="1" x14ac:dyDescent="0.3">
      <c r="B154" s="247" t="s">
        <v>178</v>
      </c>
      <c r="C154" s="248"/>
      <c r="D154" s="248"/>
      <c r="E154" s="248"/>
      <c r="F154" s="248"/>
      <c r="G154" s="248"/>
      <c r="H154" s="248"/>
      <c r="I154" s="248"/>
    </row>
    <row r="155" spans="1:10" outlineLevel="3" x14ac:dyDescent="0.25">
      <c r="C155" s="1382" t="s">
        <v>159</v>
      </c>
      <c r="D155" s="1383"/>
      <c r="E155" s="1383"/>
      <c r="F155" s="1383"/>
      <c r="G155" s="1383"/>
      <c r="H155" s="1383"/>
      <c r="I155" s="1384"/>
    </row>
    <row r="156" spans="1:10" outlineLevel="3" x14ac:dyDescent="0.25">
      <c r="C156" s="1375" t="s">
        <v>160</v>
      </c>
      <c r="D156" s="1376"/>
      <c r="E156" s="1376"/>
      <c r="F156" s="1376"/>
      <c r="G156" s="1376"/>
      <c r="H156" s="1376"/>
      <c r="I156" s="1377"/>
    </row>
    <row r="157" spans="1:10" ht="15.75" outlineLevel="3" thickBot="1" x14ac:dyDescent="0.3">
      <c r="B157" s="78"/>
      <c r="C157" s="405" t="str">
        <f ca="1">dms_y1</f>
        <v>2024-25</v>
      </c>
      <c r="D157" s="306" t="str">
        <f ca="1">dms_y2</f>
        <v>2025-26</v>
      </c>
      <c r="E157" s="305" t="str">
        <f ca="1">dms_y3</f>
        <v>2026-27</v>
      </c>
      <c r="F157" s="305" t="str">
        <f ca="1">dms_y4</f>
        <v>2027-28</v>
      </c>
      <c r="G157" s="305" t="str">
        <f ca="1">dms_y5</f>
        <v>2028-29</v>
      </c>
      <c r="H157" s="305" t="str">
        <f ca="1">dms_y6</f>
        <v>2029-30</v>
      </c>
      <c r="I157" s="406" t="str">
        <f ca="1">dms_y7</f>
        <v>2030-31</v>
      </c>
    </row>
    <row r="158" spans="1:10" outlineLevel="3" x14ac:dyDescent="0.25">
      <c r="B158" s="518" t="s">
        <v>171</v>
      </c>
      <c r="C158" s="285">
        <v>14944</v>
      </c>
      <c r="D158" s="1206">
        <v>18598</v>
      </c>
      <c r="E158" s="283">
        <v>24150</v>
      </c>
      <c r="F158" s="271">
        <v>19493</v>
      </c>
      <c r="G158" s="271">
        <v>17560</v>
      </c>
      <c r="H158" s="271">
        <v>22007</v>
      </c>
      <c r="I158" s="272">
        <v>24118</v>
      </c>
    </row>
    <row r="159" spans="1:10" outlineLevel="3" x14ac:dyDescent="0.25">
      <c r="B159" s="517" t="s">
        <v>179</v>
      </c>
      <c r="C159" s="285">
        <v>741</v>
      </c>
      <c r="D159" s="1206">
        <v>620</v>
      </c>
      <c r="E159" s="283">
        <v>845</v>
      </c>
      <c r="F159" s="271">
        <v>735</v>
      </c>
      <c r="G159" s="271">
        <v>955</v>
      </c>
      <c r="H159" s="271">
        <v>1555</v>
      </c>
      <c r="I159" s="272">
        <v>1763</v>
      </c>
    </row>
    <row r="160" spans="1:10" outlineLevel="3" x14ac:dyDescent="0.25">
      <c r="B160" s="330" t="s">
        <v>180</v>
      </c>
      <c r="C160" s="298">
        <v>0</v>
      </c>
      <c r="D160" s="299">
        <v>0</v>
      </c>
      <c r="E160" s="300">
        <v>2000</v>
      </c>
      <c r="F160" s="301">
        <v>2000</v>
      </c>
      <c r="G160" s="301">
        <v>1800</v>
      </c>
      <c r="H160" s="301">
        <v>0</v>
      </c>
      <c r="I160" s="302">
        <v>0</v>
      </c>
    </row>
    <row r="161" spans="1:11" ht="15.75" outlineLevel="3" thickBot="1" x14ac:dyDescent="0.3">
      <c r="B161" s="544" t="s">
        <v>120</v>
      </c>
      <c r="C161" s="545">
        <f>SUM(C158:C160)</f>
        <v>15685</v>
      </c>
      <c r="D161" s="545">
        <f t="shared" ref="D161:I161" si="28">SUM(D158:D160)</f>
        <v>19218</v>
      </c>
      <c r="E161" s="545">
        <f t="shared" si="28"/>
        <v>26995</v>
      </c>
      <c r="F161" s="545">
        <f t="shared" si="28"/>
        <v>22228</v>
      </c>
      <c r="G161" s="545">
        <f t="shared" si="28"/>
        <v>20315</v>
      </c>
      <c r="H161" s="545">
        <f t="shared" si="28"/>
        <v>23562</v>
      </c>
      <c r="I161" s="546">
        <f t="shared" si="28"/>
        <v>25881</v>
      </c>
    </row>
    <row r="162" spans="1:11" outlineLevel="1" x14ac:dyDescent="0.25"/>
    <row r="163" spans="1:11" ht="15.75" outlineLevel="1" thickBot="1" x14ac:dyDescent="0.3"/>
    <row r="164" spans="1:11" s="317" customFormat="1" ht="24" customHeight="1" outlineLevel="1" thickBot="1" x14ac:dyDescent="0.25">
      <c r="B164" s="247" t="s">
        <v>181</v>
      </c>
      <c r="C164" s="248"/>
      <c r="D164" s="248"/>
      <c r="E164" s="248"/>
      <c r="F164" s="248"/>
      <c r="G164" s="248"/>
      <c r="H164" s="248"/>
      <c r="I164" s="248"/>
    </row>
    <row r="165" spans="1:11" s="42" customFormat="1" outlineLevel="2" x14ac:dyDescent="0.25">
      <c r="A165" s="291"/>
      <c r="B165"/>
      <c r="C165" s="1382" t="s">
        <v>159</v>
      </c>
      <c r="D165" s="1383"/>
      <c r="E165" s="1383"/>
      <c r="F165" s="1383"/>
      <c r="G165" s="1383"/>
      <c r="H165" s="1383"/>
      <c r="I165" s="1384"/>
    </row>
    <row r="166" spans="1:11" s="42" customFormat="1" outlineLevel="2" x14ac:dyDescent="0.25">
      <c r="A166" s="291"/>
      <c r="B166"/>
      <c r="C166" s="1375" t="s">
        <v>160</v>
      </c>
      <c r="D166" s="1376"/>
      <c r="E166" s="1376"/>
      <c r="F166" s="1376"/>
      <c r="G166" s="1376"/>
      <c r="H166" s="1376"/>
      <c r="I166" s="1377"/>
    </row>
    <row r="167" spans="1:11" s="42" customFormat="1" ht="15.75" outlineLevel="2" thickBot="1" x14ac:dyDescent="0.3">
      <c r="A167" s="291"/>
      <c r="B167"/>
      <c r="C167" s="405" t="str">
        <f ca="1">dms_y1</f>
        <v>2024-25</v>
      </c>
      <c r="D167" s="306" t="str">
        <f ca="1">dms_y2</f>
        <v>2025-26</v>
      </c>
      <c r="E167" s="305" t="str">
        <f ca="1">dms_y3</f>
        <v>2026-27</v>
      </c>
      <c r="F167" s="305" t="str">
        <f ca="1">dms_y4</f>
        <v>2027-28</v>
      </c>
      <c r="G167" s="305" t="str">
        <f ca="1">dms_y5</f>
        <v>2028-29</v>
      </c>
      <c r="H167" s="305" t="str">
        <f ca="1">dms_y6</f>
        <v>2029-30</v>
      </c>
      <c r="I167" s="406" t="str">
        <f ca="1">dms_y7</f>
        <v>2030-31</v>
      </c>
    </row>
    <row r="168" spans="1:11" s="42" customFormat="1" ht="20.25" customHeight="1" outlineLevel="2" thickBot="1" x14ac:dyDescent="0.3">
      <c r="A168" s="291"/>
      <c r="B168" s="250" t="s">
        <v>182</v>
      </c>
      <c r="C168" s="251"/>
      <c r="D168" s="251"/>
      <c r="E168" s="251"/>
      <c r="F168" s="251"/>
      <c r="G168" s="251"/>
      <c r="H168" s="251"/>
      <c r="I168" s="252"/>
      <c r="J168"/>
    </row>
    <row r="169" spans="1:11" s="42" customFormat="1" outlineLevel="3" x14ac:dyDescent="0.25">
      <c r="A169" s="291"/>
      <c r="B169" s="518" t="s">
        <v>171</v>
      </c>
      <c r="C169" s="285"/>
      <c r="D169" s="1206"/>
      <c r="E169" s="283"/>
      <c r="F169" s="271"/>
      <c r="G169" s="271"/>
      <c r="H169" s="271"/>
      <c r="I169" s="272"/>
      <c r="J169"/>
    </row>
    <row r="170" spans="1:11" s="42" customFormat="1" outlineLevel="3" x14ac:dyDescent="0.25">
      <c r="A170" s="291"/>
      <c r="B170" s="517" t="s">
        <v>179</v>
      </c>
      <c r="C170" s="285"/>
      <c r="D170" s="1206"/>
      <c r="E170" s="283"/>
      <c r="F170" s="271"/>
      <c r="G170" s="271"/>
      <c r="H170" s="271"/>
      <c r="I170" s="272"/>
      <c r="J170"/>
    </row>
    <row r="171" spans="1:11" s="42" customFormat="1" ht="12.75" customHeight="1" outlineLevel="3" x14ac:dyDescent="0.25">
      <c r="A171" s="291"/>
      <c r="B171" s="330" t="s">
        <v>180</v>
      </c>
      <c r="C171" s="298"/>
      <c r="D171" s="299"/>
      <c r="E171" s="300"/>
      <c r="F171" s="301"/>
      <c r="G171" s="301"/>
      <c r="H171" s="301"/>
      <c r="I171" s="302"/>
      <c r="J171"/>
    </row>
    <row r="172" spans="1:11" ht="15.75" outlineLevel="3" thickBot="1" x14ac:dyDescent="0.3">
      <c r="B172" s="552" t="s">
        <v>120</v>
      </c>
      <c r="C172" s="553">
        <f t="shared" ref="C172:I172" si="29">SUM(C169:C171)</f>
        <v>0</v>
      </c>
      <c r="D172" s="553">
        <f t="shared" si="29"/>
        <v>0</v>
      </c>
      <c r="E172" s="553">
        <f t="shared" si="29"/>
        <v>0</v>
      </c>
      <c r="F172" s="553">
        <f t="shared" si="29"/>
        <v>0</v>
      </c>
      <c r="G172" s="553">
        <f t="shared" si="29"/>
        <v>0</v>
      </c>
      <c r="H172" s="553">
        <f t="shared" si="29"/>
        <v>0</v>
      </c>
      <c r="I172" s="554">
        <f t="shared" si="29"/>
        <v>0</v>
      </c>
    </row>
    <row r="173" spans="1:11" s="42" customFormat="1" ht="20.25" customHeight="1" outlineLevel="2" thickBot="1" x14ac:dyDescent="0.3">
      <c r="A173" s="291"/>
      <c r="B173" s="250" t="s">
        <v>183</v>
      </c>
      <c r="C173" s="251"/>
      <c r="D173" s="251"/>
      <c r="E173" s="251"/>
      <c r="F173" s="251"/>
      <c r="G173" s="251"/>
      <c r="H173" s="251"/>
      <c r="I173" s="252"/>
      <c r="J173"/>
      <c r="K173"/>
    </row>
    <row r="174" spans="1:11" s="42" customFormat="1" outlineLevel="3" x14ac:dyDescent="0.25">
      <c r="A174" s="291"/>
      <c r="B174" s="518" t="s">
        <v>171</v>
      </c>
      <c r="C174" s="285"/>
      <c r="D174" s="1206"/>
      <c r="E174" s="283"/>
      <c r="F174" s="271"/>
      <c r="G174" s="271"/>
      <c r="H174" s="271"/>
      <c r="I174" s="272"/>
      <c r="J174"/>
      <c r="K174"/>
    </row>
    <row r="175" spans="1:11" s="42" customFormat="1" outlineLevel="3" x14ac:dyDescent="0.25">
      <c r="A175" s="291"/>
      <c r="B175" s="517" t="s">
        <v>179</v>
      </c>
      <c r="C175" s="285"/>
      <c r="D175" s="1206"/>
      <c r="E175" s="283"/>
      <c r="F175" s="271"/>
      <c r="G175" s="271"/>
      <c r="H175" s="271"/>
      <c r="I175" s="272"/>
      <c r="J175"/>
      <c r="K175"/>
    </row>
    <row r="176" spans="1:11" s="42" customFormat="1" ht="12.75" customHeight="1" outlineLevel="3" x14ac:dyDescent="0.25">
      <c r="A176" s="291"/>
      <c r="B176" s="330" t="s">
        <v>180</v>
      </c>
      <c r="C176" s="298"/>
      <c r="D176" s="299"/>
      <c r="E176" s="300"/>
      <c r="F176" s="301"/>
      <c r="G176" s="301"/>
      <c r="H176" s="301"/>
      <c r="I176" s="302"/>
      <c r="J176"/>
      <c r="K176"/>
    </row>
    <row r="177" spans="1:9" ht="15.75" outlineLevel="3" thickBot="1" x14ac:dyDescent="0.3">
      <c r="B177" s="549" t="s">
        <v>120</v>
      </c>
      <c r="C177" s="550">
        <f t="shared" ref="C177:I177" si="30">SUM(C174:C176)</f>
        <v>0</v>
      </c>
      <c r="D177" s="550">
        <f t="shared" si="30"/>
        <v>0</v>
      </c>
      <c r="E177" s="550">
        <f t="shared" si="30"/>
        <v>0</v>
      </c>
      <c r="F177" s="550">
        <f t="shared" si="30"/>
        <v>0</v>
      </c>
      <c r="G177" s="550">
        <f t="shared" si="30"/>
        <v>0</v>
      </c>
      <c r="H177" s="550">
        <f t="shared" si="30"/>
        <v>0</v>
      </c>
      <c r="I177" s="551">
        <f t="shared" si="30"/>
        <v>0</v>
      </c>
    </row>
    <row r="178" spans="1:9" ht="15.75" outlineLevel="2" thickBot="1" x14ac:dyDescent="0.3">
      <c r="B178" s="295" t="s">
        <v>146</v>
      </c>
      <c r="C178" s="296">
        <f>SUM(C172,C177)</f>
        <v>0</v>
      </c>
      <c r="D178" s="296">
        <f t="shared" ref="D178:I178" si="31">SUM(D172,D177)</f>
        <v>0</v>
      </c>
      <c r="E178" s="296">
        <f t="shared" si="31"/>
        <v>0</v>
      </c>
      <c r="F178" s="296">
        <f t="shared" si="31"/>
        <v>0</v>
      </c>
      <c r="G178" s="296">
        <f t="shared" si="31"/>
        <v>0</v>
      </c>
      <c r="H178" s="296">
        <f t="shared" si="31"/>
        <v>0</v>
      </c>
      <c r="I178" s="297">
        <f t="shared" si="31"/>
        <v>0</v>
      </c>
    </row>
    <row r="179" spans="1:9" s="42" customFormat="1" ht="12.75" outlineLevel="1" x14ac:dyDescent="0.2">
      <c r="B179" s="332"/>
    </row>
    <row r="180" spans="1:9" s="42" customFormat="1" ht="20.25" customHeight="1" outlineLevel="1" thickBot="1" x14ac:dyDescent="0.25">
      <c r="B180" s="332"/>
    </row>
    <row r="181" spans="1:9" s="317" customFormat="1" ht="24" customHeight="1" outlineLevel="1" thickBot="1" x14ac:dyDescent="0.25">
      <c r="B181" s="247" t="s">
        <v>184</v>
      </c>
      <c r="C181" s="248"/>
      <c r="D181" s="248"/>
      <c r="E181" s="248"/>
      <c r="F181" s="248"/>
      <c r="G181" s="248"/>
      <c r="H181" s="248"/>
      <c r="I181" s="248"/>
    </row>
    <row r="182" spans="1:9" s="42" customFormat="1" outlineLevel="3" x14ac:dyDescent="0.25">
      <c r="A182" s="291"/>
      <c r="B182"/>
      <c r="C182" s="1382" t="s">
        <v>159</v>
      </c>
      <c r="D182" s="1383"/>
      <c r="E182" s="1383"/>
      <c r="F182" s="1383"/>
      <c r="G182" s="1383"/>
      <c r="H182" s="1383"/>
      <c r="I182" s="1384"/>
    </row>
    <row r="183" spans="1:9" s="42" customFormat="1" outlineLevel="3" x14ac:dyDescent="0.25">
      <c r="A183" s="291"/>
      <c r="B183"/>
      <c r="C183" s="1375" t="s">
        <v>160</v>
      </c>
      <c r="D183" s="1376"/>
      <c r="E183" s="1376"/>
      <c r="F183" s="1376"/>
      <c r="G183" s="1376"/>
      <c r="H183" s="1376"/>
      <c r="I183" s="1377"/>
    </row>
    <row r="184" spans="1:9" s="42" customFormat="1" ht="15.75" outlineLevel="3" thickBot="1" x14ac:dyDescent="0.3">
      <c r="A184" s="291"/>
      <c r="B184" s="78"/>
      <c r="C184" s="405" t="str">
        <f ca="1">dms_y1</f>
        <v>2024-25</v>
      </c>
      <c r="D184" s="306" t="str">
        <f ca="1">dms_y2</f>
        <v>2025-26</v>
      </c>
      <c r="E184" s="305" t="str">
        <f ca="1">dms_y3</f>
        <v>2026-27</v>
      </c>
      <c r="F184" s="305" t="str">
        <f ca="1">dms_y4</f>
        <v>2027-28</v>
      </c>
      <c r="G184" s="305" t="str">
        <f ca="1">dms_y5</f>
        <v>2028-29</v>
      </c>
      <c r="H184" s="305" t="str">
        <f ca="1">dms_y6</f>
        <v>2029-30</v>
      </c>
      <c r="I184" s="406" t="str">
        <f ca="1">dms_y7</f>
        <v>2030-31</v>
      </c>
    </row>
    <row r="185" spans="1:9" s="42" customFormat="1" outlineLevel="3" x14ac:dyDescent="0.25">
      <c r="A185" s="291"/>
      <c r="B185" s="518" t="s">
        <v>171</v>
      </c>
      <c r="C185" s="285">
        <v>14944</v>
      </c>
      <c r="D185" s="1206">
        <v>18598</v>
      </c>
      <c r="E185" s="283">
        <v>24150</v>
      </c>
      <c r="F185" s="271">
        <v>19493</v>
      </c>
      <c r="G185" s="271">
        <v>17560</v>
      </c>
      <c r="H185" s="271">
        <v>22007</v>
      </c>
      <c r="I185" s="272">
        <v>24118</v>
      </c>
    </row>
    <row r="186" spans="1:9" s="42" customFormat="1" outlineLevel="3" x14ac:dyDescent="0.25">
      <c r="A186" s="291"/>
      <c r="B186" s="517" t="s">
        <v>179</v>
      </c>
      <c r="C186" s="285">
        <v>741</v>
      </c>
      <c r="D186" s="1206">
        <v>620</v>
      </c>
      <c r="E186" s="283">
        <v>845</v>
      </c>
      <c r="F186" s="271">
        <v>735</v>
      </c>
      <c r="G186" s="271">
        <v>955</v>
      </c>
      <c r="H186" s="271">
        <v>1555</v>
      </c>
      <c r="I186" s="272">
        <v>1763</v>
      </c>
    </row>
    <row r="187" spans="1:9" s="42" customFormat="1" ht="12.75" customHeight="1" outlineLevel="3" x14ac:dyDescent="0.25">
      <c r="A187" s="291"/>
      <c r="B187" s="330" t="s">
        <v>180</v>
      </c>
      <c r="C187" s="298">
        <v>0</v>
      </c>
      <c r="D187" s="299">
        <v>0</v>
      </c>
      <c r="E187" s="300">
        <v>2000</v>
      </c>
      <c r="F187" s="301">
        <v>2000</v>
      </c>
      <c r="G187" s="301">
        <v>1800</v>
      </c>
      <c r="H187" s="301">
        <v>0</v>
      </c>
      <c r="I187" s="302">
        <v>0</v>
      </c>
    </row>
    <row r="188" spans="1:9" s="39" customFormat="1" ht="13.5" outlineLevel="3" thickBot="1" x14ac:dyDescent="0.25">
      <c r="A188" s="303"/>
      <c r="B188" s="2" t="s">
        <v>120</v>
      </c>
      <c r="C188" s="2">
        <f>SUM(C185:C187)</f>
        <v>15685</v>
      </c>
      <c r="D188" s="2">
        <f t="shared" ref="D188:I188" si="32">SUM(D185:D187)</f>
        <v>19218</v>
      </c>
      <c r="E188" s="2">
        <f t="shared" si="32"/>
        <v>26995</v>
      </c>
      <c r="F188" s="2">
        <f t="shared" si="32"/>
        <v>22228</v>
      </c>
      <c r="G188" s="2">
        <f t="shared" si="32"/>
        <v>20315</v>
      </c>
      <c r="H188" s="2">
        <f t="shared" si="32"/>
        <v>23562</v>
      </c>
      <c r="I188" s="2">
        <f t="shared" si="32"/>
        <v>25881</v>
      </c>
    </row>
    <row r="189" spans="1:9" outlineLevel="1" x14ac:dyDescent="0.25"/>
    <row r="190" spans="1:9" ht="15.75" outlineLevel="1" thickBot="1" x14ac:dyDescent="0.3"/>
    <row r="191" spans="1:9" s="317" customFormat="1" ht="24" customHeight="1" outlineLevel="1" thickBot="1" x14ac:dyDescent="0.25">
      <c r="B191" s="247" t="s">
        <v>185</v>
      </c>
      <c r="C191" s="248"/>
      <c r="D191" s="248"/>
      <c r="E191" s="248"/>
      <c r="F191" s="248"/>
      <c r="G191" s="248"/>
      <c r="H191" s="248"/>
      <c r="I191" s="248"/>
    </row>
    <row r="192" spans="1:9" s="42" customFormat="1" outlineLevel="3" x14ac:dyDescent="0.25">
      <c r="A192" s="291"/>
      <c r="B192"/>
      <c r="C192" s="1382" t="s">
        <v>159</v>
      </c>
      <c r="D192" s="1383"/>
      <c r="E192" s="1383"/>
      <c r="F192" s="1383"/>
      <c r="G192" s="1383"/>
      <c r="H192" s="1383"/>
      <c r="I192" s="1384"/>
    </row>
    <row r="193" spans="1:9" s="42" customFormat="1" outlineLevel="3" x14ac:dyDescent="0.25">
      <c r="A193" s="291"/>
      <c r="B193"/>
      <c r="C193" s="1375" t="s">
        <v>160</v>
      </c>
      <c r="D193" s="1376"/>
      <c r="E193" s="1376"/>
      <c r="F193" s="1376"/>
      <c r="G193" s="1376"/>
      <c r="H193" s="1376"/>
      <c r="I193" s="1377"/>
    </row>
    <row r="194" spans="1:9" s="42" customFormat="1" ht="15.75" outlineLevel="3" thickBot="1" x14ac:dyDescent="0.3">
      <c r="A194" s="291"/>
      <c r="B194" s="78"/>
      <c r="C194" s="405" t="str">
        <f ca="1">dms_y1</f>
        <v>2024-25</v>
      </c>
      <c r="D194" s="306" t="str">
        <f ca="1">dms_y2</f>
        <v>2025-26</v>
      </c>
      <c r="E194" s="305" t="str">
        <f ca="1">dms_y3</f>
        <v>2026-27</v>
      </c>
      <c r="F194" s="305" t="str">
        <f ca="1">dms_y4</f>
        <v>2027-28</v>
      </c>
      <c r="G194" s="305" t="str">
        <f ca="1">dms_y5</f>
        <v>2028-29</v>
      </c>
      <c r="H194" s="305" t="str">
        <f ca="1">dms_y6</f>
        <v>2029-30</v>
      </c>
      <c r="I194" s="406" t="str">
        <f ca="1">dms_y7</f>
        <v>2030-31</v>
      </c>
    </row>
    <row r="195" spans="1:9" s="42" customFormat="1" outlineLevel="3" x14ac:dyDescent="0.25">
      <c r="A195" s="291"/>
      <c r="B195" s="518" t="s">
        <v>171</v>
      </c>
      <c r="C195" s="285">
        <v>14944</v>
      </c>
      <c r="D195" s="1206">
        <v>18598</v>
      </c>
      <c r="E195" s="283">
        <v>24150</v>
      </c>
      <c r="F195" s="271">
        <v>19493</v>
      </c>
      <c r="G195" s="271">
        <v>17560</v>
      </c>
      <c r="H195" s="271">
        <v>22007</v>
      </c>
      <c r="I195" s="272">
        <v>24118</v>
      </c>
    </row>
    <row r="196" spans="1:9" s="42" customFormat="1" outlineLevel="3" x14ac:dyDescent="0.25">
      <c r="A196" s="291"/>
      <c r="B196" s="517" t="s">
        <v>179</v>
      </c>
      <c r="C196" s="285">
        <v>741</v>
      </c>
      <c r="D196" s="1206">
        <v>620</v>
      </c>
      <c r="E196" s="283">
        <v>845</v>
      </c>
      <c r="F196" s="271">
        <v>735</v>
      </c>
      <c r="G196" s="271">
        <v>955</v>
      </c>
      <c r="H196" s="271">
        <v>1555</v>
      </c>
      <c r="I196" s="272">
        <v>1763</v>
      </c>
    </row>
    <row r="197" spans="1:9" s="42" customFormat="1" ht="12.75" customHeight="1" outlineLevel="3" x14ac:dyDescent="0.25">
      <c r="A197" s="291"/>
      <c r="B197" s="330" t="s">
        <v>180</v>
      </c>
      <c r="C197" s="298">
        <v>0</v>
      </c>
      <c r="D197" s="299">
        <v>0</v>
      </c>
      <c r="E197" s="300">
        <v>2000</v>
      </c>
      <c r="F197" s="301">
        <v>2000</v>
      </c>
      <c r="G197" s="301">
        <v>1800</v>
      </c>
      <c r="H197" s="301">
        <v>0</v>
      </c>
      <c r="I197" s="302">
        <v>0</v>
      </c>
    </row>
    <row r="198" spans="1:9" s="39" customFormat="1" ht="13.5" outlineLevel="3" thickBot="1" x14ac:dyDescent="0.25">
      <c r="A198" s="303"/>
      <c r="B198" s="2" t="s">
        <v>120</v>
      </c>
      <c r="C198" s="2">
        <f>SUM(C195:C197)</f>
        <v>15685</v>
      </c>
      <c r="D198" s="2">
        <f t="shared" ref="D198:I198" si="33">SUM(D195:D197)</f>
        <v>19218</v>
      </c>
      <c r="E198" s="2">
        <f t="shared" si="33"/>
        <v>26995</v>
      </c>
      <c r="F198" s="2">
        <f t="shared" si="33"/>
        <v>22228</v>
      </c>
      <c r="G198" s="2">
        <f t="shared" si="33"/>
        <v>20315</v>
      </c>
      <c r="H198" s="2">
        <f t="shared" si="33"/>
        <v>23562</v>
      </c>
      <c r="I198" s="2">
        <f t="shared" si="33"/>
        <v>25881</v>
      </c>
    </row>
    <row r="199" spans="1:9" outlineLevel="1" x14ac:dyDescent="0.25"/>
    <row r="200" spans="1:9" ht="15.75" outlineLevel="1" thickBot="1" x14ac:dyDescent="0.3"/>
    <row r="201" spans="1:9" s="317" customFormat="1" ht="24" customHeight="1" outlineLevel="1" thickBot="1" x14ac:dyDescent="0.25">
      <c r="B201" s="247" t="s">
        <v>186</v>
      </c>
      <c r="C201" s="248"/>
      <c r="D201" s="248"/>
      <c r="E201" s="248"/>
      <c r="F201" s="248"/>
      <c r="G201" s="248"/>
      <c r="H201" s="248"/>
      <c r="I201" s="248"/>
    </row>
    <row r="202" spans="1:9" s="42" customFormat="1" outlineLevel="3" x14ac:dyDescent="0.25">
      <c r="A202" s="291"/>
      <c r="B202"/>
      <c r="C202" s="1382" t="s">
        <v>159</v>
      </c>
      <c r="D202" s="1383"/>
      <c r="E202" s="1383"/>
      <c r="F202" s="1383"/>
      <c r="G202" s="1383"/>
      <c r="H202" s="1383"/>
      <c r="I202" s="1384"/>
    </row>
    <row r="203" spans="1:9" s="42" customFormat="1" outlineLevel="3" x14ac:dyDescent="0.25">
      <c r="A203" s="291"/>
      <c r="B203"/>
      <c r="C203" s="1375" t="s">
        <v>160</v>
      </c>
      <c r="D203" s="1376"/>
      <c r="E203" s="1376"/>
      <c r="F203" s="1376"/>
      <c r="G203" s="1376"/>
      <c r="H203" s="1376"/>
      <c r="I203" s="1377"/>
    </row>
    <row r="204" spans="1:9" s="42" customFormat="1" ht="15.75" outlineLevel="3" thickBot="1" x14ac:dyDescent="0.3">
      <c r="A204" s="291"/>
      <c r="B204" s="78"/>
      <c r="C204" s="405" t="str">
        <f ca="1">dms_y1</f>
        <v>2024-25</v>
      </c>
      <c r="D204" s="306" t="str">
        <f ca="1">dms_y2</f>
        <v>2025-26</v>
      </c>
      <c r="E204" s="305" t="str">
        <f ca="1">dms_y3</f>
        <v>2026-27</v>
      </c>
      <c r="F204" s="305" t="str">
        <f ca="1">dms_y4</f>
        <v>2027-28</v>
      </c>
      <c r="G204" s="305" t="str">
        <f ca="1">dms_y5</f>
        <v>2028-29</v>
      </c>
      <c r="H204" s="305" t="str">
        <f ca="1">dms_y6</f>
        <v>2029-30</v>
      </c>
      <c r="I204" s="406" t="str">
        <f ca="1">dms_y7</f>
        <v>2030-31</v>
      </c>
    </row>
    <row r="205" spans="1:9" s="42" customFormat="1" outlineLevel="3" x14ac:dyDescent="0.25">
      <c r="A205" s="291"/>
      <c r="B205" s="518" t="s">
        <v>171</v>
      </c>
      <c r="C205" s="285"/>
      <c r="D205" s="1206"/>
      <c r="E205" s="283"/>
      <c r="F205" s="271"/>
      <c r="G205" s="271"/>
      <c r="H205" s="271"/>
      <c r="I205" s="272"/>
    </row>
    <row r="206" spans="1:9" s="42" customFormat="1" outlineLevel="3" x14ac:dyDescent="0.25">
      <c r="A206" s="291"/>
      <c r="B206" s="517" t="s">
        <v>179</v>
      </c>
      <c r="C206" s="285"/>
      <c r="D206" s="1206"/>
      <c r="E206" s="283"/>
      <c r="F206" s="271"/>
      <c r="G206" s="271"/>
      <c r="H206" s="271"/>
      <c r="I206" s="272"/>
    </row>
    <row r="207" spans="1:9" s="42" customFormat="1" ht="12.75" customHeight="1" outlineLevel="3" x14ac:dyDescent="0.25">
      <c r="A207" s="291"/>
      <c r="B207" s="330" t="s">
        <v>180</v>
      </c>
      <c r="C207" s="298"/>
      <c r="D207" s="299"/>
      <c r="E207" s="300"/>
      <c r="F207" s="301"/>
      <c r="G207" s="301"/>
      <c r="H207" s="301"/>
      <c r="I207" s="302"/>
    </row>
    <row r="208" spans="1:9" s="39" customFormat="1" ht="13.5" outlineLevel="3" thickBot="1" x14ac:dyDescent="0.25">
      <c r="A208" s="303"/>
      <c r="B208" s="2" t="s">
        <v>120</v>
      </c>
      <c r="C208" s="2">
        <f>SUM(C205:C207)</f>
        <v>0</v>
      </c>
      <c r="D208" s="2">
        <f t="shared" ref="D208:I208" si="34">SUM(D205:D207)</f>
        <v>0</v>
      </c>
      <c r="E208" s="2">
        <f t="shared" si="34"/>
        <v>0</v>
      </c>
      <c r="F208" s="2">
        <f t="shared" si="34"/>
        <v>0</v>
      </c>
      <c r="G208" s="2">
        <f t="shared" si="34"/>
        <v>0</v>
      </c>
      <c r="H208" s="2">
        <f t="shared" si="34"/>
        <v>0</v>
      </c>
      <c r="I208" s="2">
        <f t="shared" si="34"/>
        <v>0</v>
      </c>
    </row>
    <row r="209" outlineLevel="1" x14ac:dyDescent="0.25"/>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3" tint="-0.249977111117893"/>
  </sheetPr>
  <dimension ref="A1:L327"/>
  <sheetViews>
    <sheetView showGridLines="0" zoomScale="89" zoomScaleNormal="89" workbookViewId="0"/>
  </sheetViews>
  <sheetFormatPr defaultColWidth="9.140625" defaultRowHeight="15" outlineLevelRow="3" x14ac:dyDescent="0.25"/>
  <cols>
    <col min="1" max="1" width="22.7109375" customWidth="1"/>
    <col min="2" max="2" width="48.85546875" customWidth="1"/>
    <col min="3" max="3" width="25.28515625" customWidth="1"/>
    <col min="4" max="10" width="23.5703125" customWidth="1"/>
  </cols>
  <sheetData>
    <row r="1" spans="1:10" ht="30" customHeight="1" x14ac:dyDescent="0.25">
      <c r="A1" s="1112"/>
      <c r="B1" s="1112" t="str">
        <f>INDEX(dms_Worksheet_List,MATCH(dms_Model,dms_Model_List))</f>
        <v>REGULATORY REPORTING STATEMENT</v>
      </c>
      <c r="C1" s="26"/>
      <c r="D1" s="26"/>
      <c r="E1" s="26"/>
      <c r="F1" s="26"/>
      <c r="G1" s="1502" t="s">
        <v>96</v>
      </c>
      <c r="H1" s="1503" t="s">
        <v>97</v>
      </c>
      <c r="I1" s="26"/>
      <c r="J1" s="26"/>
    </row>
    <row r="2" spans="1:10" ht="30" customHeight="1" x14ac:dyDescent="0.25">
      <c r="A2" s="1113"/>
      <c r="B2" s="1113" t="str">
        <f>dms_TradingNameFull</f>
        <v>Australian Gas Networks Limited (reporting data for SA)</v>
      </c>
      <c r="C2" s="26"/>
      <c r="D2" s="26"/>
      <c r="E2" s="26"/>
      <c r="F2" s="26"/>
      <c r="G2" s="1504" t="s">
        <v>98</v>
      </c>
      <c r="H2" s="1505" t="s">
        <v>92</v>
      </c>
      <c r="I2" s="26"/>
      <c r="J2" s="26"/>
    </row>
    <row r="3" spans="1:10" ht="30" customHeight="1" x14ac:dyDescent="0.25">
      <c r="A3" s="1115"/>
      <c r="B3" s="1115" t="str">
        <f ca="1">dms_Header_Span</f>
        <v>2024-25 to 2030-31</v>
      </c>
      <c r="C3" s="26"/>
      <c r="D3" s="26"/>
      <c r="E3" s="26"/>
      <c r="F3" s="26"/>
      <c r="G3" s="1506" t="s">
        <v>99</v>
      </c>
      <c r="H3" s="1507" t="s">
        <v>100</v>
      </c>
      <c r="I3" s="26"/>
      <c r="J3" s="26"/>
    </row>
    <row r="4" spans="1:10" ht="30" customHeight="1" x14ac:dyDescent="0.25">
      <c r="A4" s="621"/>
      <c r="B4" s="621" t="s">
        <v>187</v>
      </c>
      <c r="C4" s="621"/>
      <c r="D4" s="621"/>
      <c r="E4" s="621"/>
      <c r="F4" s="621"/>
      <c r="G4" s="1508" t="s">
        <v>102</v>
      </c>
      <c r="H4" s="1509" t="s">
        <v>103</v>
      </c>
      <c r="I4" s="621"/>
      <c r="J4" s="621"/>
    </row>
    <row r="5" spans="1:10" ht="30" customHeight="1" x14ac:dyDescent="0.25">
      <c r="B5" s="1492" t="s">
        <v>104</v>
      </c>
      <c r="C5" s="1492"/>
      <c r="D5" s="1492"/>
      <c r="E5" s="1492"/>
      <c r="F5" s="1492"/>
      <c r="G5" s="1492"/>
      <c r="H5" s="1492"/>
      <c r="I5" s="1492"/>
      <c r="J5" s="1492"/>
    </row>
    <row r="6" spans="1:10" ht="15.75" thickBot="1" x14ac:dyDescent="0.3">
      <c r="A6" s="253"/>
      <c r="B6" s="246"/>
      <c r="C6" s="253"/>
      <c r="D6" s="253"/>
      <c r="E6" s="253"/>
      <c r="F6" s="253"/>
      <c r="G6" s="253"/>
      <c r="H6" s="253"/>
      <c r="I6" s="253"/>
      <c r="J6" s="253"/>
    </row>
    <row r="7" spans="1:10" ht="27.95" customHeight="1" thickBot="1" x14ac:dyDescent="0.3">
      <c r="A7" s="253"/>
      <c r="B7" s="32" t="s">
        <v>188</v>
      </c>
      <c r="C7" s="32"/>
      <c r="D7" s="32"/>
      <c r="E7" s="32"/>
      <c r="F7" s="32"/>
      <c r="G7" s="32"/>
      <c r="H7" s="32"/>
      <c r="I7" s="32"/>
      <c r="J7" s="32"/>
    </row>
    <row r="8" spans="1:10" ht="27" customHeight="1" outlineLevel="1" thickBot="1" x14ac:dyDescent="0.3">
      <c r="A8" s="339"/>
      <c r="B8" s="247" t="s">
        <v>189</v>
      </c>
      <c r="C8" s="248"/>
      <c r="D8" s="248"/>
      <c r="E8" s="248"/>
      <c r="F8" s="248"/>
      <c r="G8" s="248"/>
      <c r="H8" s="248"/>
      <c r="I8" s="248"/>
      <c r="J8" s="248"/>
    </row>
    <row r="9" spans="1:10" ht="21.75" customHeight="1" outlineLevel="2" thickBot="1" x14ac:dyDescent="0.3">
      <c r="B9" s="250" t="s">
        <v>136</v>
      </c>
      <c r="C9" s="251"/>
      <c r="D9" s="251"/>
      <c r="E9" s="251"/>
      <c r="F9" s="251"/>
      <c r="G9" s="251"/>
      <c r="H9" s="251"/>
      <c r="I9" s="251"/>
      <c r="J9" s="252"/>
    </row>
    <row r="10" spans="1:10" ht="15" customHeight="1" outlineLevel="3" x14ac:dyDescent="0.25">
      <c r="A10" s="351"/>
      <c r="D10" s="1378" t="s">
        <v>24</v>
      </c>
      <c r="E10" s="1378"/>
      <c r="F10" s="1378"/>
      <c r="G10" s="1378"/>
      <c r="H10" s="1378"/>
      <c r="I10" s="1378"/>
      <c r="J10" s="1378"/>
    </row>
    <row r="11" spans="1:10" ht="15" customHeight="1" outlineLevel="3" x14ac:dyDescent="0.25">
      <c r="A11" s="351"/>
      <c r="D11" s="1378" t="str">
        <f ca="1">CONCATENATE("$, real ",dms_DollarReal)</f>
        <v>$, real June 2026</v>
      </c>
      <c r="E11" s="1378"/>
      <c r="F11" s="1378"/>
      <c r="G11" s="1378"/>
      <c r="H11" s="1378"/>
      <c r="I11" s="1378"/>
      <c r="J11" s="1378"/>
    </row>
    <row r="12" spans="1:10" ht="15.75" outlineLevel="3" thickBot="1" x14ac:dyDescent="0.3">
      <c r="B12" s="78"/>
      <c r="C12" s="319"/>
      <c r="D12" s="314" t="str">
        <f ca="1">dms_y1</f>
        <v>2024-25</v>
      </c>
      <c r="E12" s="314" t="str">
        <f ca="1">dms_y2</f>
        <v>2025-26</v>
      </c>
      <c r="F12" s="314" t="str">
        <f ca="1">dms_y3</f>
        <v>2026-27</v>
      </c>
      <c r="G12" s="314" t="str">
        <f ca="1">dms_y4</f>
        <v>2027-28</v>
      </c>
      <c r="H12" s="314" t="str">
        <f ca="1">dms_y5</f>
        <v>2028-29</v>
      </c>
      <c r="I12" s="314" t="str">
        <f ca="1">dms_y6</f>
        <v>2029-30</v>
      </c>
      <c r="J12" s="314" t="str">
        <f ca="1">dms_y7</f>
        <v>2030-31</v>
      </c>
    </row>
    <row r="13" spans="1:10" ht="21.75" customHeight="1" outlineLevel="3" x14ac:dyDescent="0.25">
      <c r="B13" s="560" t="s">
        <v>190</v>
      </c>
      <c r="C13" s="561"/>
      <c r="D13" s="561"/>
      <c r="E13" s="561"/>
      <c r="F13" s="561"/>
      <c r="G13" s="561"/>
      <c r="H13" s="561"/>
      <c r="I13" s="561"/>
      <c r="J13" s="562"/>
    </row>
    <row r="14" spans="1:10" outlineLevel="3" x14ac:dyDescent="0.25">
      <c r="B14" s="357" t="s">
        <v>191</v>
      </c>
      <c r="C14" s="356"/>
      <c r="D14" s="283"/>
      <c r="E14" s="407"/>
      <c r="F14" s="408"/>
      <c r="G14" s="282"/>
      <c r="H14" s="282"/>
      <c r="I14" s="282"/>
      <c r="J14" s="284"/>
    </row>
    <row r="15" spans="1:10" outlineLevel="3" x14ac:dyDescent="0.25">
      <c r="B15" s="357" t="s">
        <v>192</v>
      </c>
      <c r="C15" s="325"/>
      <c r="D15" s="283"/>
      <c r="E15" s="407"/>
      <c r="F15" s="408"/>
      <c r="G15" s="282"/>
      <c r="H15" s="282"/>
      <c r="I15" s="282"/>
      <c r="J15" s="284"/>
    </row>
    <row r="16" spans="1:10" outlineLevel="3" x14ac:dyDescent="0.25">
      <c r="B16" s="357" t="s">
        <v>193</v>
      </c>
      <c r="C16" s="325"/>
      <c r="D16" s="283"/>
      <c r="E16" s="407"/>
      <c r="F16" s="408"/>
      <c r="G16" s="282"/>
      <c r="H16" s="282"/>
      <c r="I16" s="282"/>
      <c r="J16" s="284"/>
    </row>
    <row r="17" spans="1:10" ht="15.75" outlineLevel="3" thickBot="1" x14ac:dyDescent="0.3">
      <c r="B17" s="549"/>
      <c r="C17" s="550" t="s">
        <v>120</v>
      </c>
      <c r="D17" s="550">
        <f>SUM(D14:D16)</f>
        <v>0</v>
      </c>
      <c r="E17" s="550">
        <f t="shared" ref="E17:J17" si="0">SUM(E14:E16)</f>
        <v>0</v>
      </c>
      <c r="F17" s="550">
        <f t="shared" si="0"/>
        <v>0</v>
      </c>
      <c r="G17" s="550">
        <f t="shared" si="0"/>
        <v>0</v>
      </c>
      <c r="H17" s="550">
        <f t="shared" si="0"/>
        <v>0</v>
      </c>
      <c r="I17" s="550">
        <f t="shared" si="0"/>
        <v>0</v>
      </c>
      <c r="J17" s="551">
        <f t="shared" si="0"/>
        <v>0</v>
      </c>
    </row>
    <row r="18" spans="1:10" ht="21.75" customHeight="1" outlineLevel="3" x14ac:dyDescent="0.25">
      <c r="B18" s="560" t="s">
        <v>194</v>
      </c>
      <c r="C18" s="561"/>
      <c r="D18" s="561"/>
      <c r="E18" s="561"/>
      <c r="F18" s="561"/>
      <c r="G18" s="561"/>
      <c r="H18" s="561"/>
      <c r="I18" s="561"/>
      <c r="J18" s="562"/>
    </row>
    <row r="19" spans="1:10" outlineLevel="3" x14ac:dyDescent="0.25">
      <c r="A19" s="253"/>
      <c r="B19" s="357" t="s">
        <v>191</v>
      </c>
      <c r="C19" s="356"/>
      <c r="D19" s="283"/>
      <c r="E19" s="407"/>
      <c r="F19" s="408"/>
      <c r="G19" s="282"/>
      <c r="H19" s="282"/>
      <c r="I19" s="282"/>
      <c r="J19" s="284"/>
    </row>
    <row r="20" spans="1:10" outlineLevel="3" x14ac:dyDescent="0.25">
      <c r="A20" s="253"/>
      <c r="B20" s="357" t="s">
        <v>192</v>
      </c>
      <c r="C20" s="325"/>
      <c r="D20" s="283"/>
      <c r="E20" s="407"/>
      <c r="F20" s="408"/>
      <c r="G20" s="282"/>
      <c r="H20" s="282"/>
      <c r="I20" s="282"/>
      <c r="J20" s="284"/>
    </row>
    <row r="21" spans="1:10" outlineLevel="3" x14ac:dyDescent="0.25">
      <c r="A21" s="253"/>
      <c r="B21" s="357" t="s">
        <v>193</v>
      </c>
      <c r="C21" s="325"/>
      <c r="D21" s="283"/>
      <c r="E21" s="407"/>
      <c r="F21" s="408"/>
      <c r="G21" s="282"/>
      <c r="H21" s="282"/>
      <c r="I21" s="282"/>
      <c r="J21" s="284"/>
    </row>
    <row r="22" spans="1:10" ht="15.75" outlineLevel="3" thickBot="1" x14ac:dyDescent="0.3">
      <c r="A22" s="253"/>
      <c r="B22" s="549"/>
      <c r="C22" s="550" t="s">
        <v>120</v>
      </c>
      <c r="D22" s="550">
        <f>SUM(D19:D21)</f>
        <v>0</v>
      </c>
      <c r="E22" s="550">
        <f t="shared" ref="E22" si="1">SUM(E19:E21)</f>
        <v>0</v>
      </c>
      <c r="F22" s="550">
        <f t="shared" ref="F22" si="2">SUM(F19:F21)</f>
        <v>0</v>
      </c>
      <c r="G22" s="550">
        <f t="shared" ref="G22" si="3">SUM(G19:G21)</f>
        <v>0</v>
      </c>
      <c r="H22" s="550">
        <f t="shared" ref="H22" si="4">SUM(H19:H21)</f>
        <v>0</v>
      </c>
      <c r="I22" s="550">
        <f t="shared" ref="I22" si="5">SUM(I19:I21)</f>
        <v>0</v>
      </c>
      <c r="J22" s="551">
        <f t="shared" ref="J22" si="6">SUM(J19:J21)</f>
        <v>0</v>
      </c>
    </row>
    <row r="23" spans="1:10" ht="21.75" customHeight="1" outlineLevel="3" x14ac:dyDescent="0.25">
      <c r="B23" s="560" t="s">
        <v>195</v>
      </c>
      <c r="C23" s="561"/>
      <c r="D23" s="561"/>
      <c r="E23" s="561"/>
      <c r="F23" s="561"/>
      <c r="G23" s="561"/>
      <c r="H23" s="561"/>
      <c r="I23" s="561"/>
      <c r="J23" s="562"/>
    </row>
    <row r="24" spans="1:10" outlineLevel="3" x14ac:dyDescent="0.25">
      <c r="A24" s="253"/>
      <c r="B24" s="357" t="s">
        <v>191</v>
      </c>
      <c r="C24" s="356"/>
      <c r="D24" s="283"/>
      <c r="E24" s="407"/>
      <c r="F24" s="408"/>
      <c r="G24" s="282"/>
      <c r="H24" s="282"/>
      <c r="I24" s="282"/>
      <c r="J24" s="284"/>
    </row>
    <row r="25" spans="1:10" outlineLevel="3" x14ac:dyDescent="0.25">
      <c r="A25" s="253"/>
      <c r="B25" s="357" t="s">
        <v>192</v>
      </c>
      <c r="C25" s="325"/>
      <c r="D25" s="283"/>
      <c r="E25" s="407"/>
      <c r="F25" s="408"/>
      <c r="G25" s="282"/>
      <c r="H25" s="282"/>
      <c r="I25" s="282"/>
      <c r="J25" s="284"/>
    </row>
    <row r="26" spans="1:10" outlineLevel="3" x14ac:dyDescent="0.25">
      <c r="A26" s="253"/>
      <c r="B26" s="357" t="s">
        <v>193</v>
      </c>
      <c r="C26" s="325"/>
      <c r="D26" s="283"/>
      <c r="E26" s="407"/>
      <c r="F26" s="408"/>
      <c r="G26" s="282"/>
      <c r="H26" s="282"/>
      <c r="I26" s="282"/>
      <c r="J26" s="284"/>
    </row>
    <row r="27" spans="1:10" ht="15.75" outlineLevel="3" thickBot="1" x14ac:dyDescent="0.3">
      <c r="A27" s="253"/>
      <c r="B27" s="549"/>
      <c r="C27" s="550" t="s">
        <v>120</v>
      </c>
      <c r="D27" s="550">
        <f>SUM(D24:D26)</f>
        <v>0</v>
      </c>
      <c r="E27" s="550">
        <f t="shared" ref="E27" si="7">SUM(E24:E26)</f>
        <v>0</v>
      </c>
      <c r="F27" s="550">
        <f t="shared" ref="F27" si="8">SUM(F24:F26)</f>
        <v>0</v>
      </c>
      <c r="G27" s="550">
        <f t="shared" ref="G27" si="9">SUM(G24:G26)</f>
        <v>0</v>
      </c>
      <c r="H27" s="550">
        <f t="shared" ref="H27" si="10">SUM(H24:H26)</f>
        <v>0</v>
      </c>
      <c r="I27" s="550">
        <f t="shared" ref="I27" si="11">SUM(I24:I26)</f>
        <v>0</v>
      </c>
      <c r="J27" s="551">
        <f t="shared" ref="J27" si="12">SUM(J24:J26)</f>
        <v>0</v>
      </c>
    </row>
    <row r="28" spans="1:10" ht="21.75" customHeight="1" outlineLevel="3" x14ac:dyDescent="0.25">
      <c r="B28" s="560" t="s">
        <v>196</v>
      </c>
      <c r="C28" s="561"/>
      <c r="D28" s="561"/>
      <c r="E28" s="561"/>
      <c r="F28" s="561"/>
      <c r="G28" s="561"/>
      <c r="H28" s="561"/>
      <c r="I28" s="561"/>
      <c r="J28" s="562"/>
    </row>
    <row r="29" spans="1:10" outlineLevel="3" x14ac:dyDescent="0.25">
      <c r="A29" s="253"/>
      <c r="B29" s="357" t="s">
        <v>191</v>
      </c>
      <c r="C29" s="356"/>
      <c r="D29" s="283"/>
      <c r="E29" s="407"/>
      <c r="F29" s="408"/>
      <c r="G29" s="282"/>
      <c r="H29" s="282"/>
      <c r="I29" s="282"/>
      <c r="J29" s="284"/>
    </row>
    <row r="30" spans="1:10" outlineLevel="3" x14ac:dyDescent="0.25">
      <c r="A30" s="253"/>
      <c r="B30" s="357" t="s">
        <v>192</v>
      </c>
      <c r="C30" s="325"/>
      <c r="D30" s="283"/>
      <c r="E30" s="407"/>
      <c r="F30" s="408"/>
      <c r="G30" s="282"/>
      <c r="H30" s="282"/>
      <c r="I30" s="282"/>
      <c r="J30" s="284"/>
    </row>
    <row r="31" spans="1:10" outlineLevel="3" x14ac:dyDescent="0.25">
      <c r="A31" s="253"/>
      <c r="B31" s="357" t="s">
        <v>193</v>
      </c>
      <c r="C31" s="325"/>
      <c r="D31" s="283"/>
      <c r="E31" s="407"/>
      <c r="F31" s="408"/>
      <c r="G31" s="282"/>
      <c r="H31" s="282"/>
      <c r="I31" s="282"/>
      <c r="J31" s="284"/>
    </row>
    <row r="32" spans="1:10" ht="15.75" outlineLevel="3" thickBot="1" x14ac:dyDescent="0.3">
      <c r="A32" s="253"/>
      <c r="B32" s="549"/>
      <c r="C32" s="550" t="s">
        <v>120</v>
      </c>
      <c r="D32" s="550">
        <f>SUM(D29:D31)</f>
        <v>0</v>
      </c>
      <c r="E32" s="550">
        <f t="shared" ref="E32" si="13">SUM(E29:E31)</f>
        <v>0</v>
      </c>
      <c r="F32" s="550">
        <f t="shared" ref="F32" si="14">SUM(F29:F31)</f>
        <v>0</v>
      </c>
      <c r="G32" s="550">
        <f t="shared" ref="G32" si="15">SUM(G29:G31)</f>
        <v>0</v>
      </c>
      <c r="H32" s="550">
        <f t="shared" ref="H32" si="16">SUM(H29:H31)</f>
        <v>0</v>
      </c>
      <c r="I32" s="550">
        <f t="shared" ref="I32" si="17">SUM(I29:I31)</f>
        <v>0</v>
      </c>
      <c r="J32" s="551">
        <f t="shared" ref="J32" si="18">SUM(J29:J31)</f>
        <v>0</v>
      </c>
    </row>
    <row r="33" spans="1:10" ht="21.75" customHeight="1" outlineLevel="3" x14ac:dyDescent="0.25">
      <c r="B33" s="560" t="s">
        <v>197</v>
      </c>
      <c r="C33" s="561"/>
      <c r="D33" s="561"/>
      <c r="E33" s="561"/>
      <c r="F33" s="561"/>
      <c r="G33" s="561"/>
      <c r="H33" s="561"/>
      <c r="I33" s="561"/>
      <c r="J33" s="562"/>
    </row>
    <row r="34" spans="1:10" outlineLevel="3" x14ac:dyDescent="0.25">
      <c r="A34" s="253"/>
      <c r="B34" s="357" t="s">
        <v>191</v>
      </c>
      <c r="C34" s="356"/>
      <c r="D34" s="283"/>
      <c r="E34" s="407"/>
      <c r="F34" s="408"/>
      <c r="G34" s="282"/>
      <c r="H34" s="282"/>
      <c r="I34" s="282"/>
      <c r="J34" s="284"/>
    </row>
    <row r="35" spans="1:10" outlineLevel="3" x14ac:dyDescent="0.25">
      <c r="A35" s="253"/>
      <c r="B35" s="357" t="s">
        <v>192</v>
      </c>
      <c r="C35" s="325"/>
      <c r="D35" s="283"/>
      <c r="E35" s="407"/>
      <c r="F35" s="408"/>
      <c r="G35" s="282"/>
      <c r="H35" s="282"/>
      <c r="I35" s="282"/>
      <c r="J35" s="284"/>
    </row>
    <row r="36" spans="1:10" outlineLevel="3" x14ac:dyDescent="0.25">
      <c r="A36" s="253"/>
      <c r="B36" s="571" t="s">
        <v>193</v>
      </c>
      <c r="C36" s="326"/>
      <c r="D36" s="321"/>
      <c r="E36" s="568"/>
      <c r="F36" s="410"/>
      <c r="G36" s="322"/>
      <c r="H36" s="322"/>
      <c r="I36" s="322"/>
      <c r="J36" s="569"/>
    </row>
    <row r="37" spans="1:10" ht="15.75" outlineLevel="3" thickBot="1" x14ac:dyDescent="0.3">
      <c r="A37" s="253"/>
      <c r="B37" s="549"/>
      <c r="C37" s="550" t="s">
        <v>120</v>
      </c>
      <c r="D37" s="550">
        <f>SUM(D34:D36)</f>
        <v>0</v>
      </c>
      <c r="E37" s="550">
        <f t="shared" ref="E37" si="19">SUM(E34:E36)</f>
        <v>0</v>
      </c>
      <c r="F37" s="550">
        <f t="shared" ref="F37" si="20">SUM(F34:F36)</f>
        <v>0</v>
      </c>
      <c r="G37" s="550">
        <f t="shared" ref="G37" si="21">SUM(G34:G36)</f>
        <v>0</v>
      </c>
      <c r="H37" s="550">
        <f t="shared" ref="H37" si="22">SUM(H34:H36)</f>
        <v>0</v>
      </c>
      <c r="I37" s="550">
        <f t="shared" ref="I37" si="23">SUM(I34:I36)</f>
        <v>0</v>
      </c>
      <c r="J37" s="551">
        <f t="shared" ref="J37" si="24">SUM(J34:J36)</f>
        <v>0</v>
      </c>
    </row>
    <row r="38" spans="1:10" ht="21.75" customHeight="1" outlineLevel="3" x14ac:dyDescent="0.25">
      <c r="B38" s="560" t="s">
        <v>198</v>
      </c>
      <c r="C38" s="561"/>
      <c r="D38" s="561"/>
      <c r="E38" s="561"/>
      <c r="F38" s="561"/>
      <c r="G38" s="561"/>
      <c r="H38" s="561"/>
      <c r="I38" s="561"/>
      <c r="J38" s="562"/>
    </row>
    <row r="39" spans="1:10" outlineLevel="3" x14ac:dyDescent="0.25">
      <c r="A39" s="253"/>
      <c r="B39" s="357" t="s">
        <v>191</v>
      </c>
      <c r="C39" s="356"/>
      <c r="D39" s="283"/>
      <c r="E39" s="407"/>
      <c r="F39" s="408"/>
      <c r="G39" s="282"/>
      <c r="H39" s="282"/>
      <c r="I39" s="282"/>
      <c r="J39" s="284"/>
    </row>
    <row r="40" spans="1:10" outlineLevel="3" x14ac:dyDescent="0.25">
      <c r="A40" s="253"/>
      <c r="B40" s="357" t="s">
        <v>192</v>
      </c>
      <c r="C40" s="325"/>
      <c r="D40" s="283"/>
      <c r="E40" s="407"/>
      <c r="F40" s="408"/>
      <c r="G40" s="282"/>
      <c r="H40" s="282"/>
      <c r="I40" s="282"/>
      <c r="J40" s="284"/>
    </row>
    <row r="41" spans="1:10" outlineLevel="3" x14ac:dyDescent="0.25">
      <c r="A41" s="253"/>
      <c r="B41" s="571" t="s">
        <v>193</v>
      </c>
      <c r="C41" s="326"/>
      <c r="D41" s="321"/>
      <c r="E41" s="568"/>
      <c r="F41" s="410"/>
      <c r="G41" s="322"/>
      <c r="H41" s="322"/>
      <c r="I41" s="322"/>
      <c r="J41" s="569"/>
    </row>
    <row r="42" spans="1:10" ht="15.75" outlineLevel="3" thickBot="1" x14ac:dyDescent="0.3">
      <c r="A42" s="253"/>
      <c r="B42" s="549"/>
      <c r="C42" s="550" t="s">
        <v>120</v>
      </c>
      <c r="D42" s="550">
        <f>SUM(D39:D41)</f>
        <v>0</v>
      </c>
      <c r="E42" s="550">
        <f t="shared" ref="E42:J42" si="25">SUM(E39:E41)</f>
        <v>0</v>
      </c>
      <c r="F42" s="550">
        <f t="shared" si="25"/>
        <v>0</v>
      </c>
      <c r="G42" s="550">
        <f t="shared" si="25"/>
        <v>0</v>
      </c>
      <c r="H42" s="550">
        <f t="shared" si="25"/>
        <v>0</v>
      </c>
      <c r="I42" s="550">
        <f t="shared" si="25"/>
        <v>0</v>
      </c>
      <c r="J42" s="551">
        <f t="shared" si="25"/>
        <v>0</v>
      </c>
    </row>
    <row r="43" spans="1:10" ht="21" customHeight="1" outlineLevel="3" thickBot="1" x14ac:dyDescent="0.3">
      <c r="A43" s="253"/>
      <c r="B43" s="295"/>
      <c r="C43" s="296" t="s">
        <v>146</v>
      </c>
      <c r="D43" s="296">
        <f>SUM(D37,D32,D27,D22,D17)</f>
        <v>0</v>
      </c>
      <c r="E43" s="296">
        <f t="shared" ref="E43:J43" si="26">SUM(E37,E32,E27,E22,E17)</f>
        <v>0</v>
      </c>
      <c r="F43" s="296">
        <f t="shared" si="26"/>
        <v>0</v>
      </c>
      <c r="G43" s="296">
        <f t="shared" si="26"/>
        <v>0</v>
      </c>
      <c r="H43" s="296">
        <f t="shared" si="26"/>
        <v>0</v>
      </c>
      <c r="I43" s="296">
        <f t="shared" si="26"/>
        <v>0</v>
      </c>
      <c r="J43" s="297">
        <f t="shared" si="26"/>
        <v>0</v>
      </c>
    </row>
    <row r="44" spans="1:10" ht="15.75" outlineLevel="2" thickBot="1" x14ac:dyDescent="0.3"/>
    <row r="45" spans="1:10" ht="21.75" customHeight="1" outlineLevel="2" thickBot="1" x14ac:dyDescent="0.3">
      <c r="B45" s="250" t="s">
        <v>138</v>
      </c>
      <c r="C45" s="251"/>
      <c r="D45" s="251"/>
      <c r="E45" s="251"/>
      <c r="F45" s="251"/>
      <c r="G45" s="251"/>
      <c r="H45" s="251"/>
      <c r="I45" s="251"/>
      <c r="J45" s="252"/>
    </row>
    <row r="46" spans="1:10" ht="15" customHeight="1" outlineLevel="3" x14ac:dyDescent="0.25">
      <c r="A46" s="351"/>
      <c r="D46" s="1378" t="s">
        <v>24</v>
      </c>
      <c r="E46" s="1378"/>
      <c r="F46" s="1378"/>
      <c r="G46" s="1378"/>
      <c r="H46" s="1378"/>
      <c r="I46" s="1378"/>
      <c r="J46" s="1378"/>
    </row>
    <row r="47" spans="1:10" ht="15" customHeight="1" outlineLevel="3" x14ac:dyDescent="0.25">
      <c r="A47" s="351"/>
      <c r="D47" s="1378" t="str">
        <f ca="1">CONCATENATE("$, real ",dms_DollarReal)</f>
        <v>$, real June 2026</v>
      </c>
      <c r="E47" s="1378"/>
      <c r="F47" s="1378"/>
      <c r="G47" s="1378"/>
      <c r="H47" s="1378"/>
      <c r="I47" s="1378"/>
      <c r="J47" s="1378"/>
    </row>
    <row r="48" spans="1:10" ht="15.75" outlineLevel="3" thickBot="1" x14ac:dyDescent="0.3">
      <c r="B48" s="78"/>
      <c r="C48" s="319"/>
      <c r="D48" s="314" t="str">
        <f ca="1">dms_y1</f>
        <v>2024-25</v>
      </c>
      <c r="E48" s="314" t="str">
        <f ca="1">dms_y2</f>
        <v>2025-26</v>
      </c>
      <c r="F48" s="314" t="str">
        <f ca="1">dms_y3</f>
        <v>2026-27</v>
      </c>
      <c r="G48" s="314" t="str">
        <f ca="1">dms_y4</f>
        <v>2027-28</v>
      </c>
      <c r="H48" s="314" t="str">
        <f ca="1">dms_y5</f>
        <v>2028-29</v>
      </c>
      <c r="I48" s="314" t="str">
        <f ca="1">dms_y6</f>
        <v>2029-30</v>
      </c>
      <c r="J48" s="314" t="str">
        <f ca="1">dms_y7</f>
        <v>2030-31</v>
      </c>
    </row>
    <row r="49" spans="1:10" ht="21.75" customHeight="1" outlineLevel="3" x14ac:dyDescent="0.25">
      <c r="B49" s="560" t="s">
        <v>190</v>
      </c>
      <c r="C49" s="561"/>
      <c r="D49" s="561"/>
      <c r="E49" s="561"/>
      <c r="F49" s="561"/>
      <c r="G49" s="561"/>
      <c r="H49" s="561"/>
      <c r="I49" s="561"/>
      <c r="J49" s="562"/>
    </row>
    <row r="50" spans="1:10" outlineLevel="3" x14ac:dyDescent="0.25">
      <c r="A50" s="253"/>
      <c r="B50" s="357" t="s">
        <v>191</v>
      </c>
      <c r="C50" s="356"/>
      <c r="D50" s="1584"/>
      <c r="E50" s="1585"/>
      <c r="F50" s="1586"/>
      <c r="G50" s="1587"/>
      <c r="H50" s="1587"/>
      <c r="I50" s="1587"/>
      <c r="J50" s="1588"/>
    </row>
    <row r="51" spans="1:10" outlineLevel="3" x14ac:dyDescent="0.25">
      <c r="A51" s="253"/>
      <c r="B51" s="357" t="s">
        <v>192</v>
      </c>
      <c r="C51" s="325"/>
      <c r="D51" s="1589"/>
      <c r="E51" s="1547"/>
      <c r="F51" s="1548"/>
      <c r="G51" s="1549"/>
      <c r="H51" s="1549"/>
      <c r="I51" s="1549"/>
      <c r="J51" s="1550"/>
    </row>
    <row r="52" spans="1:10" outlineLevel="3" x14ac:dyDescent="0.25">
      <c r="A52" s="253"/>
      <c r="B52" s="357" t="s">
        <v>193</v>
      </c>
      <c r="C52" s="325"/>
      <c r="D52" s="1589"/>
      <c r="E52" s="1547"/>
      <c r="F52" s="1548"/>
      <c r="G52" s="1549"/>
      <c r="H52" s="1549"/>
      <c r="I52" s="1549"/>
      <c r="J52" s="1550"/>
    </row>
    <row r="53" spans="1:10" ht="15.75" outlineLevel="3" thickBot="1" x14ac:dyDescent="0.3">
      <c r="A53" s="253"/>
      <c r="B53" s="549"/>
      <c r="C53" s="550" t="s">
        <v>120</v>
      </c>
      <c r="D53" s="549">
        <f>SUM(D50:D52)</f>
        <v>0</v>
      </c>
      <c r="E53" s="550">
        <f t="shared" ref="E53" si="27">SUM(E50:E52)</f>
        <v>0</v>
      </c>
      <c r="F53" s="550">
        <f t="shared" ref="F53" si="28">SUM(F50:F52)</f>
        <v>0</v>
      </c>
      <c r="G53" s="550">
        <f t="shared" ref="G53" si="29">SUM(G50:G52)</f>
        <v>0</v>
      </c>
      <c r="H53" s="550">
        <f t="shared" ref="H53" si="30">SUM(H50:H52)</f>
        <v>0</v>
      </c>
      <c r="I53" s="550">
        <f t="shared" ref="I53" si="31">SUM(I50:I52)</f>
        <v>0</v>
      </c>
      <c r="J53" s="551">
        <f t="shared" ref="J53" si="32">SUM(J50:J52)</f>
        <v>0</v>
      </c>
    </row>
    <row r="54" spans="1:10" ht="21.75" customHeight="1" outlineLevel="3" x14ac:dyDescent="0.25">
      <c r="B54" s="560" t="s">
        <v>194</v>
      </c>
      <c r="C54" s="561"/>
      <c r="D54" s="1590"/>
      <c r="E54" s="561"/>
      <c r="F54" s="561"/>
      <c r="G54" s="561"/>
      <c r="H54" s="561"/>
      <c r="I54" s="561"/>
      <c r="J54" s="562"/>
    </row>
    <row r="55" spans="1:10" outlineLevel="3" x14ac:dyDescent="0.25">
      <c r="A55" s="253"/>
      <c r="B55" s="357" t="s">
        <v>191</v>
      </c>
      <c r="C55" s="356"/>
      <c r="D55" s="1589"/>
      <c r="E55" s="1547"/>
      <c r="F55" s="1548"/>
      <c r="G55" s="1549"/>
      <c r="H55" s="1549"/>
      <c r="I55" s="1549"/>
      <c r="J55" s="1550"/>
    </row>
    <row r="56" spans="1:10" outlineLevel="3" x14ac:dyDescent="0.25">
      <c r="A56" s="253"/>
      <c r="B56" s="357" t="s">
        <v>192</v>
      </c>
      <c r="C56" s="325"/>
      <c r="D56" s="1589"/>
      <c r="E56" s="1547"/>
      <c r="F56" s="1548"/>
      <c r="G56" s="1549"/>
      <c r="H56" s="1549"/>
      <c r="I56" s="1549"/>
      <c r="J56" s="1550"/>
    </row>
    <row r="57" spans="1:10" outlineLevel="3" x14ac:dyDescent="0.25">
      <c r="A57" s="253"/>
      <c r="B57" s="357" t="s">
        <v>193</v>
      </c>
      <c r="C57" s="325"/>
      <c r="D57" s="1589"/>
      <c r="E57" s="1547"/>
      <c r="F57" s="1548"/>
      <c r="G57" s="1549"/>
      <c r="H57" s="1549"/>
      <c r="I57" s="1549"/>
      <c r="J57" s="1550"/>
    </row>
    <row r="58" spans="1:10" ht="15.75" outlineLevel="3" thickBot="1" x14ac:dyDescent="0.3">
      <c r="A58" s="253"/>
      <c r="B58" s="549"/>
      <c r="C58" s="550" t="s">
        <v>120</v>
      </c>
      <c r="D58" s="549">
        <f>SUM(D55:D57)</f>
        <v>0</v>
      </c>
      <c r="E58" s="550">
        <f t="shared" ref="E58" si="33">SUM(E55:E57)</f>
        <v>0</v>
      </c>
      <c r="F58" s="550">
        <f t="shared" ref="F58" si="34">SUM(F55:F57)</f>
        <v>0</v>
      </c>
      <c r="G58" s="550">
        <f t="shared" ref="G58" si="35">SUM(G55:G57)</f>
        <v>0</v>
      </c>
      <c r="H58" s="550">
        <f t="shared" ref="H58" si="36">SUM(H55:H57)</f>
        <v>0</v>
      </c>
      <c r="I58" s="550">
        <f t="shared" ref="I58" si="37">SUM(I55:I57)</f>
        <v>0</v>
      </c>
      <c r="J58" s="551">
        <f t="shared" ref="J58" si="38">SUM(J55:J57)</f>
        <v>0</v>
      </c>
    </row>
    <row r="59" spans="1:10" ht="21.75" customHeight="1" outlineLevel="3" x14ac:dyDescent="0.25">
      <c r="B59" s="560" t="s">
        <v>195</v>
      </c>
      <c r="C59" s="561"/>
      <c r="D59" s="1590"/>
      <c r="E59" s="561"/>
      <c r="F59" s="561"/>
      <c r="G59" s="561"/>
      <c r="H59" s="561"/>
      <c r="I59" s="561"/>
      <c r="J59" s="562"/>
    </row>
    <row r="60" spans="1:10" outlineLevel="3" x14ac:dyDescent="0.25">
      <c r="A60" s="253"/>
      <c r="B60" s="357" t="s">
        <v>191</v>
      </c>
      <c r="C60" s="356"/>
      <c r="D60" s="1589"/>
      <c r="E60" s="1547"/>
      <c r="F60" s="1548"/>
      <c r="G60" s="1549"/>
      <c r="H60" s="1549"/>
      <c r="I60" s="1549"/>
      <c r="J60" s="1550"/>
    </row>
    <row r="61" spans="1:10" outlineLevel="3" x14ac:dyDescent="0.25">
      <c r="A61" s="253"/>
      <c r="B61" s="357" t="s">
        <v>192</v>
      </c>
      <c r="C61" s="325"/>
      <c r="D61" s="1589"/>
      <c r="E61" s="1547"/>
      <c r="F61" s="1548"/>
      <c r="G61" s="1549"/>
      <c r="H61" s="1549"/>
      <c r="I61" s="1549"/>
      <c r="J61" s="1550"/>
    </row>
    <row r="62" spans="1:10" outlineLevel="3" x14ac:dyDescent="0.25">
      <c r="A62" s="253"/>
      <c r="B62" s="357" t="s">
        <v>193</v>
      </c>
      <c r="C62" s="325"/>
      <c r="D62" s="1589"/>
      <c r="E62" s="1547"/>
      <c r="F62" s="1548"/>
      <c r="G62" s="1549"/>
      <c r="H62" s="1549"/>
      <c r="I62" s="1549"/>
      <c r="J62" s="1550"/>
    </row>
    <row r="63" spans="1:10" ht="15.75" outlineLevel="3" thickBot="1" x14ac:dyDescent="0.3">
      <c r="A63" s="253"/>
      <c r="B63" s="549"/>
      <c r="C63" s="550" t="s">
        <v>120</v>
      </c>
      <c r="D63" s="549">
        <f>SUM(D60:D62)</f>
        <v>0</v>
      </c>
      <c r="E63" s="550">
        <f t="shared" ref="E63" si="39">SUM(E60:E62)</f>
        <v>0</v>
      </c>
      <c r="F63" s="550">
        <f t="shared" ref="F63" si="40">SUM(F60:F62)</f>
        <v>0</v>
      </c>
      <c r="G63" s="550">
        <f t="shared" ref="G63" si="41">SUM(G60:G62)</f>
        <v>0</v>
      </c>
      <c r="H63" s="550">
        <f t="shared" ref="H63" si="42">SUM(H60:H62)</f>
        <v>0</v>
      </c>
      <c r="I63" s="550">
        <f t="shared" ref="I63" si="43">SUM(I60:I62)</f>
        <v>0</v>
      </c>
      <c r="J63" s="551">
        <f t="shared" ref="J63" si="44">SUM(J60:J62)</f>
        <v>0</v>
      </c>
    </row>
    <row r="64" spans="1:10" ht="21.75" customHeight="1" outlineLevel="3" x14ac:dyDescent="0.25">
      <c r="B64" s="560" t="s">
        <v>196</v>
      </c>
      <c r="C64" s="561"/>
      <c r="D64" s="1590"/>
      <c r="E64" s="561"/>
      <c r="F64" s="561"/>
      <c r="G64" s="561"/>
      <c r="H64" s="561"/>
      <c r="I64" s="561"/>
      <c r="J64" s="562"/>
    </row>
    <row r="65" spans="1:10" outlineLevel="3" x14ac:dyDescent="0.25">
      <c r="A65" s="253"/>
      <c r="B65" s="357" t="s">
        <v>191</v>
      </c>
      <c r="C65" s="356"/>
      <c r="D65" s="1589"/>
      <c r="E65" s="1547"/>
      <c r="F65" s="1548"/>
      <c r="G65" s="1549"/>
      <c r="H65" s="1549"/>
      <c r="I65" s="1549"/>
      <c r="J65" s="1550"/>
    </row>
    <row r="66" spans="1:10" outlineLevel="3" x14ac:dyDescent="0.25">
      <c r="A66" s="253"/>
      <c r="B66" s="357" t="s">
        <v>192</v>
      </c>
      <c r="C66" s="325"/>
      <c r="D66" s="1589"/>
      <c r="E66" s="1547"/>
      <c r="F66" s="1548"/>
      <c r="G66" s="1549"/>
      <c r="H66" s="1549"/>
      <c r="I66" s="1549"/>
      <c r="J66" s="1550"/>
    </row>
    <row r="67" spans="1:10" outlineLevel="3" x14ac:dyDescent="0.25">
      <c r="A67" s="253"/>
      <c r="B67" s="357" t="s">
        <v>193</v>
      </c>
      <c r="C67" s="325"/>
      <c r="D67" s="1589"/>
      <c r="E67" s="1547"/>
      <c r="F67" s="1548"/>
      <c r="G67" s="1549"/>
      <c r="H67" s="1549"/>
      <c r="I67" s="1549"/>
      <c r="J67" s="1550"/>
    </row>
    <row r="68" spans="1:10" ht="15.75" outlineLevel="3" thickBot="1" x14ac:dyDescent="0.3">
      <c r="A68" s="253"/>
      <c r="B68" s="549"/>
      <c r="C68" s="550" t="s">
        <v>120</v>
      </c>
      <c r="D68" s="549">
        <f>SUM(D65:D67)</f>
        <v>0</v>
      </c>
      <c r="E68" s="550">
        <f t="shared" ref="E68" si="45">SUM(E65:E67)</f>
        <v>0</v>
      </c>
      <c r="F68" s="550">
        <f t="shared" ref="F68" si="46">SUM(F65:F67)</f>
        <v>0</v>
      </c>
      <c r="G68" s="550">
        <f t="shared" ref="G68" si="47">SUM(G65:G67)</f>
        <v>0</v>
      </c>
      <c r="H68" s="550">
        <f t="shared" ref="H68" si="48">SUM(H65:H67)</f>
        <v>0</v>
      </c>
      <c r="I68" s="550">
        <f t="shared" ref="I68" si="49">SUM(I65:I67)</f>
        <v>0</v>
      </c>
      <c r="J68" s="551">
        <f t="shared" ref="J68" si="50">SUM(J65:J67)</f>
        <v>0</v>
      </c>
    </row>
    <row r="69" spans="1:10" ht="21.75" customHeight="1" outlineLevel="3" x14ac:dyDescent="0.25">
      <c r="B69" s="560" t="s">
        <v>197</v>
      </c>
      <c r="C69" s="561"/>
      <c r="D69" s="1590"/>
      <c r="E69" s="561"/>
      <c r="F69" s="561"/>
      <c r="G69" s="561"/>
      <c r="H69" s="561"/>
      <c r="I69" s="561"/>
      <c r="J69" s="562"/>
    </row>
    <row r="70" spans="1:10" outlineLevel="3" x14ac:dyDescent="0.25">
      <c r="A70" s="253"/>
      <c r="B70" s="357" t="s">
        <v>191</v>
      </c>
      <c r="C70" s="356"/>
      <c r="D70" s="1589"/>
      <c r="E70" s="1547"/>
      <c r="F70" s="1548"/>
      <c r="G70" s="1549"/>
      <c r="H70" s="1549"/>
      <c r="I70" s="1549"/>
      <c r="J70" s="1550"/>
    </row>
    <row r="71" spans="1:10" outlineLevel="3" x14ac:dyDescent="0.25">
      <c r="A71" s="253"/>
      <c r="B71" s="357" t="s">
        <v>192</v>
      </c>
      <c r="C71" s="325"/>
      <c r="D71" s="1589"/>
      <c r="E71" s="1547"/>
      <c r="F71" s="1548"/>
      <c r="G71" s="1549"/>
      <c r="H71" s="1549"/>
      <c r="I71" s="1549"/>
      <c r="J71" s="1550"/>
    </row>
    <row r="72" spans="1:10" outlineLevel="3" x14ac:dyDescent="0.25">
      <c r="A72" s="253"/>
      <c r="B72" s="571" t="s">
        <v>193</v>
      </c>
      <c r="C72" s="326"/>
      <c r="D72" s="1591"/>
      <c r="E72" s="1551"/>
      <c r="F72" s="1552"/>
      <c r="G72" s="1553"/>
      <c r="H72" s="1553"/>
      <c r="I72" s="1553"/>
      <c r="J72" s="1554"/>
    </row>
    <row r="73" spans="1:10" ht="15.75" outlineLevel="3" thickBot="1" x14ac:dyDescent="0.3">
      <c r="A73" s="253"/>
      <c r="B73" s="549"/>
      <c r="C73" s="550" t="s">
        <v>120</v>
      </c>
      <c r="D73" s="549">
        <f>SUM(D70:D72)</f>
        <v>0</v>
      </c>
      <c r="E73" s="550">
        <f t="shared" ref="E73" si="51">SUM(E70:E72)</f>
        <v>0</v>
      </c>
      <c r="F73" s="550">
        <f t="shared" ref="F73" si="52">SUM(F70:F72)</f>
        <v>0</v>
      </c>
      <c r="G73" s="550">
        <f t="shared" ref="G73" si="53">SUM(G70:G72)</f>
        <v>0</v>
      </c>
      <c r="H73" s="550">
        <f t="shared" ref="H73" si="54">SUM(H70:H72)</f>
        <v>0</v>
      </c>
      <c r="I73" s="550">
        <f t="shared" ref="I73" si="55">SUM(I70:I72)</f>
        <v>0</v>
      </c>
      <c r="J73" s="551">
        <f t="shared" ref="J73" si="56">SUM(J70:J72)</f>
        <v>0</v>
      </c>
    </row>
    <row r="74" spans="1:10" ht="21.75" customHeight="1" outlineLevel="3" x14ac:dyDescent="0.25">
      <c r="B74" s="560" t="s">
        <v>198</v>
      </c>
      <c r="C74" s="561"/>
      <c r="D74" s="1590"/>
      <c r="E74" s="561"/>
      <c r="F74" s="561"/>
      <c r="G74" s="561"/>
      <c r="H74" s="561"/>
      <c r="I74" s="561"/>
      <c r="J74" s="562"/>
    </row>
    <row r="75" spans="1:10" outlineLevel="3" x14ac:dyDescent="0.25">
      <c r="A75" s="253"/>
      <c r="B75" s="357" t="s">
        <v>191</v>
      </c>
      <c r="C75" s="356"/>
      <c r="D75" s="1589"/>
      <c r="E75" s="1547"/>
      <c r="F75" s="1548"/>
      <c r="G75" s="1549"/>
      <c r="H75" s="1549"/>
      <c r="I75" s="1549"/>
      <c r="J75" s="1550"/>
    </row>
    <row r="76" spans="1:10" outlineLevel="3" x14ac:dyDescent="0.25">
      <c r="A76" s="253"/>
      <c r="B76" s="357" t="s">
        <v>192</v>
      </c>
      <c r="C76" s="325"/>
      <c r="D76" s="1589"/>
      <c r="E76" s="1547"/>
      <c r="F76" s="1548"/>
      <c r="G76" s="1549"/>
      <c r="H76" s="1549"/>
      <c r="I76" s="1549"/>
      <c r="J76" s="1550"/>
    </row>
    <row r="77" spans="1:10" outlineLevel="3" x14ac:dyDescent="0.25">
      <c r="A77" s="253"/>
      <c r="B77" s="571" t="s">
        <v>193</v>
      </c>
      <c r="C77" s="326"/>
      <c r="D77" s="1591"/>
      <c r="E77" s="1551"/>
      <c r="F77" s="1552"/>
      <c r="G77" s="1553"/>
      <c r="H77" s="1553"/>
      <c r="I77" s="1553"/>
      <c r="J77" s="1554"/>
    </row>
    <row r="78" spans="1:10" ht="15.75" outlineLevel="3" thickBot="1" x14ac:dyDescent="0.3">
      <c r="A78" s="253"/>
      <c r="B78" s="549"/>
      <c r="C78" s="550" t="s">
        <v>120</v>
      </c>
      <c r="D78" s="549">
        <f>SUM(D75:D77)</f>
        <v>0</v>
      </c>
      <c r="E78" s="550">
        <f t="shared" ref="E78:J78" si="57">SUM(E75:E77)</f>
        <v>0</v>
      </c>
      <c r="F78" s="550">
        <f t="shared" si="57"/>
        <v>0</v>
      </c>
      <c r="G78" s="550">
        <f t="shared" si="57"/>
        <v>0</v>
      </c>
      <c r="H78" s="550">
        <f t="shared" si="57"/>
        <v>0</v>
      </c>
      <c r="I78" s="550">
        <f t="shared" si="57"/>
        <v>0</v>
      </c>
      <c r="J78" s="551">
        <f t="shared" si="57"/>
        <v>0</v>
      </c>
    </row>
    <row r="79" spans="1:10" ht="15.75" outlineLevel="3" thickBot="1" x14ac:dyDescent="0.3">
      <c r="A79" s="253"/>
      <c r="B79" s="323"/>
      <c r="C79" s="2" t="s">
        <v>146</v>
      </c>
      <c r="D79" s="323">
        <f>SUM(D73,D68,D63,D58,D53)</f>
        <v>0</v>
      </c>
      <c r="E79" s="2">
        <f t="shared" ref="E79" si="58">SUM(E73,E68,E63,E58,E53)</f>
        <v>0</v>
      </c>
      <c r="F79" s="2">
        <f t="shared" ref="F79" si="59">SUM(F73,F68,F63,F58,F53)</f>
        <v>0</v>
      </c>
      <c r="G79" s="2">
        <f t="shared" ref="G79" si="60">SUM(G73,G68,G63,G58,G53)</f>
        <v>0</v>
      </c>
      <c r="H79" s="2">
        <f t="shared" ref="H79" si="61">SUM(H73,H68,H63,H58,H53)</f>
        <v>0</v>
      </c>
      <c r="I79" s="2">
        <f t="shared" ref="I79" si="62">SUM(I73,I68,I63,I58,I53)</f>
        <v>0</v>
      </c>
      <c r="J79" s="563">
        <f t="shared" ref="J79" si="63">SUM(J73,J68,J63,J58,J53)</f>
        <v>0</v>
      </c>
    </row>
    <row r="80" spans="1:10" ht="15" customHeight="1" outlineLevel="2" thickBot="1" x14ac:dyDescent="0.3"/>
    <row r="81" spans="1:10" ht="21.75" customHeight="1" outlineLevel="2" thickBot="1" x14ac:dyDescent="0.3">
      <c r="B81" s="250" t="s">
        <v>139</v>
      </c>
      <c r="C81" s="251"/>
      <c r="D81" s="251"/>
      <c r="E81" s="251"/>
      <c r="F81" s="251"/>
      <c r="G81" s="251"/>
      <c r="H81" s="251"/>
      <c r="I81" s="251"/>
      <c r="J81" s="252"/>
    </row>
    <row r="82" spans="1:10" ht="15" customHeight="1" outlineLevel="3" x14ac:dyDescent="0.25">
      <c r="A82" s="351"/>
      <c r="D82" s="1378" t="s">
        <v>24</v>
      </c>
      <c r="E82" s="1378"/>
      <c r="F82" s="1378"/>
      <c r="G82" s="1378"/>
      <c r="H82" s="1378"/>
      <c r="I82" s="1378"/>
      <c r="J82" s="1378"/>
    </row>
    <row r="83" spans="1:10" ht="15" customHeight="1" outlineLevel="3" x14ac:dyDescent="0.25">
      <c r="A83" s="351"/>
      <c r="D83" s="1378" t="str">
        <f ca="1">CONCATENATE("$, real ",dms_DollarReal)</f>
        <v>$, real June 2026</v>
      </c>
      <c r="E83" s="1378"/>
      <c r="F83" s="1378"/>
      <c r="G83" s="1378"/>
      <c r="H83" s="1378"/>
      <c r="I83" s="1378"/>
      <c r="J83" s="1378"/>
    </row>
    <row r="84" spans="1:10" ht="15.75" outlineLevel="3" thickBot="1" x14ac:dyDescent="0.3">
      <c r="B84" s="78"/>
      <c r="C84" s="319"/>
      <c r="D84" s="314" t="str">
        <f ca="1">dms_y1</f>
        <v>2024-25</v>
      </c>
      <c r="E84" s="314" t="str">
        <f ca="1">dms_y2</f>
        <v>2025-26</v>
      </c>
      <c r="F84" s="314" t="str">
        <f ca="1">dms_y3</f>
        <v>2026-27</v>
      </c>
      <c r="G84" s="314" t="str">
        <f ca="1">dms_y4</f>
        <v>2027-28</v>
      </c>
      <c r="H84" s="314" t="str">
        <f ca="1">dms_y5</f>
        <v>2028-29</v>
      </c>
      <c r="I84" s="314" t="str">
        <f ca="1">dms_y6</f>
        <v>2029-30</v>
      </c>
      <c r="J84" s="314" t="str">
        <f ca="1">dms_y7</f>
        <v>2030-31</v>
      </c>
    </row>
    <row r="85" spans="1:10" ht="21.75" customHeight="1" outlineLevel="3" x14ac:dyDescent="0.25">
      <c r="B85" s="560" t="s">
        <v>190</v>
      </c>
      <c r="C85" s="561"/>
      <c r="D85" s="561"/>
      <c r="E85" s="561"/>
      <c r="F85" s="561"/>
      <c r="G85" s="561"/>
      <c r="H85" s="561"/>
      <c r="I85" s="561"/>
      <c r="J85" s="562"/>
    </row>
    <row r="86" spans="1:10" outlineLevel="3" x14ac:dyDescent="0.25">
      <c r="A86" s="253"/>
      <c r="B86" s="357" t="s">
        <v>191</v>
      </c>
      <c r="C86" s="356"/>
      <c r="D86" s="283"/>
      <c r="E86" s="407"/>
      <c r="F86" s="408"/>
      <c r="G86" s="282"/>
      <c r="H86" s="282"/>
      <c r="I86" s="282"/>
      <c r="J86" s="284"/>
    </row>
    <row r="87" spans="1:10" outlineLevel="3" x14ac:dyDescent="0.25">
      <c r="A87" s="253"/>
      <c r="B87" s="357" t="s">
        <v>192</v>
      </c>
      <c r="C87" s="325"/>
      <c r="D87" s="283"/>
      <c r="E87" s="407"/>
      <c r="F87" s="408"/>
      <c r="G87" s="282"/>
      <c r="H87" s="282"/>
      <c r="I87" s="282"/>
      <c r="J87" s="284"/>
    </row>
    <row r="88" spans="1:10" outlineLevel="3" x14ac:dyDescent="0.25">
      <c r="A88" s="253"/>
      <c r="B88" s="357" t="s">
        <v>193</v>
      </c>
      <c r="C88" s="325"/>
      <c r="D88" s="283"/>
      <c r="E88" s="407"/>
      <c r="F88" s="408"/>
      <c r="G88" s="282"/>
      <c r="H88" s="282"/>
      <c r="I88" s="282"/>
      <c r="J88" s="284"/>
    </row>
    <row r="89" spans="1:10" ht="15.75" outlineLevel="3" thickBot="1" x14ac:dyDescent="0.3">
      <c r="A89" s="253"/>
      <c r="B89" s="549"/>
      <c r="C89" s="550" t="s">
        <v>120</v>
      </c>
      <c r="D89" s="550">
        <f>SUM(D86:D88)</f>
        <v>0</v>
      </c>
      <c r="E89" s="550">
        <f t="shared" ref="E89" si="64">SUM(E86:E88)</f>
        <v>0</v>
      </c>
      <c r="F89" s="550">
        <f t="shared" ref="F89" si="65">SUM(F86:F88)</f>
        <v>0</v>
      </c>
      <c r="G89" s="550">
        <f t="shared" ref="G89" si="66">SUM(G86:G88)</f>
        <v>0</v>
      </c>
      <c r="H89" s="550">
        <f t="shared" ref="H89" si="67">SUM(H86:H88)</f>
        <v>0</v>
      </c>
      <c r="I89" s="550">
        <f t="shared" ref="I89" si="68">SUM(I86:I88)</f>
        <v>0</v>
      </c>
      <c r="J89" s="551">
        <f t="shared" ref="J89" si="69">SUM(J86:J88)</f>
        <v>0</v>
      </c>
    </row>
    <row r="90" spans="1:10" ht="21.75" customHeight="1" outlineLevel="3" x14ac:dyDescent="0.25">
      <c r="B90" s="560" t="s">
        <v>194</v>
      </c>
      <c r="C90" s="561"/>
      <c r="D90" s="561"/>
      <c r="E90" s="561"/>
      <c r="F90" s="561"/>
      <c r="G90" s="561"/>
      <c r="H90" s="561"/>
      <c r="I90" s="561"/>
      <c r="J90" s="562"/>
    </row>
    <row r="91" spans="1:10" outlineLevel="3" x14ac:dyDescent="0.25">
      <c r="A91" s="253"/>
      <c r="B91" s="357" t="s">
        <v>191</v>
      </c>
      <c r="C91" s="356"/>
      <c r="D91" s="283"/>
      <c r="E91" s="407"/>
      <c r="F91" s="408"/>
      <c r="G91" s="282"/>
      <c r="H91" s="282"/>
      <c r="I91" s="282"/>
      <c r="J91" s="284"/>
    </row>
    <row r="92" spans="1:10" outlineLevel="3" x14ac:dyDescent="0.25">
      <c r="A92" s="253"/>
      <c r="B92" s="357" t="s">
        <v>192</v>
      </c>
      <c r="C92" s="325"/>
      <c r="D92" s="283"/>
      <c r="E92" s="407"/>
      <c r="F92" s="408"/>
      <c r="G92" s="282"/>
      <c r="H92" s="282"/>
      <c r="I92" s="282"/>
      <c r="J92" s="284"/>
    </row>
    <row r="93" spans="1:10" outlineLevel="3" x14ac:dyDescent="0.25">
      <c r="A93" s="253"/>
      <c r="B93" s="357" t="s">
        <v>193</v>
      </c>
      <c r="C93" s="325"/>
      <c r="D93" s="283"/>
      <c r="E93" s="407"/>
      <c r="F93" s="408"/>
      <c r="G93" s="282"/>
      <c r="H93" s="282"/>
      <c r="I93" s="282"/>
      <c r="J93" s="284"/>
    </row>
    <row r="94" spans="1:10" ht="15.75" outlineLevel="3" thickBot="1" x14ac:dyDescent="0.3">
      <c r="A94" s="253"/>
      <c r="B94" s="549"/>
      <c r="C94" s="550" t="s">
        <v>120</v>
      </c>
      <c r="D94" s="550">
        <f>SUM(D91:D93)</f>
        <v>0</v>
      </c>
      <c r="E94" s="550">
        <f t="shared" ref="E94" si="70">SUM(E91:E93)</f>
        <v>0</v>
      </c>
      <c r="F94" s="550">
        <f t="shared" ref="F94" si="71">SUM(F91:F93)</f>
        <v>0</v>
      </c>
      <c r="G94" s="550">
        <f t="shared" ref="G94" si="72">SUM(G91:G93)</f>
        <v>0</v>
      </c>
      <c r="H94" s="550">
        <f t="shared" ref="H94" si="73">SUM(H91:H93)</f>
        <v>0</v>
      </c>
      <c r="I94" s="550">
        <f t="shared" ref="I94" si="74">SUM(I91:I93)</f>
        <v>0</v>
      </c>
      <c r="J94" s="551">
        <f t="shared" ref="J94" si="75">SUM(J91:J93)</f>
        <v>0</v>
      </c>
    </row>
    <row r="95" spans="1:10" ht="21.75" customHeight="1" outlineLevel="3" x14ac:dyDescent="0.25">
      <c r="B95" s="560" t="s">
        <v>195</v>
      </c>
      <c r="C95" s="561"/>
      <c r="D95" s="561"/>
      <c r="E95" s="561"/>
      <c r="F95" s="561"/>
      <c r="G95" s="561"/>
      <c r="H95" s="561"/>
      <c r="I95" s="561"/>
      <c r="J95" s="562"/>
    </row>
    <row r="96" spans="1:10" outlineLevel="3" x14ac:dyDescent="0.25">
      <c r="A96" s="253"/>
      <c r="B96" s="357" t="s">
        <v>191</v>
      </c>
      <c r="C96" s="356"/>
      <c r="D96" s="283"/>
      <c r="E96" s="407"/>
      <c r="F96" s="408"/>
      <c r="G96" s="282"/>
      <c r="H96" s="282"/>
      <c r="I96" s="282"/>
      <c r="J96" s="284"/>
    </row>
    <row r="97" spans="1:10" outlineLevel="3" x14ac:dyDescent="0.25">
      <c r="A97" s="253"/>
      <c r="B97" s="357" t="s">
        <v>192</v>
      </c>
      <c r="C97" s="325"/>
      <c r="D97" s="283"/>
      <c r="E97" s="407"/>
      <c r="F97" s="408"/>
      <c r="G97" s="282"/>
      <c r="H97" s="282"/>
      <c r="I97" s="282"/>
      <c r="J97" s="284"/>
    </row>
    <row r="98" spans="1:10" outlineLevel="3" x14ac:dyDescent="0.25">
      <c r="A98" s="253"/>
      <c r="B98" s="357" t="s">
        <v>193</v>
      </c>
      <c r="C98" s="325"/>
      <c r="D98" s="283"/>
      <c r="E98" s="407"/>
      <c r="F98" s="408"/>
      <c r="G98" s="282"/>
      <c r="H98" s="282"/>
      <c r="I98" s="282"/>
      <c r="J98" s="284"/>
    </row>
    <row r="99" spans="1:10" ht="15.75" outlineLevel="3" thickBot="1" x14ac:dyDescent="0.3">
      <c r="A99" s="253"/>
      <c r="B99" s="549"/>
      <c r="C99" s="550" t="s">
        <v>120</v>
      </c>
      <c r="D99" s="550">
        <f>SUM(D96:D98)</f>
        <v>0</v>
      </c>
      <c r="E99" s="550">
        <f t="shared" ref="E99" si="76">SUM(E96:E98)</f>
        <v>0</v>
      </c>
      <c r="F99" s="550">
        <f t="shared" ref="F99" si="77">SUM(F96:F98)</f>
        <v>0</v>
      </c>
      <c r="G99" s="550">
        <f t="shared" ref="G99" si="78">SUM(G96:G98)</f>
        <v>0</v>
      </c>
      <c r="H99" s="550">
        <f t="shared" ref="H99" si="79">SUM(H96:H98)</f>
        <v>0</v>
      </c>
      <c r="I99" s="550">
        <f t="shared" ref="I99" si="80">SUM(I96:I98)</f>
        <v>0</v>
      </c>
      <c r="J99" s="551">
        <f t="shared" ref="J99" si="81">SUM(J96:J98)</f>
        <v>0</v>
      </c>
    </row>
    <row r="100" spans="1:10" ht="21.75" customHeight="1" outlineLevel="3" x14ac:dyDescent="0.25">
      <c r="B100" s="560" t="s">
        <v>196</v>
      </c>
      <c r="C100" s="561"/>
      <c r="D100" s="561"/>
      <c r="E100" s="561"/>
      <c r="F100" s="561"/>
      <c r="G100" s="561"/>
      <c r="H100" s="561"/>
      <c r="I100" s="561"/>
      <c r="J100" s="562"/>
    </row>
    <row r="101" spans="1:10" outlineLevel="3" x14ac:dyDescent="0.25">
      <c r="A101" s="253"/>
      <c r="B101" s="357" t="s">
        <v>191</v>
      </c>
      <c r="C101" s="356"/>
      <c r="D101" s="283"/>
      <c r="E101" s="407"/>
      <c r="F101" s="408"/>
      <c r="G101" s="282"/>
      <c r="H101" s="282"/>
      <c r="I101" s="282"/>
      <c r="J101" s="284"/>
    </row>
    <row r="102" spans="1:10" outlineLevel="3" x14ac:dyDescent="0.25">
      <c r="A102" s="253"/>
      <c r="B102" s="357" t="s">
        <v>192</v>
      </c>
      <c r="C102" s="325"/>
      <c r="D102" s="283"/>
      <c r="E102" s="407"/>
      <c r="F102" s="408"/>
      <c r="G102" s="282"/>
      <c r="H102" s="282"/>
      <c r="I102" s="282"/>
      <c r="J102" s="284"/>
    </row>
    <row r="103" spans="1:10" outlineLevel="3" x14ac:dyDescent="0.25">
      <c r="A103" s="253"/>
      <c r="B103" s="357" t="s">
        <v>193</v>
      </c>
      <c r="C103" s="325"/>
      <c r="D103" s="283"/>
      <c r="E103" s="407"/>
      <c r="F103" s="408"/>
      <c r="G103" s="282"/>
      <c r="H103" s="282"/>
      <c r="I103" s="282"/>
      <c r="J103" s="284"/>
    </row>
    <row r="104" spans="1:10" ht="15.75" outlineLevel="3" thickBot="1" x14ac:dyDescent="0.3">
      <c r="A104" s="253"/>
      <c r="B104" s="549"/>
      <c r="C104" s="550" t="s">
        <v>120</v>
      </c>
      <c r="D104" s="550">
        <f>SUM(D101:D103)</f>
        <v>0</v>
      </c>
      <c r="E104" s="550">
        <f t="shared" ref="E104" si="82">SUM(E101:E103)</f>
        <v>0</v>
      </c>
      <c r="F104" s="550">
        <f t="shared" ref="F104" si="83">SUM(F101:F103)</f>
        <v>0</v>
      </c>
      <c r="G104" s="550">
        <f t="shared" ref="G104" si="84">SUM(G101:G103)</f>
        <v>0</v>
      </c>
      <c r="H104" s="550">
        <f t="shared" ref="H104" si="85">SUM(H101:H103)</f>
        <v>0</v>
      </c>
      <c r="I104" s="550">
        <f t="shared" ref="I104" si="86">SUM(I101:I103)</f>
        <v>0</v>
      </c>
      <c r="J104" s="551">
        <f t="shared" ref="J104" si="87">SUM(J101:J103)</f>
        <v>0</v>
      </c>
    </row>
    <row r="105" spans="1:10" ht="21.75" customHeight="1" outlineLevel="3" x14ac:dyDescent="0.25">
      <c r="B105" s="560" t="s">
        <v>197</v>
      </c>
      <c r="C105" s="561"/>
      <c r="D105" s="561"/>
      <c r="E105" s="561"/>
      <c r="F105" s="561"/>
      <c r="G105" s="561"/>
      <c r="H105" s="561"/>
      <c r="I105" s="561"/>
      <c r="J105" s="562"/>
    </row>
    <row r="106" spans="1:10" outlineLevel="3" x14ac:dyDescent="0.25">
      <c r="A106" s="253"/>
      <c r="B106" s="357" t="s">
        <v>191</v>
      </c>
      <c r="C106" s="356"/>
      <c r="D106" s="283"/>
      <c r="E106" s="407"/>
      <c r="F106" s="408"/>
      <c r="G106" s="282"/>
      <c r="H106" s="282"/>
      <c r="I106" s="282"/>
      <c r="J106" s="284"/>
    </row>
    <row r="107" spans="1:10" outlineLevel="3" x14ac:dyDescent="0.25">
      <c r="A107" s="253"/>
      <c r="B107" s="357" t="s">
        <v>192</v>
      </c>
      <c r="C107" s="325"/>
      <c r="D107" s="283"/>
      <c r="E107" s="407"/>
      <c r="F107" s="408"/>
      <c r="G107" s="282"/>
      <c r="H107" s="282"/>
      <c r="I107" s="282"/>
      <c r="J107" s="284"/>
    </row>
    <row r="108" spans="1:10" outlineLevel="3" x14ac:dyDescent="0.25">
      <c r="A108" s="253"/>
      <c r="B108" s="571" t="s">
        <v>193</v>
      </c>
      <c r="C108" s="326"/>
      <c r="D108" s="321"/>
      <c r="E108" s="568"/>
      <c r="F108" s="410"/>
      <c r="G108" s="322"/>
      <c r="H108" s="322"/>
      <c r="I108" s="322"/>
      <c r="J108" s="569"/>
    </row>
    <row r="109" spans="1:10" ht="15.75" outlineLevel="3" thickBot="1" x14ac:dyDescent="0.3">
      <c r="A109" s="253"/>
      <c r="B109" s="549"/>
      <c r="C109" s="550" t="s">
        <v>120</v>
      </c>
      <c r="D109" s="550">
        <f>SUM(D106:D108)</f>
        <v>0</v>
      </c>
      <c r="E109" s="550">
        <f t="shared" ref="E109" si="88">SUM(E106:E108)</f>
        <v>0</v>
      </c>
      <c r="F109" s="550">
        <f t="shared" ref="F109" si="89">SUM(F106:F108)</f>
        <v>0</v>
      </c>
      <c r="G109" s="550">
        <f t="shared" ref="G109" si="90">SUM(G106:G108)</f>
        <v>0</v>
      </c>
      <c r="H109" s="550">
        <f t="shared" ref="H109" si="91">SUM(H106:H108)</f>
        <v>0</v>
      </c>
      <c r="I109" s="550">
        <f t="shared" ref="I109" si="92">SUM(I106:I108)</f>
        <v>0</v>
      </c>
      <c r="J109" s="551">
        <f t="shared" ref="J109" si="93">SUM(J106:J108)</f>
        <v>0</v>
      </c>
    </row>
    <row r="110" spans="1:10" ht="21.75" customHeight="1" outlineLevel="3" x14ac:dyDescent="0.25">
      <c r="B110" s="560" t="s">
        <v>198</v>
      </c>
      <c r="C110" s="561"/>
      <c r="D110" s="561"/>
      <c r="E110" s="561"/>
      <c r="F110" s="561"/>
      <c r="G110" s="561"/>
      <c r="H110" s="561"/>
      <c r="I110" s="561"/>
      <c r="J110" s="562"/>
    </row>
    <row r="111" spans="1:10" outlineLevel="3" x14ac:dyDescent="0.25">
      <c r="A111" s="253"/>
      <c r="B111" s="357" t="s">
        <v>191</v>
      </c>
      <c r="C111" s="356"/>
      <c r="D111" s="283"/>
      <c r="E111" s="407"/>
      <c r="F111" s="408"/>
      <c r="G111" s="282"/>
      <c r="H111" s="282"/>
      <c r="I111" s="282"/>
      <c r="J111" s="284"/>
    </row>
    <row r="112" spans="1:10" outlineLevel="3" x14ac:dyDescent="0.25">
      <c r="A112" s="253"/>
      <c r="B112" s="357" t="s">
        <v>192</v>
      </c>
      <c r="C112" s="325"/>
      <c r="D112" s="283"/>
      <c r="E112" s="407"/>
      <c r="F112" s="408"/>
      <c r="G112" s="282"/>
      <c r="H112" s="282"/>
      <c r="I112" s="282"/>
      <c r="J112" s="284"/>
    </row>
    <row r="113" spans="1:10" outlineLevel="3" x14ac:dyDescent="0.25">
      <c r="A113" s="253"/>
      <c r="B113" s="571" t="s">
        <v>193</v>
      </c>
      <c r="C113" s="326"/>
      <c r="D113" s="321"/>
      <c r="E113" s="568"/>
      <c r="F113" s="410"/>
      <c r="G113" s="322"/>
      <c r="H113" s="322"/>
      <c r="I113" s="322"/>
      <c r="J113" s="569"/>
    </row>
    <row r="114" spans="1:10" ht="15.75" outlineLevel="3" thickBot="1" x14ac:dyDescent="0.3">
      <c r="A114" s="253"/>
      <c r="B114" s="549"/>
      <c r="C114" s="550" t="s">
        <v>120</v>
      </c>
      <c r="D114" s="550">
        <f>SUM(D111:D113)</f>
        <v>0</v>
      </c>
      <c r="E114" s="550">
        <f t="shared" ref="E114:J114" si="94">SUM(E111:E113)</f>
        <v>0</v>
      </c>
      <c r="F114" s="550">
        <f t="shared" si="94"/>
        <v>0</v>
      </c>
      <c r="G114" s="550">
        <f t="shared" si="94"/>
        <v>0</v>
      </c>
      <c r="H114" s="550">
        <f t="shared" si="94"/>
        <v>0</v>
      </c>
      <c r="I114" s="550">
        <f t="shared" si="94"/>
        <v>0</v>
      </c>
      <c r="J114" s="551">
        <f t="shared" si="94"/>
        <v>0</v>
      </c>
    </row>
    <row r="115" spans="1:10" ht="15.75" outlineLevel="3" thickBot="1" x14ac:dyDescent="0.3">
      <c r="A115" s="253"/>
      <c r="B115" s="323"/>
      <c r="C115" s="2" t="s">
        <v>146</v>
      </c>
      <c r="D115" s="2">
        <f>SUM(D109,D104,D99,D94,D89)</f>
        <v>0</v>
      </c>
      <c r="E115" s="2">
        <f t="shared" ref="E115" si="95">SUM(E109,E104,E99,E94,E89)</f>
        <v>0</v>
      </c>
      <c r="F115" s="2">
        <f t="shared" ref="F115" si="96">SUM(F109,F104,F99,F94,F89)</f>
        <v>0</v>
      </c>
      <c r="G115" s="2">
        <f t="shared" ref="G115" si="97">SUM(G109,G104,G99,G94,G89)</f>
        <v>0</v>
      </c>
      <c r="H115" s="2">
        <f t="shared" ref="H115" si="98">SUM(H109,H104,H99,H94,H89)</f>
        <v>0</v>
      </c>
      <c r="I115" s="2">
        <f t="shared" ref="I115" si="99">SUM(I109,I104,I99,I94,I89)</f>
        <v>0</v>
      </c>
      <c r="J115" s="563">
        <f t="shared" ref="J115" si="100">SUM(J109,J104,J99,J94,J89)</f>
        <v>0</v>
      </c>
    </row>
    <row r="116" spans="1:10" ht="15.75" outlineLevel="2" thickBot="1" x14ac:dyDescent="0.3"/>
    <row r="117" spans="1:10" ht="21.75" customHeight="1" outlineLevel="2" thickBot="1" x14ac:dyDescent="0.3">
      <c r="B117" s="250" t="s">
        <v>140</v>
      </c>
      <c r="C117" s="251"/>
      <c r="D117" s="251"/>
      <c r="E117" s="251"/>
      <c r="F117" s="251"/>
      <c r="G117" s="251"/>
      <c r="H117" s="251"/>
      <c r="I117" s="251"/>
      <c r="J117" s="252"/>
    </row>
    <row r="118" spans="1:10" ht="15" customHeight="1" outlineLevel="3" x14ac:dyDescent="0.25">
      <c r="A118" s="351"/>
      <c r="D118" s="1378" t="s">
        <v>24</v>
      </c>
      <c r="E118" s="1378"/>
      <c r="F118" s="1378"/>
      <c r="G118" s="1378"/>
      <c r="H118" s="1378"/>
      <c r="I118" s="1378"/>
      <c r="J118" s="1378"/>
    </row>
    <row r="119" spans="1:10" ht="15" customHeight="1" outlineLevel="3" x14ac:dyDescent="0.25">
      <c r="A119" s="351"/>
      <c r="D119" s="1378" t="str">
        <f ca="1">CONCATENATE("$, real ",dms_DollarReal)</f>
        <v>$, real June 2026</v>
      </c>
      <c r="E119" s="1378"/>
      <c r="F119" s="1378"/>
      <c r="G119" s="1378"/>
      <c r="H119" s="1378"/>
      <c r="I119" s="1378"/>
      <c r="J119" s="1378"/>
    </row>
    <row r="120" spans="1:10" ht="15.75" outlineLevel="3" thickBot="1" x14ac:dyDescent="0.3">
      <c r="B120" s="78"/>
      <c r="C120" s="319"/>
      <c r="D120" s="314" t="str">
        <f ca="1">dms_y1</f>
        <v>2024-25</v>
      </c>
      <c r="E120" s="314" t="str">
        <f ca="1">dms_y2</f>
        <v>2025-26</v>
      </c>
      <c r="F120" s="314" t="str">
        <f ca="1">dms_y3</f>
        <v>2026-27</v>
      </c>
      <c r="G120" s="314" t="str">
        <f ca="1">dms_y4</f>
        <v>2027-28</v>
      </c>
      <c r="H120" s="314" t="str">
        <f ca="1">dms_y5</f>
        <v>2028-29</v>
      </c>
      <c r="I120" s="314" t="str">
        <f ca="1">dms_y6</f>
        <v>2029-30</v>
      </c>
      <c r="J120" s="314" t="str">
        <f ca="1">dms_y7</f>
        <v>2030-31</v>
      </c>
    </row>
    <row r="121" spans="1:10" ht="21.75" customHeight="1" outlineLevel="3" x14ac:dyDescent="0.25">
      <c r="B121" s="560" t="s">
        <v>190</v>
      </c>
      <c r="C121" s="561"/>
      <c r="D121" s="561"/>
      <c r="E121" s="561"/>
      <c r="F121" s="561"/>
      <c r="G121" s="561"/>
      <c r="H121" s="561"/>
      <c r="I121" s="561"/>
      <c r="J121" s="562"/>
    </row>
    <row r="122" spans="1:10" outlineLevel="3" x14ac:dyDescent="0.25">
      <c r="A122" s="253"/>
      <c r="B122" s="357" t="s">
        <v>191</v>
      </c>
      <c r="C122" s="356"/>
      <c r="D122" s="283"/>
      <c r="E122" s="407"/>
      <c r="F122" s="408"/>
      <c r="G122" s="282"/>
      <c r="H122" s="282"/>
      <c r="I122" s="282"/>
      <c r="J122" s="284"/>
    </row>
    <row r="123" spans="1:10" outlineLevel="3" x14ac:dyDescent="0.25">
      <c r="A123" s="253"/>
      <c r="B123" s="357" t="s">
        <v>192</v>
      </c>
      <c r="C123" s="325"/>
      <c r="D123" s="283"/>
      <c r="E123" s="407"/>
      <c r="F123" s="408"/>
      <c r="G123" s="282"/>
      <c r="H123" s="282"/>
      <c r="I123" s="282"/>
      <c r="J123" s="284"/>
    </row>
    <row r="124" spans="1:10" outlineLevel="3" x14ac:dyDescent="0.25">
      <c r="A124" s="253"/>
      <c r="B124" s="357" t="s">
        <v>193</v>
      </c>
      <c r="C124" s="325"/>
      <c r="D124" s="283"/>
      <c r="E124" s="407"/>
      <c r="F124" s="408"/>
      <c r="G124" s="282"/>
      <c r="H124" s="282"/>
      <c r="I124" s="282"/>
      <c r="J124" s="284"/>
    </row>
    <row r="125" spans="1:10" ht="15.75" outlineLevel="3" thickBot="1" x14ac:dyDescent="0.3">
      <c r="A125" s="253"/>
      <c r="B125" s="549"/>
      <c r="C125" s="550" t="s">
        <v>120</v>
      </c>
      <c r="D125" s="550">
        <f>SUM(D122:D124)</f>
        <v>0</v>
      </c>
      <c r="E125" s="550">
        <f t="shared" ref="E125" si="101">SUM(E122:E124)</f>
        <v>0</v>
      </c>
      <c r="F125" s="550">
        <f t="shared" ref="F125" si="102">SUM(F122:F124)</f>
        <v>0</v>
      </c>
      <c r="G125" s="550">
        <f t="shared" ref="G125" si="103">SUM(G122:G124)</f>
        <v>0</v>
      </c>
      <c r="H125" s="550">
        <f t="shared" ref="H125" si="104">SUM(H122:H124)</f>
        <v>0</v>
      </c>
      <c r="I125" s="550">
        <f t="shared" ref="I125" si="105">SUM(I122:I124)</f>
        <v>0</v>
      </c>
      <c r="J125" s="551">
        <f t="shared" ref="J125" si="106">SUM(J122:J124)</f>
        <v>0</v>
      </c>
    </row>
    <row r="126" spans="1:10" ht="21.75" customHeight="1" outlineLevel="3" x14ac:dyDescent="0.25">
      <c r="B126" s="560" t="s">
        <v>194</v>
      </c>
      <c r="C126" s="561"/>
      <c r="D126" s="561"/>
      <c r="E126" s="561"/>
      <c r="F126" s="561"/>
      <c r="G126" s="561"/>
      <c r="H126" s="561"/>
      <c r="I126" s="561"/>
      <c r="J126" s="562"/>
    </row>
    <row r="127" spans="1:10" outlineLevel="3" x14ac:dyDescent="0.25">
      <c r="A127" s="253"/>
      <c r="B127" s="357" t="s">
        <v>191</v>
      </c>
      <c r="C127" s="356"/>
      <c r="D127" s="283"/>
      <c r="E127" s="407"/>
      <c r="F127" s="408"/>
      <c r="G127" s="282"/>
      <c r="H127" s="282"/>
      <c r="I127" s="282"/>
      <c r="J127" s="284"/>
    </row>
    <row r="128" spans="1:10" outlineLevel="3" x14ac:dyDescent="0.25">
      <c r="A128" s="253"/>
      <c r="B128" s="357" t="s">
        <v>192</v>
      </c>
      <c r="C128" s="325"/>
      <c r="D128" s="283"/>
      <c r="E128" s="407"/>
      <c r="F128" s="408"/>
      <c r="G128" s="282"/>
      <c r="H128" s="282"/>
      <c r="I128" s="282"/>
      <c r="J128" s="284"/>
    </row>
    <row r="129" spans="1:10" outlineLevel="3" x14ac:dyDescent="0.25">
      <c r="A129" s="253"/>
      <c r="B129" s="357" t="s">
        <v>193</v>
      </c>
      <c r="C129" s="325"/>
      <c r="D129" s="283"/>
      <c r="E129" s="407"/>
      <c r="F129" s="408"/>
      <c r="G129" s="282"/>
      <c r="H129" s="282"/>
      <c r="I129" s="282"/>
      <c r="J129" s="284"/>
    </row>
    <row r="130" spans="1:10" ht="15.75" outlineLevel="3" thickBot="1" x14ac:dyDescent="0.3">
      <c r="A130" s="253"/>
      <c r="B130" s="549"/>
      <c r="C130" s="550" t="s">
        <v>120</v>
      </c>
      <c r="D130" s="550">
        <f>SUM(D127:D129)</f>
        <v>0</v>
      </c>
      <c r="E130" s="550">
        <f t="shared" ref="E130" si="107">SUM(E127:E129)</f>
        <v>0</v>
      </c>
      <c r="F130" s="550">
        <f t="shared" ref="F130" si="108">SUM(F127:F129)</f>
        <v>0</v>
      </c>
      <c r="G130" s="550">
        <f t="shared" ref="G130" si="109">SUM(G127:G129)</f>
        <v>0</v>
      </c>
      <c r="H130" s="550">
        <f t="shared" ref="H130" si="110">SUM(H127:H129)</f>
        <v>0</v>
      </c>
      <c r="I130" s="550">
        <f t="shared" ref="I130" si="111">SUM(I127:I129)</f>
        <v>0</v>
      </c>
      <c r="J130" s="551">
        <f t="shared" ref="J130" si="112">SUM(J127:J129)</f>
        <v>0</v>
      </c>
    </row>
    <row r="131" spans="1:10" ht="21.75" customHeight="1" outlineLevel="3" x14ac:dyDescent="0.25">
      <c r="B131" s="560" t="s">
        <v>195</v>
      </c>
      <c r="C131" s="561"/>
      <c r="D131" s="561"/>
      <c r="E131" s="561"/>
      <c r="F131" s="561"/>
      <c r="G131" s="561"/>
      <c r="H131" s="561"/>
      <c r="I131" s="561"/>
      <c r="J131" s="562"/>
    </row>
    <row r="132" spans="1:10" outlineLevel="3" x14ac:dyDescent="0.25">
      <c r="A132" s="253"/>
      <c r="B132" s="357" t="s">
        <v>191</v>
      </c>
      <c r="C132" s="356"/>
      <c r="D132" s="283"/>
      <c r="E132" s="407"/>
      <c r="F132" s="408"/>
      <c r="G132" s="282"/>
      <c r="H132" s="282"/>
      <c r="I132" s="282"/>
      <c r="J132" s="284"/>
    </row>
    <row r="133" spans="1:10" outlineLevel="3" x14ac:dyDescent="0.25">
      <c r="A133" s="253"/>
      <c r="B133" s="357" t="s">
        <v>192</v>
      </c>
      <c r="C133" s="325"/>
      <c r="D133" s="283"/>
      <c r="E133" s="407"/>
      <c r="F133" s="408"/>
      <c r="G133" s="282"/>
      <c r="H133" s="282"/>
      <c r="I133" s="282"/>
      <c r="J133" s="284"/>
    </row>
    <row r="134" spans="1:10" outlineLevel="3" x14ac:dyDescent="0.25">
      <c r="A134" s="253"/>
      <c r="B134" s="357" t="s">
        <v>193</v>
      </c>
      <c r="C134" s="325"/>
      <c r="D134" s="283"/>
      <c r="E134" s="407"/>
      <c r="F134" s="408"/>
      <c r="G134" s="282"/>
      <c r="H134" s="282"/>
      <c r="I134" s="282"/>
      <c r="J134" s="284"/>
    </row>
    <row r="135" spans="1:10" ht="15.75" outlineLevel="3" thickBot="1" x14ac:dyDescent="0.3">
      <c r="A135" s="253"/>
      <c r="B135" s="549"/>
      <c r="C135" s="550" t="s">
        <v>120</v>
      </c>
      <c r="D135" s="550">
        <f>SUM(D132:D134)</f>
        <v>0</v>
      </c>
      <c r="E135" s="550">
        <f t="shared" ref="E135" si="113">SUM(E132:E134)</f>
        <v>0</v>
      </c>
      <c r="F135" s="550">
        <f t="shared" ref="F135" si="114">SUM(F132:F134)</f>
        <v>0</v>
      </c>
      <c r="G135" s="550">
        <f t="shared" ref="G135" si="115">SUM(G132:G134)</f>
        <v>0</v>
      </c>
      <c r="H135" s="550">
        <f t="shared" ref="H135" si="116">SUM(H132:H134)</f>
        <v>0</v>
      </c>
      <c r="I135" s="550">
        <f t="shared" ref="I135" si="117">SUM(I132:I134)</f>
        <v>0</v>
      </c>
      <c r="J135" s="551">
        <f t="shared" ref="J135" si="118">SUM(J132:J134)</f>
        <v>0</v>
      </c>
    </row>
    <row r="136" spans="1:10" ht="21.75" customHeight="1" outlineLevel="3" x14ac:dyDescent="0.25">
      <c r="B136" s="560" t="s">
        <v>196</v>
      </c>
      <c r="C136" s="561"/>
      <c r="D136" s="561"/>
      <c r="E136" s="561"/>
      <c r="F136" s="561"/>
      <c r="G136" s="561"/>
      <c r="H136" s="561"/>
      <c r="I136" s="561"/>
      <c r="J136" s="562"/>
    </row>
    <row r="137" spans="1:10" outlineLevel="3" x14ac:dyDescent="0.25">
      <c r="A137" s="253"/>
      <c r="B137" s="357" t="s">
        <v>191</v>
      </c>
      <c r="C137" s="356"/>
      <c r="D137" s="283"/>
      <c r="E137" s="407"/>
      <c r="F137" s="408"/>
      <c r="G137" s="282"/>
      <c r="H137" s="282"/>
      <c r="I137" s="282"/>
      <c r="J137" s="284"/>
    </row>
    <row r="138" spans="1:10" outlineLevel="3" x14ac:dyDescent="0.25">
      <c r="A138" s="253"/>
      <c r="B138" s="357" t="s">
        <v>192</v>
      </c>
      <c r="C138" s="325"/>
      <c r="D138" s="283"/>
      <c r="E138" s="407"/>
      <c r="F138" s="408"/>
      <c r="G138" s="282"/>
      <c r="H138" s="282"/>
      <c r="I138" s="282"/>
      <c r="J138" s="284"/>
    </row>
    <row r="139" spans="1:10" outlineLevel="3" x14ac:dyDescent="0.25">
      <c r="A139" s="253"/>
      <c r="B139" s="357" t="s">
        <v>193</v>
      </c>
      <c r="C139" s="325"/>
      <c r="D139" s="283"/>
      <c r="E139" s="407"/>
      <c r="F139" s="408"/>
      <c r="G139" s="282"/>
      <c r="H139" s="282"/>
      <c r="I139" s="282"/>
      <c r="J139" s="284"/>
    </row>
    <row r="140" spans="1:10" ht="15.75" outlineLevel="3" thickBot="1" x14ac:dyDescent="0.3">
      <c r="A140" s="253"/>
      <c r="B140" s="549"/>
      <c r="C140" s="550" t="s">
        <v>120</v>
      </c>
      <c r="D140" s="550">
        <f>SUM(D137:D139)</f>
        <v>0</v>
      </c>
      <c r="E140" s="550">
        <f t="shared" ref="E140" si="119">SUM(E137:E139)</f>
        <v>0</v>
      </c>
      <c r="F140" s="550">
        <f t="shared" ref="F140" si="120">SUM(F137:F139)</f>
        <v>0</v>
      </c>
      <c r="G140" s="550">
        <f t="shared" ref="G140" si="121">SUM(G137:G139)</f>
        <v>0</v>
      </c>
      <c r="H140" s="550">
        <f t="shared" ref="H140" si="122">SUM(H137:H139)</f>
        <v>0</v>
      </c>
      <c r="I140" s="550">
        <f t="shared" ref="I140" si="123">SUM(I137:I139)</f>
        <v>0</v>
      </c>
      <c r="J140" s="551">
        <f t="shared" ref="J140" si="124">SUM(J137:J139)</f>
        <v>0</v>
      </c>
    </row>
    <row r="141" spans="1:10" ht="21.75" customHeight="1" outlineLevel="3" x14ac:dyDescent="0.25">
      <c r="B141" s="560" t="s">
        <v>197</v>
      </c>
      <c r="C141" s="561"/>
      <c r="D141" s="561"/>
      <c r="E141" s="561"/>
      <c r="F141" s="561"/>
      <c r="G141" s="561"/>
      <c r="H141" s="561"/>
      <c r="I141" s="561"/>
      <c r="J141" s="562"/>
    </row>
    <row r="142" spans="1:10" outlineLevel="3" x14ac:dyDescent="0.25">
      <c r="A142" s="253"/>
      <c r="B142" s="357" t="s">
        <v>191</v>
      </c>
      <c r="C142" s="356"/>
      <c r="D142" s="283"/>
      <c r="E142" s="407"/>
      <c r="F142" s="408"/>
      <c r="G142" s="282"/>
      <c r="H142" s="282"/>
      <c r="I142" s="282"/>
      <c r="J142" s="284"/>
    </row>
    <row r="143" spans="1:10" outlineLevel="3" x14ac:dyDescent="0.25">
      <c r="A143" s="253"/>
      <c r="B143" s="357" t="s">
        <v>192</v>
      </c>
      <c r="C143" s="325"/>
      <c r="D143" s="283"/>
      <c r="E143" s="407"/>
      <c r="F143" s="408"/>
      <c r="G143" s="282"/>
      <c r="H143" s="282"/>
      <c r="I143" s="282"/>
      <c r="J143" s="284"/>
    </row>
    <row r="144" spans="1:10" outlineLevel="3" x14ac:dyDescent="0.25">
      <c r="A144" s="253"/>
      <c r="B144" s="571" t="s">
        <v>193</v>
      </c>
      <c r="C144" s="326"/>
      <c r="D144" s="321"/>
      <c r="E144" s="568"/>
      <c r="F144" s="410"/>
      <c r="G144" s="322"/>
      <c r="H144" s="322"/>
      <c r="I144" s="322"/>
      <c r="J144" s="569"/>
    </row>
    <row r="145" spans="1:10" ht="15.75" outlineLevel="3" thickBot="1" x14ac:dyDescent="0.3">
      <c r="A145" s="253"/>
      <c r="B145" s="549"/>
      <c r="C145" s="550" t="s">
        <v>120</v>
      </c>
      <c r="D145" s="550">
        <f>SUM(D142:D144)</f>
        <v>0</v>
      </c>
      <c r="E145" s="550">
        <f t="shared" ref="E145" si="125">SUM(E142:E144)</f>
        <v>0</v>
      </c>
      <c r="F145" s="550">
        <f t="shared" ref="F145" si="126">SUM(F142:F144)</f>
        <v>0</v>
      </c>
      <c r="G145" s="550">
        <f t="shared" ref="G145" si="127">SUM(G142:G144)</f>
        <v>0</v>
      </c>
      <c r="H145" s="550">
        <f t="shared" ref="H145" si="128">SUM(H142:H144)</f>
        <v>0</v>
      </c>
      <c r="I145" s="550">
        <f t="shared" ref="I145" si="129">SUM(I142:I144)</f>
        <v>0</v>
      </c>
      <c r="J145" s="551">
        <f t="shared" ref="J145" si="130">SUM(J142:J144)</f>
        <v>0</v>
      </c>
    </row>
    <row r="146" spans="1:10" ht="21.75" customHeight="1" outlineLevel="3" x14ac:dyDescent="0.25">
      <c r="B146" s="560" t="s">
        <v>198</v>
      </c>
      <c r="C146" s="561"/>
      <c r="D146" s="561"/>
      <c r="E146" s="561"/>
      <c r="F146" s="561"/>
      <c r="G146" s="561"/>
      <c r="H146" s="561"/>
      <c r="I146" s="561"/>
      <c r="J146" s="562"/>
    </row>
    <row r="147" spans="1:10" outlineLevel="3" x14ac:dyDescent="0.25">
      <c r="A147" s="253"/>
      <c r="B147" s="357" t="s">
        <v>191</v>
      </c>
      <c r="C147" s="356"/>
      <c r="D147" s="283"/>
      <c r="E147" s="407"/>
      <c r="F147" s="408"/>
      <c r="G147" s="282"/>
      <c r="H147" s="282"/>
      <c r="I147" s="282"/>
      <c r="J147" s="284"/>
    </row>
    <row r="148" spans="1:10" outlineLevel="3" x14ac:dyDescent="0.25">
      <c r="A148" s="253"/>
      <c r="B148" s="357" t="s">
        <v>192</v>
      </c>
      <c r="C148" s="325"/>
      <c r="D148" s="283"/>
      <c r="E148" s="407"/>
      <c r="F148" s="408"/>
      <c r="G148" s="282"/>
      <c r="H148" s="282"/>
      <c r="I148" s="282"/>
      <c r="J148" s="284"/>
    </row>
    <row r="149" spans="1:10" outlineLevel="3" x14ac:dyDescent="0.25">
      <c r="A149" s="253"/>
      <c r="B149" s="571" t="s">
        <v>193</v>
      </c>
      <c r="C149" s="326"/>
      <c r="D149" s="321"/>
      <c r="E149" s="568"/>
      <c r="F149" s="410"/>
      <c r="G149" s="322"/>
      <c r="H149" s="322"/>
      <c r="I149" s="322"/>
      <c r="J149" s="569"/>
    </row>
    <row r="150" spans="1:10" ht="15.75" outlineLevel="3" thickBot="1" x14ac:dyDescent="0.3">
      <c r="A150" s="253"/>
      <c r="B150" s="549"/>
      <c r="C150" s="550" t="s">
        <v>120</v>
      </c>
      <c r="D150" s="550">
        <f>SUM(D147:D149)</f>
        <v>0</v>
      </c>
      <c r="E150" s="550">
        <f t="shared" ref="E150:J150" si="131">SUM(E147:E149)</f>
        <v>0</v>
      </c>
      <c r="F150" s="550">
        <f t="shared" si="131"/>
        <v>0</v>
      </c>
      <c r="G150" s="550">
        <f t="shared" si="131"/>
        <v>0</v>
      </c>
      <c r="H150" s="550">
        <f t="shared" si="131"/>
        <v>0</v>
      </c>
      <c r="I150" s="550">
        <f t="shared" si="131"/>
        <v>0</v>
      </c>
      <c r="J150" s="551">
        <f t="shared" si="131"/>
        <v>0</v>
      </c>
    </row>
    <row r="151" spans="1:10" ht="15.75" outlineLevel="3" thickBot="1" x14ac:dyDescent="0.3">
      <c r="A151" s="253"/>
      <c r="B151" s="323"/>
      <c r="C151" s="2" t="s">
        <v>146</v>
      </c>
      <c r="D151" s="2">
        <f>SUM(D145,D140,D135,D130,D125)</f>
        <v>0</v>
      </c>
      <c r="E151" s="2">
        <f t="shared" ref="E151" si="132">SUM(E145,E140,E135,E130,E125)</f>
        <v>0</v>
      </c>
      <c r="F151" s="2">
        <f t="shared" ref="F151" si="133">SUM(F145,F140,F135,F130,F125)</f>
        <v>0</v>
      </c>
      <c r="G151" s="2">
        <f t="shared" ref="G151" si="134">SUM(G145,G140,G135,G130,G125)</f>
        <v>0</v>
      </c>
      <c r="H151" s="2">
        <f t="shared" ref="H151" si="135">SUM(H145,H140,H135,H130,H125)</f>
        <v>0</v>
      </c>
      <c r="I151" s="2">
        <f t="shared" ref="I151" si="136">SUM(I145,I140,I135,I130,I125)</f>
        <v>0</v>
      </c>
      <c r="J151" s="563">
        <f t="shared" ref="J151" si="137">SUM(J145,J140,J135,J130,J125)</f>
        <v>0</v>
      </c>
    </row>
    <row r="152" spans="1:10" ht="15.75" outlineLevel="2" thickBot="1" x14ac:dyDescent="0.3"/>
    <row r="153" spans="1:10" ht="21.75" customHeight="1" outlineLevel="2" thickBot="1" x14ac:dyDescent="0.3">
      <c r="B153" s="250" t="s">
        <v>141</v>
      </c>
      <c r="C153" s="251"/>
      <c r="D153" s="251"/>
      <c r="E153" s="251"/>
      <c r="F153" s="251"/>
      <c r="G153" s="251"/>
      <c r="H153" s="251"/>
      <c r="I153" s="251"/>
      <c r="J153" s="252"/>
    </row>
    <row r="154" spans="1:10" ht="15" customHeight="1" outlineLevel="3" x14ac:dyDescent="0.25">
      <c r="A154" s="351"/>
      <c r="D154" s="1378" t="s">
        <v>24</v>
      </c>
      <c r="E154" s="1378"/>
      <c r="F154" s="1378"/>
      <c r="G154" s="1378"/>
      <c r="H154" s="1378"/>
      <c r="I154" s="1378"/>
      <c r="J154" s="1378"/>
    </row>
    <row r="155" spans="1:10" ht="15" customHeight="1" outlineLevel="3" x14ac:dyDescent="0.25">
      <c r="A155" s="351"/>
      <c r="D155" s="1378" t="str">
        <f ca="1">CONCATENATE("$, real ",dms_DollarReal)</f>
        <v>$, real June 2026</v>
      </c>
      <c r="E155" s="1378"/>
      <c r="F155" s="1378"/>
      <c r="G155" s="1378"/>
      <c r="H155" s="1378"/>
      <c r="I155" s="1378"/>
      <c r="J155" s="1378"/>
    </row>
    <row r="156" spans="1:10" ht="15.75" outlineLevel="3" thickBot="1" x14ac:dyDescent="0.3">
      <c r="B156" s="78"/>
      <c r="C156" s="319"/>
      <c r="D156" s="314" t="str">
        <f ca="1">dms_y1</f>
        <v>2024-25</v>
      </c>
      <c r="E156" s="314" t="str">
        <f ca="1">dms_y2</f>
        <v>2025-26</v>
      </c>
      <c r="F156" s="314" t="str">
        <f ca="1">dms_y3</f>
        <v>2026-27</v>
      </c>
      <c r="G156" s="314" t="str">
        <f ca="1">dms_y4</f>
        <v>2027-28</v>
      </c>
      <c r="H156" s="314" t="str">
        <f ca="1">dms_y5</f>
        <v>2028-29</v>
      </c>
      <c r="I156" s="314" t="str">
        <f ca="1">dms_y6</f>
        <v>2029-30</v>
      </c>
      <c r="J156" s="314" t="str">
        <f ca="1">dms_y7</f>
        <v>2030-31</v>
      </c>
    </row>
    <row r="157" spans="1:10" ht="21.75" customHeight="1" outlineLevel="3" x14ac:dyDescent="0.25">
      <c r="B157" s="560" t="s">
        <v>190</v>
      </c>
      <c r="C157" s="561"/>
      <c r="D157" s="561"/>
      <c r="E157" s="561"/>
      <c r="F157" s="561"/>
      <c r="G157" s="561"/>
      <c r="H157" s="561"/>
      <c r="I157" s="561"/>
      <c r="J157" s="562"/>
    </row>
    <row r="158" spans="1:10" outlineLevel="3" x14ac:dyDescent="0.25">
      <c r="A158" s="253"/>
      <c r="B158" s="357" t="s">
        <v>191</v>
      </c>
      <c r="C158" s="356"/>
      <c r="D158" s="283"/>
      <c r="E158" s="407"/>
      <c r="F158" s="408"/>
      <c r="G158" s="282"/>
      <c r="H158" s="282"/>
      <c r="I158" s="282"/>
      <c r="J158" s="284"/>
    </row>
    <row r="159" spans="1:10" outlineLevel="3" x14ac:dyDescent="0.25">
      <c r="A159" s="253"/>
      <c r="B159" s="357" t="s">
        <v>192</v>
      </c>
      <c r="C159" s="325"/>
      <c r="D159" s="283"/>
      <c r="E159" s="407"/>
      <c r="F159" s="408"/>
      <c r="G159" s="282"/>
      <c r="H159" s="282"/>
      <c r="I159" s="282"/>
      <c r="J159" s="284"/>
    </row>
    <row r="160" spans="1:10" outlineLevel="3" x14ac:dyDescent="0.25">
      <c r="A160" s="253"/>
      <c r="B160" s="357" t="s">
        <v>193</v>
      </c>
      <c r="C160" s="325"/>
      <c r="D160" s="283"/>
      <c r="E160" s="407"/>
      <c r="F160" s="408"/>
      <c r="G160" s="282"/>
      <c r="H160" s="282"/>
      <c r="I160" s="282"/>
      <c r="J160" s="284"/>
    </row>
    <row r="161" spans="1:10" ht="15.75" outlineLevel="3" thickBot="1" x14ac:dyDescent="0.3">
      <c r="A161" s="253"/>
      <c r="B161" s="549"/>
      <c r="C161" s="550" t="s">
        <v>120</v>
      </c>
      <c r="D161" s="550">
        <f>SUM(D158:D160)</f>
        <v>0</v>
      </c>
      <c r="E161" s="550">
        <f t="shared" ref="E161" si="138">SUM(E158:E160)</f>
        <v>0</v>
      </c>
      <c r="F161" s="550">
        <f t="shared" ref="F161" si="139">SUM(F158:F160)</f>
        <v>0</v>
      </c>
      <c r="G161" s="550">
        <f t="shared" ref="G161" si="140">SUM(G158:G160)</f>
        <v>0</v>
      </c>
      <c r="H161" s="550">
        <f t="shared" ref="H161" si="141">SUM(H158:H160)</f>
        <v>0</v>
      </c>
      <c r="I161" s="550">
        <f t="shared" ref="I161" si="142">SUM(I158:I160)</f>
        <v>0</v>
      </c>
      <c r="J161" s="551">
        <f t="shared" ref="J161" si="143">SUM(J158:J160)</f>
        <v>0</v>
      </c>
    </row>
    <row r="162" spans="1:10" ht="21.75" customHeight="1" outlineLevel="3" x14ac:dyDescent="0.25">
      <c r="B162" s="560" t="s">
        <v>194</v>
      </c>
      <c r="C162" s="561"/>
      <c r="D162" s="561"/>
      <c r="E162" s="561"/>
      <c r="F162" s="561"/>
      <c r="G162" s="561"/>
      <c r="H162" s="561"/>
      <c r="I162" s="561"/>
      <c r="J162" s="562"/>
    </row>
    <row r="163" spans="1:10" outlineLevel="3" x14ac:dyDescent="0.25">
      <c r="A163" s="253"/>
      <c r="B163" s="357" t="s">
        <v>191</v>
      </c>
      <c r="C163" s="356"/>
      <c r="D163" s="283"/>
      <c r="E163" s="407"/>
      <c r="F163" s="408"/>
      <c r="G163" s="282"/>
      <c r="H163" s="282"/>
      <c r="I163" s="282"/>
      <c r="J163" s="284"/>
    </row>
    <row r="164" spans="1:10" outlineLevel="3" x14ac:dyDescent="0.25">
      <c r="A164" s="253"/>
      <c r="B164" s="357" t="s">
        <v>192</v>
      </c>
      <c r="C164" s="325"/>
      <c r="D164" s="283"/>
      <c r="E164" s="407"/>
      <c r="F164" s="408"/>
      <c r="G164" s="282"/>
      <c r="H164" s="282"/>
      <c r="I164" s="282"/>
      <c r="J164" s="284"/>
    </row>
    <row r="165" spans="1:10" outlineLevel="3" x14ac:dyDescent="0.25">
      <c r="A165" s="253"/>
      <c r="B165" s="357" t="s">
        <v>193</v>
      </c>
      <c r="C165" s="325"/>
      <c r="D165" s="283"/>
      <c r="E165" s="407"/>
      <c r="F165" s="408"/>
      <c r="G165" s="282"/>
      <c r="H165" s="282"/>
      <c r="I165" s="282"/>
      <c r="J165" s="284"/>
    </row>
    <row r="166" spans="1:10" ht="15.75" outlineLevel="3" thickBot="1" x14ac:dyDescent="0.3">
      <c r="A166" s="253"/>
      <c r="B166" s="549"/>
      <c r="C166" s="550" t="s">
        <v>120</v>
      </c>
      <c r="D166" s="550">
        <f>SUM(D163:D165)</f>
        <v>0</v>
      </c>
      <c r="E166" s="550">
        <f t="shared" ref="E166" si="144">SUM(E163:E165)</f>
        <v>0</v>
      </c>
      <c r="F166" s="550">
        <f t="shared" ref="F166" si="145">SUM(F163:F165)</f>
        <v>0</v>
      </c>
      <c r="G166" s="550">
        <f t="shared" ref="G166" si="146">SUM(G163:G165)</f>
        <v>0</v>
      </c>
      <c r="H166" s="550">
        <f t="shared" ref="H166" si="147">SUM(H163:H165)</f>
        <v>0</v>
      </c>
      <c r="I166" s="550">
        <f t="shared" ref="I166" si="148">SUM(I163:I165)</f>
        <v>0</v>
      </c>
      <c r="J166" s="551">
        <f t="shared" ref="J166" si="149">SUM(J163:J165)</f>
        <v>0</v>
      </c>
    </row>
    <row r="167" spans="1:10" ht="21.75" customHeight="1" outlineLevel="3" x14ac:dyDescent="0.25">
      <c r="B167" s="560" t="s">
        <v>195</v>
      </c>
      <c r="C167" s="561"/>
      <c r="D167" s="561"/>
      <c r="E167" s="561"/>
      <c r="F167" s="561"/>
      <c r="G167" s="561"/>
      <c r="H167" s="561"/>
      <c r="I167" s="561"/>
      <c r="J167" s="562"/>
    </row>
    <row r="168" spans="1:10" outlineLevel="3" x14ac:dyDescent="0.25">
      <c r="A168" s="253"/>
      <c r="B168" s="357" t="s">
        <v>191</v>
      </c>
      <c r="C168" s="356"/>
      <c r="D168" s="283"/>
      <c r="E168" s="407"/>
      <c r="F168" s="408"/>
      <c r="G168" s="282"/>
      <c r="H168" s="282"/>
      <c r="I168" s="282"/>
      <c r="J168" s="284"/>
    </row>
    <row r="169" spans="1:10" outlineLevel="3" x14ac:dyDescent="0.25">
      <c r="A169" s="253"/>
      <c r="B169" s="357" t="s">
        <v>192</v>
      </c>
      <c r="C169" s="325"/>
      <c r="D169" s="283"/>
      <c r="E169" s="407"/>
      <c r="F169" s="408"/>
      <c r="G169" s="282"/>
      <c r="H169" s="282"/>
      <c r="I169" s="282"/>
      <c r="J169" s="284"/>
    </row>
    <row r="170" spans="1:10" outlineLevel="3" x14ac:dyDescent="0.25">
      <c r="A170" s="253"/>
      <c r="B170" s="357" t="s">
        <v>193</v>
      </c>
      <c r="C170" s="325"/>
      <c r="D170" s="283"/>
      <c r="E170" s="407"/>
      <c r="F170" s="408"/>
      <c r="G170" s="282"/>
      <c r="H170" s="282"/>
      <c r="I170" s="282"/>
      <c r="J170" s="284"/>
    </row>
    <row r="171" spans="1:10" ht="15.75" outlineLevel="3" thickBot="1" x14ac:dyDescent="0.3">
      <c r="A171" s="253"/>
      <c r="B171" s="549"/>
      <c r="C171" s="550" t="s">
        <v>120</v>
      </c>
      <c r="D171" s="550">
        <f>SUM(D168:D170)</f>
        <v>0</v>
      </c>
      <c r="E171" s="550">
        <f t="shared" ref="E171" si="150">SUM(E168:E170)</f>
        <v>0</v>
      </c>
      <c r="F171" s="550">
        <f t="shared" ref="F171" si="151">SUM(F168:F170)</f>
        <v>0</v>
      </c>
      <c r="G171" s="550">
        <f t="shared" ref="G171" si="152">SUM(G168:G170)</f>
        <v>0</v>
      </c>
      <c r="H171" s="550">
        <f t="shared" ref="H171" si="153">SUM(H168:H170)</f>
        <v>0</v>
      </c>
      <c r="I171" s="550">
        <f t="shared" ref="I171" si="154">SUM(I168:I170)</f>
        <v>0</v>
      </c>
      <c r="J171" s="551">
        <f t="shared" ref="J171" si="155">SUM(J168:J170)</f>
        <v>0</v>
      </c>
    </row>
    <row r="172" spans="1:10" ht="21.75" customHeight="1" outlineLevel="3" x14ac:dyDescent="0.25">
      <c r="B172" s="560" t="s">
        <v>196</v>
      </c>
      <c r="C172" s="561"/>
      <c r="D172" s="561"/>
      <c r="E172" s="561"/>
      <c r="F172" s="561"/>
      <c r="G172" s="561"/>
      <c r="H172" s="561"/>
      <c r="I172" s="561"/>
      <c r="J172" s="562"/>
    </row>
    <row r="173" spans="1:10" outlineLevel="3" x14ac:dyDescent="0.25">
      <c r="A173" s="253"/>
      <c r="B173" s="357" t="s">
        <v>191</v>
      </c>
      <c r="C173" s="356"/>
      <c r="D173" s="283"/>
      <c r="E173" s="407"/>
      <c r="F173" s="408"/>
      <c r="G173" s="282"/>
      <c r="H173" s="282"/>
      <c r="I173" s="282"/>
      <c r="J173" s="284"/>
    </row>
    <row r="174" spans="1:10" outlineLevel="3" x14ac:dyDescent="0.25">
      <c r="A174" s="253"/>
      <c r="B174" s="357" t="s">
        <v>192</v>
      </c>
      <c r="C174" s="325"/>
      <c r="D174" s="283"/>
      <c r="E174" s="407"/>
      <c r="F174" s="408"/>
      <c r="G174" s="282"/>
      <c r="H174" s="282"/>
      <c r="I174" s="282"/>
      <c r="J174" s="284"/>
    </row>
    <row r="175" spans="1:10" outlineLevel="3" x14ac:dyDescent="0.25">
      <c r="A175" s="253"/>
      <c r="B175" s="357" t="s">
        <v>193</v>
      </c>
      <c r="C175" s="325"/>
      <c r="D175" s="283"/>
      <c r="E175" s="407"/>
      <c r="F175" s="408"/>
      <c r="G175" s="282"/>
      <c r="H175" s="282"/>
      <c r="I175" s="282"/>
      <c r="J175" s="284"/>
    </row>
    <row r="176" spans="1:10" ht="15.75" outlineLevel="3" thickBot="1" x14ac:dyDescent="0.3">
      <c r="A176" s="253"/>
      <c r="B176" s="549"/>
      <c r="C176" s="550" t="s">
        <v>120</v>
      </c>
      <c r="D176" s="550">
        <f>SUM(D173:D175)</f>
        <v>0</v>
      </c>
      <c r="E176" s="550">
        <f t="shared" ref="E176" si="156">SUM(E173:E175)</f>
        <v>0</v>
      </c>
      <c r="F176" s="550">
        <f t="shared" ref="F176" si="157">SUM(F173:F175)</f>
        <v>0</v>
      </c>
      <c r="G176" s="550">
        <f t="shared" ref="G176" si="158">SUM(G173:G175)</f>
        <v>0</v>
      </c>
      <c r="H176" s="550">
        <f t="shared" ref="H176" si="159">SUM(H173:H175)</f>
        <v>0</v>
      </c>
      <c r="I176" s="550">
        <f t="shared" ref="I176" si="160">SUM(I173:I175)</f>
        <v>0</v>
      </c>
      <c r="J176" s="551">
        <f t="shared" ref="J176" si="161">SUM(J173:J175)</f>
        <v>0</v>
      </c>
    </row>
    <row r="177" spans="1:10" ht="21.75" customHeight="1" outlineLevel="3" x14ac:dyDescent="0.25">
      <c r="B177" s="560" t="s">
        <v>197</v>
      </c>
      <c r="C177" s="561"/>
      <c r="D177" s="561"/>
      <c r="E177" s="561"/>
      <c r="F177" s="561"/>
      <c r="G177" s="561"/>
      <c r="H177" s="561"/>
      <c r="I177" s="561"/>
      <c r="J177" s="562"/>
    </row>
    <row r="178" spans="1:10" outlineLevel="3" x14ac:dyDescent="0.25">
      <c r="A178" s="253"/>
      <c r="B178" s="357" t="s">
        <v>191</v>
      </c>
      <c r="C178" s="356"/>
      <c r="D178" s="283"/>
      <c r="E178" s="407"/>
      <c r="F178" s="408"/>
      <c r="G178" s="282"/>
      <c r="H178" s="282"/>
      <c r="I178" s="282"/>
      <c r="J178" s="284"/>
    </row>
    <row r="179" spans="1:10" outlineLevel="3" x14ac:dyDescent="0.25">
      <c r="A179" s="253"/>
      <c r="B179" s="357" t="s">
        <v>192</v>
      </c>
      <c r="C179" s="325"/>
      <c r="D179" s="283"/>
      <c r="E179" s="407"/>
      <c r="F179" s="408"/>
      <c r="G179" s="282"/>
      <c r="H179" s="282"/>
      <c r="I179" s="282"/>
      <c r="J179" s="284"/>
    </row>
    <row r="180" spans="1:10" outlineLevel="3" x14ac:dyDescent="0.25">
      <c r="A180" s="253"/>
      <c r="B180" s="571" t="s">
        <v>193</v>
      </c>
      <c r="C180" s="326"/>
      <c r="D180" s="321"/>
      <c r="E180" s="568"/>
      <c r="F180" s="410"/>
      <c r="G180" s="322"/>
      <c r="H180" s="322"/>
      <c r="I180" s="322"/>
      <c r="J180" s="569"/>
    </row>
    <row r="181" spans="1:10" ht="15.75" outlineLevel="3" thickBot="1" x14ac:dyDescent="0.3">
      <c r="A181" s="253"/>
      <c r="B181" s="549"/>
      <c r="C181" s="550" t="s">
        <v>120</v>
      </c>
      <c r="D181" s="550">
        <f>SUM(D178:D180)</f>
        <v>0</v>
      </c>
      <c r="E181" s="550">
        <f t="shared" ref="E181" si="162">SUM(E178:E180)</f>
        <v>0</v>
      </c>
      <c r="F181" s="550">
        <f t="shared" ref="F181" si="163">SUM(F178:F180)</f>
        <v>0</v>
      </c>
      <c r="G181" s="550">
        <f t="shared" ref="G181" si="164">SUM(G178:G180)</f>
        <v>0</v>
      </c>
      <c r="H181" s="550">
        <f t="shared" ref="H181" si="165">SUM(H178:H180)</f>
        <v>0</v>
      </c>
      <c r="I181" s="550">
        <f t="shared" ref="I181" si="166">SUM(I178:I180)</f>
        <v>0</v>
      </c>
      <c r="J181" s="551">
        <f t="shared" ref="J181" si="167">SUM(J178:J180)</f>
        <v>0</v>
      </c>
    </row>
    <row r="182" spans="1:10" ht="21.75" customHeight="1" outlineLevel="3" x14ac:dyDescent="0.25">
      <c r="B182" s="560" t="s">
        <v>198</v>
      </c>
      <c r="C182" s="561"/>
      <c r="D182" s="561"/>
      <c r="E182" s="561"/>
      <c r="F182" s="561"/>
      <c r="G182" s="561"/>
      <c r="H182" s="561"/>
      <c r="I182" s="561"/>
      <c r="J182" s="562"/>
    </row>
    <row r="183" spans="1:10" outlineLevel="3" x14ac:dyDescent="0.25">
      <c r="A183" s="253"/>
      <c r="B183" s="357" t="s">
        <v>191</v>
      </c>
      <c r="C183" s="356"/>
      <c r="D183" s="283"/>
      <c r="E183" s="407"/>
      <c r="F183" s="408"/>
      <c r="G183" s="282"/>
      <c r="H183" s="282"/>
      <c r="I183" s="282"/>
      <c r="J183" s="284"/>
    </row>
    <row r="184" spans="1:10" outlineLevel="3" x14ac:dyDescent="0.25">
      <c r="A184" s="253"/>
      <c r="B184" s="357" t="s">
        <v>192</v>
      </c>
      <c r="C184" s="325"/>
      <c r="D184" s="283"/>
      <c r="E184" s="407"/>
      <c r="F184" s="408"/>
      <c r="G184" s="282"/>
      <c r="H184" s="282"/>
      <c r="I184" s="282"/>
      <c r="J184" s="284"/>
    </row>
    <row r="185" spans="1:10" outlineLevel="3" x14ac:dyDescent="0.25">
      <c r="A185" s="253"/>
      <c r="B185" s="571" t="s">
        <v>193</v>
      </c>
      <c r="C185" s="326"/>
      <c r="D185" s="321"/>
      <c r="E185" s="568"/>
      <c r="F185" s="410"/>
      <c r="G185" s="322"/>
      <c r="H185" s="322"/>
      <c r="I185" s="322"/>
      <c r="J185" s="569"/>
    </row>
    <row r="186" spans="1:10" ht="15.75" outlineLevel="3" thickBot="1" x14ac:dyDescent="0.3">
      <c r="A186" s="253"/>
      <c r="B186" s="549"/>
      <c r="C186" s="550" t="s">
        <v>120</v>
      </c>
      <c r="D186" s="550">
        <f>SUM(D183:D185)</f>
        <v>0</v>
      </c>
      <c r="E186" s="550">
        <f t="shared" ref="E186:J186" si="168">SUM(E183:E185)</f>
        <v>0</v>
      </c>
      <c r="F186" s="550">
        <f t="shared" si="168"/>
        <v>0</v>
      </c>
      <c r="G186" s="550">
        <f t="shared" si="168"/>
        <v>0</v>
      </c>
      <c r="H186" s="550">
        <f t="shared" si="168"/>
        <v>0</v>
      </c>
      <c r="I186" s="550">
        <f t="shared" si="168"/>
        <v>0</v>
      </c>
      <c r="J186" s="551">
        <f t="shared" si="168"/>
        <v>0</v>
      </c>
    </row>
    <row r="187" spans="1:10" ht="15.75" outlineLevel="3" thickBot="1" x14ac:dyDescent="0.3">
      <c r="A187" s="253"/>
      <c r="B187" s="323"/>
      <c r="C187" s="2" t="s">
        <v>146</v>
      </c>
      <c r="D187" s="2">
        <f>SUM(D181,D176,D171,D166,D161)</f>
        <v>0</v>
      </c>
      <c r="E187" s="2">
        <f t="shared" ref="E187" si="169">SUM(E181,E176,E171,E166,E161)</f>
        <v>0</v>
      </c>
      <c r="F187" s="2">
        <f t="shared" ref="F187" si="170">SUM(F181,F176,F171,F166,F161)</f>
        <v>0</v>
      </c>
      <c r="G187" s="2">
        <f t="shared" ref="G187" si="171">SUM(G181,G176,G171,G166,G161)</f>
        <v>0</v>
      </c>
      <c r="H187" s="2">
        <f t="shared" ref="H187" si="172">SUM(H181,H176,H171,H166,H161)</f>
        <v>0</v>
      </c>
      <c r="I187" s="2">
        <f t="shared" ref="I187" si="173">SUM(I181,I176,I171,I166,I161)</f>
        <v>0</v>
      </c>
      <c r="J187" s="563">
        <f t="shared" ref="J187" si="174">SUM(J181,J176,J171,J166,J161)</f>
        <v>0</v>
      </c>
    </row>
    <row r="188" spans="1:10" ht="15.75" outlineLevel="2" thickBot="1" x14ac:dyDescent="0.3"/>
    <row r="189" spans="1:10" ht="21.75" customHeight="1" outlineLevel="2" thickBot="1" x14ac:dyDescent="0.3">
      <c r="B189" s="250" t="s">
        <v>142</v>
      </c>
      <c r="C189" s="251"/>
      <c r="D189" s="251"/>
      <c r="E189" s="251"/>
      <c r="F189" s="251"/>
      <c r="G189" s="251"/>
      <c r="H189" s="251"/>
      <c r="I189" s="251"/>
      <c r="J189" s="252"/>
    </row>
    <row r="190" spans="1:10" ht="15" customHeight="1" outlineLevel="3" x14ac:dyDescent="0.25">
      <c r="A190" s="351"/>
      <c r="D190" s="1378" t="s">
        <v>24</v>
      </c>
      <c r="E190" s="1378"/>
      <c r="F190" s="1378"/>
      <c r="G190" s="1378"/>
      <c r="H190" s="1378"/>
      <c r="I190" s="1378"/>
      <c r="J190" s="1378"/>
    </row>
    <row r="191" spans="1:10" ht="15" customHeight="1" outlineLevel="3" x14ac:dyDescent="0.25">
      <c r="A191" s="351"/>
      <c r="D191" s="1378" t="str">
        <f ca="1">CONCATENATE("$, real ",dms_DollarReal)</f>
        <v>$, real June 2026</v>
      </c>
      <c r="E191" s="1378"/>
      <c r="F191" s="1378"/>
      <c r="G191" s="1378"/>
      <c r="H191" s="1378"/>
      <c r="I191" s="1378"/>
      <c r="J191" s="1378"/>
    </row>
    <row r="192" spans="1:10" ht="15.75" outlineLevel="3" thickBot="1" x14ac:dyDescent="0.3">
      <c r="B192" s="78"/>
      <c r="C192" s="319"/>
      <c r="D192" s="314" t="str">
        <f ca="1">dms_y1</f>
        <v>2024-25</v>
      </c>
      <c r="E192" s="314" t="str">
        <f ca="1">dms_y2</f>
        <v>2025-26</v>
      </c>
      <c r="F192" s="314" t="str">
        <f ca="1">dms_y3</f>
        <v>2026-27</v>
      </c>
      <c r="G192" s="314" t="str">
        <f ca="1">dms_y4</f>
        <v>2027-28</v>
      </c>
      <c r="H192" s="314" t="str">
        <f ca="1">dms_y5</f>
        <v>2028-29</v>
      </c>
      <c r="I192" s="314" t="str">
        <f ca="1">dms_y6</f>
        <v>2029-30</v>
      </c>
      <c r="J192" s="314" t="str">
        <f ca="1">dms_y7</f>
        <v>2030-31</v>
      </c>
    </row>
    <row r="193" spans="1:10" ht="21.75" customHeight="1" outlineLevel="3" x14ac:dyDescent="0.25">
      <c r="B193" s="560" t="s">
        <v>190</v>
      </c>
      <c r="C193" s="561"/>
      <c r="D193" s="561"/>
      <c r="E193" s="561"/>
      <c r="F193" s="561"/>
      <c r="G193" s="561"/>
      <c r="H193" s="561"/>
      <c r="I193" s="561"/>
      <c r="J193" s="562"/>
    </row>
    <row r="194" spans="1:10" outlineLevel="3" x14ac:dyDescent="0.25">
      <c r="A194" s="253"/>
      <c r="B194" s="357" t="s">
        <v>191</v>
      </c>
      <c r="C194" s="356"/>
      <c r="D194" s="283"/>
      <c r="E194" s="407"/>
      <c r="F194" s="408"/>
      <c r="G194" s="282"/>
      <c r="H194" s="282"/>
      <c r="I194" s="282"/>
      <c r="J194" s="284"/>
    </row>
    <row r="195" spans="1:10" outlineLevel="3" x14ac:dyDescent="0.25">
      <c r="A195" s="253"/>
      <c r="B195" s="357" t="s">
        <v>192</v>
      </c>
      <c r="C195" s="325"/>
      <c r="D195" s="283"/>
      <c r="E195" s="407"/>
      <c r="F195" s="408"/>
      <c r="G195" s="282"/>
      <c r="H195" s="282"/>
      <c r="I195" s="282"/>
      <c r="J195" s="284"/>
    </row>
    <row r="196" spans="1:10" outlineLevel="3" x14ac:dyDescent="0.25">
      <c r="A196" s="253"/>
      <c r="B196" s="357" t="s">
        <v>193</v>
      </c>
      <c r="C196" s="325"/>
      <c r="D196" s="283"/>
      <c r="E196" s="407"/>
      <c r="F196" s="408"/>
      <c r="G196" s="282"/>
      <c r="H196" s="282"/>
      <c r="I196" s="282"/>
      <c r="J196" s="284"/>
    </row>
    <row r="197" spans="1:10" ht="15.75" outlineLevel="3" thickBot="1" x14ac:dyDescent="0.3">
      <c r="A197" s="253"/>
      <c r="B197" s="549"/>
      <c r="C197" s="550" t="s">
        <v>120</v>
      </c>
      <c r="D197" s="550">
        <f>SUM(D194:D196)</f>
        <v>0</v>
      </c>
      <c r="E197" s="550">
        <f t="shared" ref="E197" si="175">SUM(E194:E196)</f>
        <v>0</v>
      </c>
      <c r="F197" s="550">
        <f t="shared" ref="F197" si="176">SUM(F194:F196)</f>
        <v>0</v>
      </c>
      <c r="G197" s="550">
        <f t="shared" ref="G197" si="177">SUM(G194:G196)</f>
        <v>0</v>
      </c>
      <c r="H197" s="550">
        <f t="shared" ref="H197" si="178">SUM(H194:H196)</f>
        <v>0</v>
      </c>
      <c r="I197" s="550">
        <f t="shared" ref="I197" si="179">SUM(I194:I196)</f>
        <v>0</v>
      </c>
      <c r="J197" s="551">
        <f t="shared" ref="J197" si="180">SUM(J194:J196)</f>
        <v>0</v>
      </c>
    </row>
    <row r="198" spans="1:10" ht="21.75" customHeight="1" outlineLevel="3" x14ac:dyDescent="0.25">
      <c r="B198" s="560" t="s">
        <v>194</v>
      </c>
      <c r="C198" s="561"/>
      <c r="D198" s="561"/>
      <c r="E198" s="561"/>
      <c r="F198" s="561"/>
      <c r="G198" s="561"/>
      <c r="H198" s="561"/>
      <c r="I198" s="561"/>
      <c r="J198" s="562"/>
    </row>
    <row r="199" spans="1:10" outlineLevel="3" x14ac:dyDescent="0.25">
      <c r="A199" s="253"/>
      <c r="B199" s="357" t="s">
        <v>191</v>
      </c>
      <c r="C199" s="356"/>
      <c r="D199" s="283"/>
      <c r="E199" s="407"/>
      <c r="F199" s="408"/>
      <c r="G199" s="282"/>
      <c r="H199" s="282"/>
      <c r="I199" s="282"/>
      <c r="J199" s="284"/>
    </row>
    <row r="200" spans="1:10" outlineLevel="3" x14ac:dyDescent="0.25">
      <c r="A200" s="253"/>
      <c r="B200" s="357" t="s">
        <v>192</v>
      </c>
      <c r="C200" s="325"/>
      <c r="D200" s="283"/>
      <c r="E200" s="407"/>
      <c r="F200" s="408"/>
      <c r="G200" s="282"/>
      <c r="H200" s="282"/>
      <c r="I200" s="282"/>
      <c r="J200" s="284"/>
    </row>
    <row r="201" spans="1:10" outlineLevel="3" x14ac:dyDescent="0.25">
      <c r="A201" s="253"/>
      <c r="B201" s="357" t="s">
        <v>193</v>
      </c>
      <c r="C201" s="325"/>
      <c r="D201" s="283"/>
      <c r="E201" s="407"/>
      <c r="F201" s="408"/>
      <c r="G201" s="282"/>
      <c r="H201" s="282"/>
      <c r="I201" s="282"/>
      <c r="J201" s="284"/>
    </row>
    <row r="202" spans="1:10" ht="15.75" outlineLevel="3" thickBot="1" x14ac:dyDescent="0.3">
      <c r="A202" s="253"/>
      <c r="B202" s="549"/>
      <c r="C202" s="550" t="s">
        <v>120</v>
      </c>
      <c r="D202" s="550">
        <f>SUM(D199:D201)</f>
        <v>0</v>
      </c>
      <c r="E202" s="550">
        <f t="shared" ref="E202" si="181">SUM(E199:E201)</f>
        <v>0</v>
      </c>
      <c r="F202" s="550">
        <f t="shared" ref="F202" si="182">SUM(F199:F201)</f>
        <v>0</v>
      </c>
      <c r="G202" s="550">
        <f t="shared" ref="G202" si="183">SUM(G199:G201)</f>
        <v>0</v>
      </c>
      <c r="H202" s="550">
        <f t="shared" ref="H202" si="184">SUM(H199:H201)</f>
        <v>0</v>
      </c>
      <c r="I202" s="550">
        <f t="shared" ref="I202" si="185">SUM(I199:I201)</f>
        <v>0</v>
      </c>
      <c r="J202" s="551">
        <f t="shared" ref="J202" si="186">SUM(J199:J201)</f>
        <v>0</v>
      </c>
    </row>
    <row r="203" spans="1:10" ht="21.75" customHeight="1" outlineLevel="3" x14ac:dyDescent="0.25">
      <c r="B203" s="560" t="s">
        <v>195</v>
      </c>
      <c r="C203" s="561"/>
      <c r="D203" s="561"/>
      <c r="E203" s="561"/>
      <c r="F203" s="561"/>
      <c r="G203" s="561"/>
      <c r="H203" s="561"/>
      <c r="I203" s="561"/>
      <c r="J203" s="562"/>
    </row>
    <row r="204" spans="1:10" outlineLevel="3" x14ac:dyDescent="0.25">
      <c r="A204" s="253"/>
      <c r="B204" s="357" t="s">
        <v>191</v>
      </c>
      <c r="C204" s="356"/>
      <c r="D204" s="283"/>
      <c r="E204" s="407"/>
      <c r="F204" s="408"/>
      <c r="G204" s="282"/>
      <c r="H204" s="282"/>
      <c r="I204" s="282"/>
      <c r="J204" s="284"/>
    </row>
    <row r="205" spans="1:10" outlineLevel="3" x14ac:dyDescent="0.25">
      <c r="A205" s="253"/>
      <c r="B205" s="357" t="s">
        <v>192</v>
      </c>
      <c r="C205" s="325"/>
      <c r="D205" s="283"/>
      <c r="E205" s="407"/>
      <c r="F205" s="408"/>
      <c r="G205" s="282"/>
      <c r="H205" s="282"/>
      <c r="I205" s="282"/>
      <c r="J205" s="284"/>
    </row>
    <row r="206" spans="1:10" outlineLevel="3" x14ac:dyDescent="0.25">
      <c r="A206" s="253"/>
      <c r="B206" s="357" t="s">
        <v>193</v>
      </c>
      <c r="C206" s="325"/>
      <c r="D206" s="283"/>
      <c r="E206" s="407"/>
      <c r="F206" s="408"/>
      <c r="G206" s="282"/>
      <c r="H206" s="282"/>
      <c r="I206" s="282"/>
      <c r="J206" s="284"/>
    </row>
    <row r="207" spans="1:10" ht="15.75" outlineLevel="3" thickBot="1" x14ac:dyDescent="0.3">
      <c r="A207" s="253"/>
      <c r="B207" s="549"/>
      <c r="C207" s="550" t="s">
        <v>120</v>
      </c>
      <c r="D207" s="550">
        <f>SUM(D204:D206)</f>
        <v>0</v>
      </c>
      <c r="E207" s="550">
        <f t="shared" ref="E207" si="187">SUM(E204:E206)</f>
        <v>0</v>
      </c>
      <c r="F207" s="550">
        <f t="shared" ref="F207" si="188">SUM(F204:F206)</f>
        <v>0</v>
      </c>
      <c r="G207" s="550">
        <f t="shared" ref="G207" si="189">SUM(G204:G206)</f>
        <v>0</v>
      </c>
      <c r="H207" s="550">
        <f t="shared" ref="H207" si="190">SUM(H204:H206)</f>
        <v>0</v>
      </c>
      <c r="I207" s="550">
        <f t="shared" ref="I207" si="191">SUM(I204:I206)</f>
        <v>0</v>
      </c>
      <c r="J207" s="551">
        <f t="shared" ref="J207" si="192">SUM(J204:J206)</f>
        <v>0</v>
      </c>
    </row>
    <row r="208" spans="1:10" ht="21.75" customHeight="1" outlineLevel="3" x14ac:dyDescent="0.25">
      <c r="B208" s="560" t="s">
        <v>196</v>
      </c>
      <c r="C208" s="561"/>
      <c r="D208" s="561"/>
      <c r="E208" s="561"/>
      <c r="F208" s="561"/>
      <c r="G208" s="561"/>
      <c r="H208" s="561"/>
      <c r="I208" s="561"/>
      <c r="J208" s="562"/>
    </row>
    <row r="209" spans="1:10" outlineLevel="3" x14ac:dyDescent="0.25">
      <c r="A209" s="253"/>
      <c r="B209" s="357" t="s">
        <v>191</v>
      </c>
      <c r="C209" s="356"/>
      <c r="D209" s="283"/>
      <c r="E209" s="407"/>
      <c r="F209" s="408"/>
      <c r="G209" s="282"/>
      <c r="H209" s="282"/>
      <c r="I209" s="282"/>
      <c r="J209" s="284"/>
    </row>
    <row r="210" spans="1:10" outlineLevel="3" x14ac:dyDescent="0.25">
      <c r="A210" s="253"/>
      <c r="B210" s="357" t="s">
        <v>192</v>
      </c>
      <c r="C210" s="325"/>
      <c r="D210" s="283"/>
      <c r="E210" s="407"/>
      <c r="F210" s="408"/>
      <c r="G210" s="282"/>
      <c r="H210" s="282"/>
      <c r="I210" s="282"/>
      <c r="J210" s="284"/>
    </row>
    <row r="211" spans="1:10" outlineLevel="3" x14ac:dyDescent="0.25">
      <c r="A211" s="253"/>
      <c r="B211" s="357" t="s">
        <v>193</v>
      </c>
      <c r="C211" s="325"/>
      <c r="D211" s="283"/>
      <c r="E211" s="407"/>
      <c r="F211" s="408"/>
      <c r="G211" s="282"/>
      <c r="H211" s="282"/>
      <c r="I211" s="282"/>
      <c r="J211" s="284"/>
    </row>
    <row r="212" spans="1:10" ht="15.75" outlineLevel="3" thickBot="1" x14ac:dyDescent="0.3">
      <c r="A212" s="253"/>
      <c r="B212" s="549"/>
      <c r="C212" s="550" t="s">
        <v>120</v>
      </c>
      <c r="D212" s="550">
        <f>SUM(D209:D211)</f>
        <v>0</v>
      </c>
      <c r="E212" s="550">
        <f t="shared" ref="E212" si="193">SUM(E209:E211)</f>
        <v>0</v>
      </c>
      <c r="F212" s="550">
        <f t="shared" ref="F212" si="194">SUM(F209:F211)</f>
        <v>0</v>
      </c>
      <c r="G212" s="550">
        <f t="shared" ref="G212" si="195">SUM(G209:G211)</f>
        <v>0</v>
      </c>
      <c r="H212" s="550">
        <f t="shared" ref="H212" si="196">SUM(H209:H211)</f>
        <v>0</v>
      </c>
      <c r="I212" s="550">
        <f t="shared" ref="I212" si="197">SUM(I209:I211)</f>
        <v>0</v>
      </c>
      <c r="J212" s="551">
        <f t="shared" ref="J212" si="198">SUM(J209:J211)</f>
        <v>0</v>
      </c>
    </row>
    <row r="213" spans="1:10" ht="21.75" customHeight="1" outlineLevel="3" x14ac:dyDescent="0.25">
      <c r="B213" s="560" t="s">
        <v>197</v>
      </c>
      <c r="C213" s="561"/>
      <c r="D213" s="561"/>
      <c r="E213" s="561"/>
      <c r="F213" s="561"/>
      <c r="G213" s="561"/>
      <c r="H213" s="561"/>
      <c r="I213" s="561"/>
      <c r="J213" s="562"/>
    </row>
    <row r="214" spans="1:10" outlineLevel="3" x14ac:dyDescent="0.25">
      <c r="A214" s="253"/>
      <c r="B214" s="357" t="s">
        <v>191</v>
      </c>
      <c r="C214" s="356"/>
      <c r="D214" s="283"/>
      <c r="E214" s="407"/>
      <c r="F214" s="408"/>
      <c r="G214" s="282"/>
      <c r="H214" s="282"/>
      <c r="I214" s="282"/>
      <c r="J214" s="284"/>
    </row>
    <row r="215" spans="1:10" outlineLevel="3" x14ac:dyDescent="0.25">
      <c r="A215" s="253"/>
      <c r="B215" s="357" t="s">
        <v>192</v>
      </c>
      <c r="C215" s="325"/>
      <c r="D215" s="283"/>
      <c r="E215" s="407"/>
      <c r="F215" s="408"/>
      <c r="G215" s="282"/>
      <c r="H215" s="282"/>
      <c r="I215" s="282"/>
      <c r="J215" s="284"/>
    </row>
    <row r="216" spans="1:10" outlineLevel="3" x14ac:dyDescent="0.25">
      <c r="A216" s="253"/>
      <c r="B216" s="571" t="s">
        <v>193</v>
      </c>
      <c r="C216" s="326"/>
      <c r="D216" s="321"/>
      <c r="E216" s="568"/>
      <c r="F216" s="410"/>
      <c r="G216" s="322"/>
      <c r="H216" s="322"/>
      <c r="I216" s="322"/>
      <c r="J216" s="569"/>
    </row>
    <row r="217" spans="1:10" ht="15.75" outlineLevel="3" thickBot="1" x14ac:dyDescent="0.3">
      <c r="A217" s="253"/>
      <c r="B217" s="549"/>
      <c r="C217" s="550" t="s">
        <v>120</v>
      </c>
      <c r="D217" s="550">
        <f>SUM(D214:D216)</f>
        <v>0</v>
      </c>
      <c r="E217" s="550">
        <f t="shared" ref="E217" si="199">SUM(E214:E216)</f>
        <v>0</v>
      </c>
      <c r="F217" s="550">
        <f t="shared" ref="F217" si="200">SUM(F214:F216)</f>
        <v>0</v>
      </c>
      <c r="G217" s="550">
        <f t="shared" ref="G217" si="201">SUM(G214:G216)</f>
        <v>0</v>
      </c>
      <c r="H217" s="550">
        <f t="shared" ref="H217" si="202">SUM(H214:H216)</f>
        <v>0</v>
      </c>
      <c r="I217" s="550">
        <f t="shared" ref="I217" si="203">SUM(I214:I216)</f>
        <v>0</v>
      </c>
      <c r="J217" s="551">
        <f t="shared" ref="J217" si="204">SUM(J214:J216)</f>
        <v>0</v>
      </c>
    </row>
    <row r="218" spans="1:10" ht="21.75" customHeight="1" outlineLevel="3" x14ac:dyDescent="0.25">
      <c r="B218" s="560" t="s">
        <v>198</v>
      </c>
      <c r="C218" s="561"/>
      <c r="D218" s="561"/>
      <c r="E218" s="561"/>
      <c r="F218" s="561"/>
      <c r="G218" s="561"/>
      <c r="H218" s="561"/>
      <c r="I218" s="561"/>
      <c r="J218" s="562"/>
    </row>
    <row r="219" spans="1:10" outlineLevel="3" x14ac:dyDescent="0.25">
      <c r="A219" s="253"/>
      <c r="B219" s="357" t="s">
        <v>191</v>
      </c>
      <c r="C219" s="356"/>
      <c r="D219" s="283"/>
      <c r="E219" s="407"/>
      <c r="F219" s="408"/>
      <c r="G219" s="282"/>
      <c r="H219" s="282"/>
      <c r="I219" s="282"/>
      <c r="J219" s="284"/>
    </row>
    <row r="220" spans="1:10" outlineLevel="3" x14ac:dyDescent="0.25">
      <c r="A220" s="253"/>
      <c r="B220" s="357" t="s">
        <v>192</v>
      </c>
      <c r="C220" s="325"/>
      <c r="D220" s="283"/>
      <c r="E220" s="407"/>
      <c r="F220" s="408"/>
      <c r="G220" s="282"/>
      <c r="H220" s="282"/>
      <c r="I220" s="282"/>
      <c r="J220" s="284"/>
    </row>
    <row r="221" spans="1:10" outlineLevel="3" x14ac:dyDescent="0.25">
      <c r="A221" s="253"/>
      <c r="B221" s="571" t="s">
        <v>193</v>
      </c>
      <c r="C221" s="326"/>
      <c r="D221" s="321"/>
      <c r="E221" s="568"/>
      <c r="F221" s="410"/>
      <c r="G221" s="322"/>
      <c r="H221" s="322"/>
      <c r="I221" s="322"/>
      <c r="J221" s="569"/>
    </row>
    <row r="222" spans="1:10" ht="15.75" outlineLevel="3" thickBot="1" x14ac:dyDescent="0.3">
      <c r="A222" s="253"/>
      <c r="B222" s="549"/>
      <c r="C222" s="550" t="s">
        <v>120</v>
      </c>
      <c r="D222" s="550">
        <f>SUM(D219:D221)</f>
        <v>0</v>
      </c>
      <c r="E222" s="550">
        <f t="shared" ref="E222:J222" si="205">SUM(E219:E221)</f>
        <v>0</v>
      </c>
      <c r="F222" s="550">
        <f t="shared" si="205"/>
        <v>0</v>
      </c>
      <c r="G222" s="550">
        <f t="shared" si="205"/>
        <v>0</v>
      </c>
      <c r="H222" s="550">
        <f t="shared" si="205"/>
        <v>0</v>
      </c>
      <c r="I222" s="550">
        <f t="shared" si="205"/>
        <v>0</v>
      </c>
      <c r="J222" s="551">
        <f t="shared" si="205"/>
        <v>0</v>
      </c>
    </row>
    <row r="223" spans="1:10" ht="15.75" outlineLevel="3" thickBot="1" x14ac:dyDescent="0.3">
      <c r="A223" s="253"/>
      <c r="B223" s="323"/>
      <c r="C223" s="2" t="s">
        <v>146</v>
      </c>
      <c r="D223" s="2">
        <f>SUM(D217,D212,D207,D202,D197)</f>
        <v>0</v>
      </c>
      <c r="E223" s="2">
        <f t="shared" ref="E223" si="206">SUM(E217,E212,E207,E202,E197)</f>
        <v>0</v>
      </c>
      <c r="F223" s="2">
        <f t="shared" ref="F223" si="207">SUM(F217,F212,F207,F202,F197)</f>
        <v>0</v>
      </c>
      <c r="G223" s="2">
        <f t="shared" ref="G223" si="208">SUM(G217,G212,G207,G202,G197)</f>
        <v>0</v>
      </c>
      <c r="H223" s="2">
        <f t="shared" ref="H223" si="209">SUM(H217,H212,H207,H202,H197)</f>
        <v>0</v>
      </c>
      <c r="I223" s="2">
        <f t="shared" ref="I223" si="210">SUM(I217,I212,I207,I202,I197)</f>
        <v>0</v>
      </c>
      <c r="J223" s="563">
        <f t="shared" ref="J223" si="211">SUM(J217,J212,J207,J202,J197)</f>
        <v>0</v>
      </c>
    </row>
    <row r="224" spans="1:10" outlineLevel="2" x14ac:dyDescent="0.25"/>
    <row r="225" spans="1:10" ht="15" customHeight="1" outlineLevel="1" thickBot="1" x14ac:dyDescent="0.3"/>
    <row r="226" spans="1:10" ht="27.95" customHeight="1" thickBot="1" x14ac:dyDescent="0.3">
      <c r="B226" s="32" t="s">
        <v>199</v>
      </c>
      <c r="C226" s="32"/>
      <c r="D226" s="32"/>
      <c r="E226" s="32"/>
      <c r="F226" s="32"/>
      <c r="G226" s="32"/>
      <c r="H226" s="32"/>
      <c r="I226" s="32"/>
      <c r="J226" s="32"/>
    </row>
    <row r="227" spans="1:10" ht="27" customHeight="1" outlineLevel="1" thickBot="1" x14ac:dyDescent="0.3">
      <c r="A227" s="339"/>
      <c r="B227" s="247" t="s">
        <v>200</v>
      </c>
      <c r="C227" s="248"/>
      <c r="D227" s="248"/>
      <c r="E227" s="248"/>
      <c r="F227" s="248"/>
      <c r="G227" s="248"/>
      <c r="H227" s="248"/>
      <c r="I227" s="248"/>
      <c r="J227" s="248"/>
    </row>
    <row r="228" spans="1:10" ht="15" customHeight="1" outlineLevel="3" x14ac:dyDescent="0.25">
      <c r="A228" s="351"/>
      <c r="D228" s="1378" t="s">
        <v>201</v>
      </c>
      <c r="E228" s="1378"/>
      <c r="F228" s="1378"/>
      <c r="G228" s="1378"/>
      <c r="H228" s="1378"/>
      <c r="I228" s="1378"/>
      <c r="J228" s="1378"/>
    </row>
    <row r="229" spans="1:10" ht="15" customHeight="1" outlineLevel="3" x14ac:dyDescent="0.25">
      <c r="A229" s="351"/>
      <c r="D229" s="1378" t="str">
        <f ca="1">CONCATENATE("$, real ",dms_DollarReal)</f>
        <v>$, real June 2026</v>
      </c>
      <c r="E229" s="1378"/>
      <c r="F229" s="1378"/>
      <c r="G229" s="1378"/>
      <c r="H229" s="1378"/>
      <c r="I229" s="1378"/>
      <c r="J229" s="1378"/>
    </row>
    <row r="230" spans="1:10" ht="15.75" outlineLevel="3" thickBot="1" x14ac:dyDescent="0.3">
      <c r="A230" s="309"/>
      <c r="C230" s="352" t="s">
        <v>202</v>
      </c>
      <c r="D230" s="314" t="str">
        <f ca="1">dms_y1</f>
        <v>2024-25</v>
      </c>
      <c r="E230" s="314" t="str">
        <f ca="1">dms_y2</f>
        <v>2025-26</v>
      </c>
      <c r="F230" s="314" t="str">
        <f ca="1">dms_y3</f>
        <v>2026-27</v>
      </c>
      <c r="G230" s="314" t="str">
        <f ca="1">dms_y4</f>
        <v>2027-28</v>
      </c>
      <c r="H230" s="314" t="str">
        <f ca="1">dms_y5</f>
        <v>2028-29</v>
      </c>
      <c r="I230" s="314" t="str">
        <f ca="1">dms_y6</f>
        <v>2029-30</v>
      </c>
      <c r="J230" s="314" t="str">
        <f ca="1">dms_y7</f>
        <v>2030-31</v>
      </c>
    </row>
    <row r="231" spans="1:10" ht="20.25" customHeight="1" outlineLevel="3" thickBot="1" x14ac:dyDescent="0.3">
      <c r="A231" s="309"/>
      <c r="B231" s="250" t="s">
        <v>203</v>
      </c>
      <c r="C231" s="251"/>
      <c r="D231" s="251"/>
      <c r="E231" s="251"/>
      <c r="F231" s="251"/>
      <c r="G231" s="251"/>
      <c r="H231" s="251"/>
      <c r="I231" s="251"/>
      <c r="J231" s="252"/>
    </row>
    <row r="232" spans="1:10" outlineLevel="3" x14ac:dyDescent="0.25">
      <c r="A232" s="309"/>
      <c r="B232" s="564" t="s">
        <v>191</v>
      </c>
      <c r="C232" s="353" t="s">
        <v>204</v>
      </c>
      <c r="D232" s="1544"/>
      <c r="E232" s="1547"/>
      <c r="F232" s="1548"/>
      <c r="G232" s="1549"/>
      <c r="H232" s="1549"/>
      <c r="I232" s="1549"/>
      <c r="J232" s="1550"/>
    </row>
    <row r="233" spans="1:10" outlineLevel="3" x14ac:dyDescent="0.25">
      <c r="A233" s="309"/>
      <c r="B233" s="565" t="s">
        <v>192</v>
      </c>
      <c r="C233" s="354" t="s">
        <v>205</v>
      </c>
      <c r="D233" s="1544"/>
      <c r="E233" s="1547"/>
      <c r="F233" s="1548"/>
      <c r="G233" s="1549"/>
      <c r="H233" s="1549"/>
      <c r="I233" s="1549"/>
      <c r="J233" s="1550"/>
    </row>
    <row r="234" spans="1:10" ht="15.75" outlineLevel="3" thickBot="1" x14ac:dyDescent="0.3">
      <c r="A234" s="309"/>
      <c r="B234" s="566" t="s">
        <v>193</v>
      </c>
      <c r="C234" s="355" t="s">
        <v>206</v>
      </c>
      <c r="D234" s="1544"/>
      <c r="E234" s="1547"/>
      <c r="F234" s="1548"/>
      <c r="G234" s="1549"/>
      <c r="H234" s="1549"/>
      <c r="I234" s="1549"/>
      <c r="J234" s="1550"/>
    </row>
    <row r="235" spans="1:10" ht="20.25" customHeight="1" outlineLevel="3" thickBot="1" x14ac:dyDescent="0.3">
      <c r="A235" s="309"/>
      <c r="B235" s="250" t="s">
        <v>207</v>
      </c>
      <c r="C235" s="251"/>
      <c r="D235" s="1592"/>
      <c r="E235" s="1592"/>
      <c r="F235" s="1592"/>
      <c r="G235" s="1592"/>
      <c r="H235" s="1592"/>
      <c r="I235" s="1592"/>
      <c r="J235" s="1593"/>
    </row>
    <row r="236" spans="1:10" outlineLevel="3" x14ac:dyDescent="0.25">
      <c r="A236" s="309"/>
      <c r="B236" s="564" t="s">
        <v>191</v>
      </c>
      <c r="C236" s="353" t="s">
        <v>204</v>
      </c>
      <c r="D236" s="1544"/>
      <c r="E236" s="1547"/>
      <c r="F236" s="1548"/>
      <c r="G236" s="1549"/>
      <c r="H236" s="1549"/>
      <c r="I236" s="1549"/>
      <c r="J236" s="1550"/>
    </row>
    <row r="237" spans="1:10" outlineLevel="3" x14ac:dyDescent="0.25">
      <c r="A237" s="309"/>
      <c r="B237" s="565" t="s">
        <v>192</v>
      </c>
      <c r="C237" s="354" t="s">
        <v>205</v>
      </c>
      <c r="D237" s="1544"/>
      <c r="E237" s="1547"/>
      <c r="F237" s="1548"/>
      <c r="G237" s="1549"/>
      <c r="H237" s="1549"/>
      <c r="I237" s="1549"/>
      <c r="J237" s="1550"/>
    </row>
    <row r="238" spans="1:10" ht="15.75" outlineLevel="3" thickBot="1" x14ac:dyDescent="0.3">
      <c r="A238" s="309"/>
      <c r="B238" s="566" t="s">
        <v>193</v>
      </c>
      <c r="C238" s="355" t="s">
        <v>206</v>
      </c>
      <c r="D238" s="1544"/>
      <c r="E238" s="1547"/>
      <c r="F238" s="1548"/>
      <c r="G238" s="1549"/>
      <c r="H238" s="1549"/>
      <c r="I238" s="1549"/>
      <c r="J238" s="1550"/>
    </row>
    <row r="239" spans="1:10" ht="20.25" customHeight="1" outlineLevel="3" thickBot="1" x14ac:dyDescent="0.3">
      <c r="A239" s="309"/>
      <c r="B239" s="250" t="s">
        <v>208</v>
      </c>
      <c r="C239" s="251"/>
      <c r="D239" s="1592"/>
      <c r="E239" s="1592"/>
      <c r="F239" s="1592"/>
      <c r="G239" s="1592"/>
      <c r="H239" s="1592"/>
      <c r="I239" s="1592"/>
      <c r="J239" s="1593"/>
    </row>
    <row r="240" spans="1:10" outlineLevel="3" x14ac:dyDescent="0.25">
      <c r="A240" s="309"/>
      <c r="B240" s="564" t="s">
        <v>191</v>
      </c>
      <c r="C240" s="353" t="s">
        <v>204</v>
      </c>
      <c r="D240" s="1544"/>
      <c r="E240" s="1547"/>
      <c r="F240" s="1548"/>
      <c r="G240" s="1549"/>
      <c r="H240" s="1549"/>
      <c r="I240" s="1549"/>
      <c r="J240" s="1550"/>
    </row>
    <row r="241" spans="1:10" outlineLevel="3" x14ac:dyDescent="0.25">
      <c r="A241" s="309"/>
      <c r="B241" s="565" t="s">
        <v>192</v>
      </c>
      <c r="C241" s="354" t="s">
        <v>205</v>
      </c>
      <c r="D241" s="1544"/>
      <c r="E241" s="1547"/>
      <c r="F241" s="1548"/>
      <c r="G241" s="1549"/>
      <c r="H241" s="1549"/>
      <c r="I241" s="1549"/>
      <c r="J241" s="1550"/>
    </row>
    <row r="242" spans="1:10" ht="15.75" outlineLevel="3" thickBot="1" x14ac:dyDescent="0.3">
      <c r="A242" s="309"/>
      <c r="B242" s="566" t="s">
        <v>193</v>
      </c>
      <c r="C242" s="355" t="s">
        <v>206</v>
      </c>
      <c r="D242" s="1544"/>
      <c r="E242" s="1547"/>
      <c r="F242" s="1548"/>
      <c r="G242" s="1549"/>
      <c r="H242" s="1549"/>
      <c r="I242" s="1549"/>
      <c r="J242" s="1550"/>
    </row>
    <row r="243" spans="1:10" ht="20.25" customHeight="1" outlineLevel="3" thickBot="1" x14ac:dyDescent="0.3">
      <c r="A243" s="309"/>
      <c r="B243" s="250" t="s">
        <v>209</v>
      </c>
      <c r="C243" s="251"/>
      <c r="D243" s="1592"/>
      <c r="E243" s="1592"/>
      <c r="F243" s="1592"/>
      <c r="G243" s="1592"/>
      <c r="H243" s="1592"/>
      <c r="I243" s="1592"/>
      <c r="J243" s="1593"/>
    </row>
    <row r="244" spans="1:10" outlineLevel="3" x14ac:dyDescent="0.25">
      <c r="A244" s="309"/>
      <c r="B244" s="564" t="s">
        <v>191</v>
      </c>
      <c r="C244" s="353" t="s">
        <v>204</v>
      </c>
      <c r="D244" s="1544"/>
      <c r="E244" s="1547"/>
      <c r="F244" s="1548"/>
      <c r="G244" s="1549"/>
      <c r="H244" s="1549"/>
      <c r="I244" s="1549"/>
      <c r="J244" s="1550"/>
    </row>
    <row r="245" spans="1:10" outlineLevel="3" x14ac:dyDescent="0.25">
      <c r="A245" s="309"/>
      <c r="B245" s="565" t="s">
        <v>192</v>
      </c>
      <c r="C245" s="354" t="s">
        <v>205</v>
      </c>
      <c r="D245" s="1544"/>
      <c r="E245" s="1547"/>
      <c r="F245" s="1548"/>
      <c r="G245" s="1549"/>
      <c r="H245" s="1549"/>
      <c r="I245" s="1549"/>
      <c r="J245" s="1550"/>
    </row>
    <row r="246" spans="1:10" ht="15.75" outlineLevel="3" thickBot="1" x14ac:dyDescent="0.3">
      <c r="A246" s="309"/>
      <c r="B246" s="566" t="s">
        <v>193</v>
      </c>
      <c r="C246" s="355" t="s">
        <v>206</v>
      </c>
      <c r="D246" s="1544"/>
      <c r="E246" s="1547"/>
      <c r="F246" s="1548"/>
      <c r="G246" s="1549"/>
      <c r="H246" s="1549"/>
      <c r="I246" s="1549"/>
      <c r="J246" s="1550"/>
    </row>
    <row r="247" spans="1:10" ht="20.25" customHeight="1" outlineLevel="3" thickBot="1" x14ac:dyDescent="0.3">
      <c r="A247" s="309"/>
      <c r="B247" s="250" t="s">
        <v>210</v>
      </c>
      <c r="C247" s="251"/>
      <c r="D247" s="1592"/>
      <c r="E247" s="1592"/>
      <c r="F247" s="1592"/>
      <c r="G247" s="1592"/>
      <c r="H247" s="1592"/>
      <c r="I247" s="1592"/>
      <c r="J247" s="1593"/>
    </row>
    <row r="248" spans="1:10" outlineLevel="3" x14ac:dyDescent="0.25">
      <c r="A248" s="309"/>
      <c r="B248" s="564" t="s">
        <v>191</v>
      </c>
      <c r="C248" s="353" t="s">
        <v>204</v>
      </c>
      <c r="D248" s="1544"/>
      <c r="E248" s="1547"/>
      <c r="F248" s="1548"/>
      <c r="G248" s="1549"/>
      <c r="H248" s="1549"/>
      <c r="I248" s="1549"/>
      <c r="J248" s="1550"/>
    </row>
    <row r="249" spans="1:10" outlineLevel="3" x14ac:dyDescent="0.25">
      <c r="A249" s="309"/>
      <c r="B249" s="565" t="s">
        <v>192</v>
      </c>
      <c r="C249" s="354" t="s">
        <v>205</v>
      </c>
      <c r="D249" s="1544"/>
      <c r="E249" s="1547"/>
      <c r="F249" s="1548"/>
      <c r="G249" s="1549"/>
      <c r="H249" s="1549"/>
      <c r="I249" s="1549"/>
      <c r="J249" s="1550"/>
    </row>
    <row r="250" spans="1:10" ht="15.75" outlineLevel="3" thickBot="1" x14ac:dyDescent="0.3">
      <c r="A250" s="309"/>
      <c r="B250" s="567" t="s">
        <v>193</v>
      </c>
      <c r="C250" s="355" t="s">
        <v>206</v>
      </c>
      <c r="D250" s="1516"/>
      <c r="E250" s="1555"/>
      <c r="F250" s="1518"/>
      <c r="G250" s="1519"/>
      <c r="H250" s="1519"/>
      <c r="I250" s="1519"/>
      <c r="J250" s="1556"/>
    </row>
    <row r="251" spans="1:10" ht="20.25" customHeight="1" outlineLevel="3" thickBot="1" x14ac:dyDescent="0.3">
      <c r="A251" s="309"/>
      <c r="B251" s="250" t="s">
        <v>211</v>
      </c>
      <c r="C251" s="251"/>
      <c r="D251" s="1592"/>
      <c r="E251" s="1592"/>
      <c r="F251" s="1592"/>
      <c r="G251" s="1592"/>
      <c r="H251" s="1592"/>
      <c r="I251" s="1592"/>
      <c r="J251" s="1593"/>
    </row>
    <row r="252" spans="1:10" outlineLevel="3" x14ac:dyDescent="0.25">
      <c r="A252" s="309"/>
      <c r="B252" s="564" t="s">
        <v>191</v>
      </c>
      <c r="C252" s="353" t="s">
        <v>204</v>
      </c>
      <c r="D252" s="1544"/>
      <c r="E252" s="1547"/>
      <c r="F252" s="1548"/>
      <c r="G252" s="1549"/>
      <c r="H252" s="1549"/>
      <c r="I252" s="1549"/>
      <c r="J252" s="1550"/>
    </row>
    <row r="253" spans="1:10" outlineLevel="3" x14ac:dyDescent="0.25">
      <c r="A253" s="309"/>
      <c r="B253" s="565" t="s">
        <v>192</v>
      </c>
      <c r="C253" s="354" t="s">
        <v>205</v>
      </c>
      <c r="D253" s="1544"/>
      <c r="E253" s="1547"/>
      <c r="F253" s="1548"/>
      <c r="G253" s="1549"/>
      <c r="H253" s="1549"/>
      <c r="I253" s="1549"/>
      <c r="J253" s="1550"/>
    </row>
    <row r="254" spans="1:10" ht="15.75" outlineLevel="3" thickBot="1" x14ac:dyDescent="0.3">
      <c r="A254" s="309"/>
      <c r="B254" s="567" t="s">
        <v>193</v>
      </c>
      <c r="C254" s="355" t="s">
        <v>206</v>
      </c>
      <c r="D254" s="1516"/>
      <c r="E254" s="1555"/>
      <c r="F254" s="1518"/>
      <c r="G254" s="1519"/>
      <c r="H254" s="1519"/>
      <c r="I254" s="1519"/>
      <c r="J254" s="1556"/>
    </row>
    <row r="255" spans="1:10" outlineLevel="3" x14ac:dyDescent="0.25"/>
    <row r="256" spans="1:10" outlineLevel="1" x14ac:dyDescent="0.25"/>
    <row r="258" spans="1:10" ht="15.75" thickBot="1" x14ac:dyDescent="0.3"/>
    <row r="259" spans="1:10" ht="27.95" customHeight="1" thickBot="1" x14ac:dyDescent="0.3">
      <c r="B259" s="32" t="s">
        <v>212</v>
      </c>
      <c r="C259" s="32"/>
      <c r="D259" s="32"/>
      <c r="E259" s="32"/>
      <c r="F259" s="32"/>
      <c r="G259" s="32"/>
      <c r="H259" s="32"/>
      <c r="I259" s="32"/>
      <c r="J259" s="32"/>
    </row>
    <row r="260" spans="1:10" ht="22.5" customHeight="1" outlineLevel="1" thickBot="1" x14ac:dyDescent="0.3">
      <c r="B260" s="247" t="s">
        <v>213</v>
      </c>
      <c r="C260" s="248"/>
      <c r="D260" s="248"/>
      <c r="E260" s="248"/>
      <c r="F260" s="248"/>
      <c r="G260" s="248"/>
      <c r="H260" s="248"/>
      <c r="I260" s="248"/>
      <c r="J260" s="248"/>
    </row>
    <row r="261" spans="1:10" outlineLevel="3" x14ac:dyDescent="0.25">
      <c r="B261" s="341"/>
      <c r="D261" s="1382" t="s">
        <v>159</v>
      </c>
      <c r="E261" s="1383"/>
      <c r="F261" s="1383"/>
      <c r="G261" s="1383"/>
      <c r="H261" s="1383"/>
      <c r="I261" s="1383"/>
      <c r="J261" s="1384"/>
    </row>
    <row r="262" spans="1:10" outlineLevel="3" x14ac:dyDescent="0.25">
      <c r="D262" s="1375" t="s">
        <v>160</v>
      </c>
      <c r="E262" s="1376"/>
      <c r="F262" s="1376"/>
      <c r="G262" s="1376"/>
      <c r="H262" s="1376"/>
      <c r="I262" s="1376"/>
      <c r="J262" s="1377"/>
    </row>
    <row r="263" spans="1:10" ht="15.75" outlineLevel="3" thickBot="1" x14ac:dyDescent="0.3">
      <c r="B263" s="342"/>
      <c r="C263" s="63"/>
      <c r="D263" s="405" t="str">
        <f ca="1">dms_y1</f>
        <v>2024-25</v>
      </c>
      <c r="E263" s="306" t="str">
        <f ca="1">dms_y2</f>
        <v>2025-26</v>
      </c>
      <c r="F263" s="305" t="str">
        <f ca="1">dms_y3</f>
        <v>2026-27</v>
      </c>
      <c r="G263" s="305" t="str">
        <f ca="1">dms_y4</f>
        <v>2027-28</v>
      </c>
      <c r="H263" s="305" t="str">
        <f ca="1">dms_y5</f>
        <v>2028-29</v>
      </c>
      <c r="I263" s="305" t="str">
        <f ca="1">dms_y6</f>
        <v>2029-30</v>
      </c>
      <c r="J263" s="406" t="str">
        <f ca="1">dms_y7</f>
        <v>2030-31</v>
      </c>
    </row>
    <row r="264" spans="1:10" outlineLevel="3" x14ac:dyDescent="0.25">
      <c r="B264" s="343" t="s">
        <v>214</v>
      </c>
      <c r="C264" s="344"/>
      <c r="D264" s="283">
        <v>403.62603120599135</v>
      </c>
      <c r="E264" s="407">
        <v>394.08268922266359</v>
      </c>
      <c r="F264" s="310">
        <v>378.11718357974127</v>
      </c>
      <c r="G264" s="282">
        <v>380.75661481437652</v>
      </c>
      <c r="H264" s="282">
        <v>388.41933377148382</v>
      </c>
      <c r="I264" s="282">
        <v>376.57751535953741</v>
      </c>
      <c r="J264" s="284">
        <v>350.49927886154836</v>
      </c>
    </row>
    <row r="265" spans="1:10" outlineLevel="3" x14ac:dyDescent="0.25">
      <c r="B265" s="345" t="s">
        <v>215</v>
      </c>
      <c r="C265" s="346"/>
      <c r="D265" s="283">
        <v>6249.7787576138899</v>
      </c>
      <c r="E265" s="407">
        <v>6102.0088632246761</v>
      </c>
      <c r="F265" s="408">
        <v>5854.797657040659</v>
      </c>
      <c r="G265" s="282">
        <v>5895.6668279737578</v>
      </c>
      <c r="H265" s="282">
        <v>6014.3170003142377</v>
      </c>
      <c r="I265" s="282">
        <v>5830.9573073296851</v>
      </c>
      <c r="J265" s="284">
        <v>5427.1597425041791</v>
      </c>
    </row>
    <row r="266" spans="1:10" outlineLevel="3" x14ac:dyDescent="0.25">
      <c r="B266" s="345" t="s">
        <v>216</v>
      </c>
      <c r="C266" s="346"/>
      <c r="D266" s="283">
        <v>484.97521118011991</v>
      </c>
      <c r="E266" s="407">
        <v>473.50844755266098</v>
      </c>
      <c r="F266" s="408">
        <v>454.32515937959943</v>
      </c>
      <c r="G266" s="282">
        <v>457.49655721186537</v>
      </c>
      <c r="H266" s="282">
        <v>466.70366591427774</v>
      </c>
      <c r="I266" s="282">
        <v>452.47517731077824</v>
      </c>
      <c r="J266" s="284">
        <v>421.14097863427378</v>
      </c>
    </row>
    <row r="267" spans="1:10" outlineLevel="3" x14ac:dyDescent="0.25">
      <c r="B267" s="345" t="s">
        <v>217</v>
      </c>
      <c r="C267" s="346"/>
      <c r="D267" s="283">
        <v>166.518</v>
      </c>
      <c r="E267" s="407">
        <v>164.46753180000002</v>
      </c>
      <c r="F267" s="408">
        <v>161.22648631320001</v>
      </c>
      <c r="G267" s="282">
        <v>160.23494342237385</v>
      </c>
      <c r="H267" s="282">
        <v>156.8393459450721</v>
      </c>
      <c r="I267" s="282">
        <v>153.31830262860524</v>
      </c>
      <c r="J267" s="284">
        <v>149.60523305893054</v>
      </c>
    </row>
    <row r="268" spans="1:10" outlineLevel="3" x14ac:dyDescent="0.25">
      <c r="B268" s="364" t="s">
        <v>218</v>
      </c>
      <c r="C268" s="365"/>
      <c r="D268" s="283"/>
      <c r="E268" s="407"/>
      <c r="F268" s="408"/>
      <c r="G268" s="282"/>
      <c r="H268" s="282"/>
      <c r="I268" s="282"/>
      <c r="J268" s="284"/>
    </row>
    <row r="269" spans="1:10" ht="15.75" outlineLevel="3" thickBot="1" x14ac:dyDescent="0.3">
      <c r="B269" s="364" t="s">
        <v>219</v>
      </c>
      <c r="C269" s="365"/>
      <c r="D269" s="283"/>
      <c r="E269" s="407"/>
      <c r="F269" s="408"/>
      <c r="G269" s="282"/>
      <c r="H269" s="282"/>
      <c r="I269" s="282"/>
      <c r="J269" s="284"/>
    </row>
    <row r="270" spans="1:10" ht="15.75" outlineLevel="3" thickBot="1" x14ac:dyDescent="0.3">
      <c r="B270" s="295"/>
      <c r="C270" s="296" t="s">
        <v>120</v>
      </c>
      <c r="D270" s="296">
        <f>SUM(D264:D269)</f>
        <v>7304.898000000001</v>
      </c>
      <c r="E270" s="296">
        <f t="shared" ref="E270:J270" si="212">SUM(E264:E269)</f>
        <v>7134.0675318000003</v>
      </c>
      <c r="F270" s="296">
        <f t="shared" si="212"/>
        <v>6848.4664863132002</v>
      </c>
      <c r="G270" s="296">
        <f t="shared" si="212"/>
        <v>6894.1549434223743</v>
      </c>
      <c r="H270" s="296">
        <f t="shared" si="212"/>
        <v>7026.2793459450713</v>
      </c>
      <c r="I270" s="296">
        <f t="shared" si="212"/>
        <v>6813.3283026286063</v>
      </c>
      <c r="J270" s="296">
        <f t="shared" si="212"/>
        <v>6348.405233058932</v>
      </c>
    </row>
    <row r="271" spans="1:10" ht="15.75" outlineLevel="1" thickBot="1" x14ac:dyDescent="0.3"/>
    <row r="272" spans="1:10" ht="27" customHeight="1" outlineLevel="1" thickBot="1" x14ac:dyDescent="0.3">
      <c r="A272" s="339"/>
      <c r="B272" s="247" t="s">
        <v>220</v>
      </c>
      <c r="C272" s="248"/>
      <c r="D272" s="248"/>
      <c r="E272" s="248"/>
      <c r="F272" s="248"/>
      <c r="G272" s="248"/>
      <c r="H272" s="248"/>
      <c r="I272" s="248"/>
      <c r="J272" s="248"/>
    </row>
    <row r="273" spans="1:10" s="42" customFormat="1" outlineLevel="3" x14ac:dyDescent="0.25">
      <c r="A273" s="291"/>
      <c r="B273"/>
      <c r="C273"/>
      <c r="D273" s="1382" t="s">
        <v>159</v>
      </c>
      <c r="E273" s="1383"/>
      <c r="F273" s="1383"/>
      <c r="G273" s="1383"/>
      <c r="H273" s="1383"/>
      <c r="I273" s="1383"/>
      <c r="J273" s="1384"/>
    </row>
    <row r="274" spans="1:10" s="42" customFormat="1" outlineLevel="3" x14ac:dyDescent="0.25">
      <c r="A274" s="291"/>
      <c r="B274"/>
      <c r="C274"/>
      <c r="D274" s="1375" t="s">
        <v>160</v>
      </c>
      <c r="E274" s="1376"/>
      <c r="F274" s="1376"/>
      <c r="G274" s="1376"/>
      <c r="H274" s="1376"/>
      <c r="I274" s="1376"/>
      <c r="J274" s="1377"/>
    </row>
    <row r="275" spans="1:10" s="42" customFormat="1" ht="15.75" outlineLevel="3" thickBot="1" x14ac:dyDescent="0.3">
      <c r="A275" s="291"/>
      <c r="B275"/>
      <c r="C275" s="347" t="s">
        <v>202</v>
      </c>
      <c r="D275" s="405" t="str">
        <f ca="1">dms_y1</f>
        <v>2024-25</v>
      </c>
      <c r="E275" s="306" t="str">
        <f ca="1">dms_y2</f>
        <v>2025-26</v>
      </c>
      <c r="F275" s="305" t="str">
        <f ca="1">dms_y3</f>
        <v>2026-27</v>
      </c>
      <c r="G275" s="305" t="str">
        <f ca="1">dms_y4</f>
        <v>2027-28</v>
      </c>
      <c r="H275" s="305" t="str">
        <f ca="1">dms_y5</f>
        <v>2028-29</v>
      </c>
      <c r="I275" s="305" t="str">
        <f ca="1">dms_y6</f>
        <v>2029-30</v>
      </c>
      <c r="J275" s="406" t="str">
        <f ca="1">dms_y7</f>
        <v>2030-31</v>
      </c>
    </row>
    <row r="276" spans="1:10" ht="20.25" customHeight="1" outlineLevel="3" thickBot="1" x14ac:dyDescent="0.3">
      <c r="A276" s="309"/>
      <c r="B276" s="250" t="s">
        <v>203</v>
      </c>
      <c r="C276" s="251"/>
      <c r="D276" s="251"/>
      <c r="E276" s="251"/>
      <c r="F276" s="251"/>
      <c r="G276" s="251"/>
      <c r="H276" s="251"/>
      <c r="I276" s="251"/>
      <c r="J276" s="252"/>
    </row>
    <row r="277" spans="1:10" outlineLevel="3" x14ac:dyDescent="0.25">
      <c r="A277" s="309"/>
      <c r="B277" s="348" t="s">
        <v>191</v>
      </c>
      <c r="C277" s="353" t="s">
        <v>221</v>
      </c>
      <c r="D277" s="283">
        <v>13.326023958091749</v>
      </c>
      <c r="E277" s="407">
        <v>13.326023958091747</v>
      </c>
      <c r="F277" s="408">
        <v>13.326023958091747</v>
      </c>
      <c r="G277" s="282">
        <v>13.326023958091747</v>
      </c>
      <c r="H277" s="282">
        <v>13.326023958091747</v>
      </c>
      <c r="I277" s="282">
        <v>13.326023958091747</v>
      </c>
      <c r="J277" s="284">
        <v>13.326023958091747</v>
      </c>
    </row>
    <row r="278" spans="1:10" outlineLevel="3" x14ac:dyDescent="0.25">
      <c r="A278" s="309"/>
      <c r="B278" s="349" t="s">
        <v>192</v>
      </c>
      <c r="C278" s="354" t="s">
        <v>206</v>
      </c>
      <c r="D278" s="283">
        <v>1</v>
      </c>
      <c r="E278" s="407">
        <v>1</v>
      </c>
      <c r="F278" s="408">
        <v>1</v>
      </c>
      <c r="G278" s="282">
        <v>1</v>
      </c>
      <c r="H278" s="282">
        <v>1</v>
      </c>
      <c r="I278" s="282">
        <v>1</v>
      </c>
      <c r="J278" s="284">
        <v>1</v>
      </c>
    </row>
    <row r="279" spans="1:10" ht="15.75" outlineLevel="3" thickBot="1" x14ac:dyDescent="0.3">
      <c r="A279" s="309"/>
      <c r="B279" s="350" t="s">
        <v>193</v>
      </c>
      <c r="C279" s="355" t="s">
        <v>206</v>
      </c>
      <c r="D279" s="283">
        <v>1</v>
      </c>
      <c r="E279" s="407">
        <v>1</v>
      </c>
      <c r="F279" s="408">
        <v>1</v>
      </c>
      <c r="G279" s="282">
        <v>1</v>
      </c>
      <c r="H279" s="282">
        <v>1</v>
      </c>
      <c r="I279" s="282">
        <v>1</v>
      </c>
      <c r="J279" s="284">
        <v>1</v>
      </c>
    </row>
    <row r="280" spans="1:10" ht="20.25" customHeight="1" outlineLevel="3" thickBot="1" x14ac:dyDescent="0.3">
      <c r="A280" s="309"/>
      <c r="B280" s="250" t="s">
        <v>207</v>
      </c>
      <c r="C280" s="251"/>
      <c r="D280" s="251"/>
      <c r="E280" s="251"/>
      <c r="F280" s="251"/>
      <c r="G280" s="251"/>
      <c r="H280" s="251"/>
      <c r="I280" s="251"/>
      <c r="J280" s="252"/>
    </row>
    <row r="281" spans="1:10" outlineLevel="3" x14ac:dyDescent="0.25">
      <c r="A281" s="309"/>
      <c r="B281" s="348" t="s">
        <v>191</v>
      </c>
      <c r="C281" s="353" t="s">
        <v>221</v>
      </c>
      <c r="D281" s="283">
        <v>7.5040633269681178</v>
      </c>
      <c r="E281" s="407">
        <v>7.5040633269681178</v>
      </c>
      <c r="F281" s="408">
        <v>7.5040633269681178</v>
      </c>
      <c r="G281" s="282">
        <v>7.9620267904374309</v>
      </c>
      <c r="H281" s="282">
        <v>7.5040633269681178</v>
      </c>
      <c r="I281" s="282">
        <v>7.5040633269681178</v>
      </c>
      <c r="J281" s="284">
        <v>7.5040633269681178</v>
      </c>
    </row>
    <row r="282" spans="1:10" outlineLevel="3" x14ac:dyDescent="0.25">
      <c r="A282" s="309"/>
      <c r="B282" s="349" t="s">
        <v>192</v>
      </c>
      <c r="C282" s="354" t="s">
        <v>206</v>
      </c>
      <c r="D282" s="283">
        <v>1</v>
      </c>
      <c r="E282" s="407">
        <v>1</v>
      </c>
      <c r="F282" s="408">
        <v>1</v>
      </c>
      <c r="G282" s="282">
        <v>1</v>
      </c>
      <c r="H282" s="282">
        <v>1</v>
      </c>
      <c r="I282" s="282">
        <v>1</v>
      </c>
      <c r="J282" s="284">
        <v>1</v>
      </c>
    </row>
    <row r="283" spans="1:10" ht="15.75" outlineLevel="3" thickBot="1" x14ac:dyDescent="0.3">
      <c r="A283" s="309"/>
      <c r="B283" s="350" t="s">
        <v>193</v>
      </c>
      <c r="C283" s="355" t="s">
        <v>206</v>
      </c>
      <c r="D283" s="283">
        <v>1</v>
      </c>
      <c r="E283" s="407">
        <v>1</v>
      </c>
      <c r="F283" s="408">
        <v>1</v>
      </c>
      <c r="G283" s="282">
        <v>1</v>
      </c>
      <c r="H283" s="282">
        <v>1</v>
      </c>
      <c r="I283" s="282">
        <v>1</v>
      </c>
      <c r="J283" s="284">
        <v>1</v>
      </c>
    </row>
    <row r="284" spans="1:10" ht="20.25" customHeight="1" outlineLevel="3" thickBot="1" x14ac:dyDescent="0.3">
      <c r="A284" s="309"/>
      <c r="B284" s="250" t="s">
        <v>208</v>
      </c>
      <c r="C284" s="251"/>
      <c r="D284" s="251"/>
      <c r="E284" s="251"/>
      <c r="F284" s="251"/>
      <c r="G284" s="251"/>
      <c r="H284" s="251"/>
      <c r="I284" s="251"/>
      <c r="J284" s="252"/>
    </row>
    <row r="285" spans="1:10" outlineLevel="3" x14ac:dyDescent="0.25">
      <c r="A285" s="309"/>
      <c r="B285" s="348" t="s">
        <v>191</v>
      </c>
      <c r="C285" s="353" t="s">
        <v>221</v>
      </c>
      <c r="D285" s="283"/>
      <c r="E285" s="407"/>
      <c r="F285" s="408"/>
      <c r="G285" s="282"/>
      <c r="H285" s="282"/>
      <c r="I285" s="282"/>
      <c r="J285" s="284"/>
    </row>
    <row r="286" spans="1:10" outlineLevel="3" x14ac:dyDescent="0.25">
      <c r="A286" s="309"/>
      <c r="B286" s="349" t="s">
        <v>192</v>
      </c>
      <c r="C286" s="354" t="s">
        <v>206</v>
      </c>
      <c r="D286" s="283">
        <v>1</v>
      </c>
      <c r="E286" s="407">
        <v>1</v>
      </c>
      <c r="F286" s="408">
        <v>1</v>
      </c>
      <c r="G286" s="282">
        <v>1</v>
      </c>
      <c r="H286" s="282">
        <v>1</v>
      </c>
      <c r="I286" s="282">
        <v>1</v>
      </c>
      <c r="J286" s="284">
        <v>1</v>
      </c>
    </row>
    <row r="287" spans="1:10" ht="15.75" outlineLevel="3" thickBot="1" x14ac:dyDescent="0.3">
      <c r="A287" s="309"/>
      <c r="B287" s="350" t="s">
        <v>193</v>
      </c>
      <c r="C287" s="355" t="s">
        <v>206</v>
      </c>
      <c r="D287" s="283">
        <v>8.9810224292614791</v>
      </c>
      <c r="E287" s="407">
        <v>12.797525609531379</v>
      </c>
      <c r="F287" s="408">
        <v>3.9999999999999987</v>
      </c>
      <c r="G287" s="282">
        <v>4.0000000000000018</v>
      </c>
      <c r="H287" s="282">
        <v>3.9999999999999978</v>
      </c>
      <c r="I287" s="282">
        <v>4.0000000000000018</v>
      </c>
      <c r="J287" s="284">
        <v>3.9999999999999978</v>
      </c>
    </row>
    <row r="288" spans="1:10" ht="20.25" customHeight="1" outlineLevel="3" thickBot="1" x14ac:dyDescent="0.3">
      <c r="A288" s="309"/>
      <c r="B288" s="250" t="s">
        <v>209</v>
      </c>
      <c r="C288" s="251"/>
      <c r="D288" s="251"/>
      <c r="E288" s="251"/>
      <c r="F288" s="251"/>
      <c r="G288" s="251"/>
      <c r="H288" s="251"/>
      <c r="I288" s="251"/>
      <c r="J288" s="252"/>
    </row>
    <row r="289" spans="1:12" outlineLevel="3" x14ac:dyDescent="0.25">
      <c r="A289" s="309"/>
      <c r="B289" s="348" t="s">
        <v>191</v>
      </c>
      <c r="C289" s="353" t="s">
        <v>221</v>
      </c>
      <c r="D289" s="283">
        <v>5.2288250923071056</v>
      </c>
      <c r="E289" s="407">
        <v>5.2288250923071056</v>
      </c>
      <c r="F289" s="408">
        <v>5.2288250923071056</v>
      </c>
      <c r="G289" s="282">
        <v>5.2288250923071056</v>
      </c>
      <c r="H289" s="282">
        <v>5.2288250923071056</v>
      </c>
      <c r="I289" s="282">
        <v>5.2288250923071056</v>
      </c>
      <c r="J289" s="284">
        <v>5.2288250923071056</v>
      </c>
    </row>
    <row r="290" spans="1:12" outlineLevel="3" x14ac:dyDescent="0.25">
      <c r="A290" s="309"/>
      <c r="B290" s="349" t="s">
        <v>192</v>
      </c>
      <c r="C290" s="354" t="s">
        <v>206</v>
      </c>
      <c r="D290" s="283">
        <v>1</v>
      </c>
      <c r="E290" s="407">
        <v>1</v>
      </c>
      <c r="F290" s="408">
        <v>1</v>
      </c>
      <c r="G290" s="282">
        <v>1</v>
      </c>
      <c r="H290" s="282">
        <v>1</v>
      </c>
      <c r="I290" s="282">
        <v>1</v>
      </c>
      <c r="J290" s="284">
        <v>1</v>
      </c>
    </row>
    <row r="291" spans="1:12" ht="15.75" outlineLevel="3" thickBot="1" x14ac:dyDescent="0.3">
      <c r="A291" s="309"/>
      <c r="B291" s="350" t="s">
        <v>193</v>
      </c>
      <c r="C291" s="355" t="s">
        <v>206</v>
      </c>
      <c r="D291" s="283">
        <v>1</v>
      </c>
      <c r="E291" s="407">
        <v>1</v>
      </c>
      <c r="F291" s="408">
        <v>1</v>
      </c>
      <c r="G291" s="282">
        <v>1</v>
      </c>
      <c r="H291" s="282">
        <v>1</v>
      </c>
      <c r="I291" s="282">
        <v>1</v>
      </c>
      <c r="J291" s="284">
        <v>1</v>
      </c>
    </row>
    <row r="292" spans="1:12" ht="20.25" customHeight="1" outlineLevel="3" thickBot="1" x14ac:dyDescent="0.3">
      <c r="A292" s="309"/>
      <c r="B292" s="250" t="s">
        <v>210</v>
      </c>
      <c r="C292" s="251"/>
      <c r="D292" s="251"/>
      <c r="E292" s="251"/>
      <c r="F292" s="251"/>
      <c r="G292" s="251"/>
      <c r="H292" s="251"/>
      <c r="I292" s="251"/>
      <c r="J292" s="252"/>
    </row>
    <row r="293" spans="1:12" outlineLevel="3" x14ac:dyDescent="0.25">
      <c r="A293" s="309"/>
      <c r="B293" s="348" t="s">
        <v>191</v>
      </c>
      <c r="C293" s="353" t="s">
        <v>221</v>
      </c>
      <c r="D293" s="283"/>
      <c r="E293" s="407"/>
      <c r="F293" s="408"/>
      <c r="G293" s="282"/>
      <c r="H293" s="282"/>
      <c r="I293" s="282"/>
      <c r="J293" s="284"/>
    </row>
    <row r="294" spans="1:12" outlineLevel="3" x14ac:dyDescent="0.25">
      <c r="A294" s="309"/>
      <c r="B294" s="349" t="s">
        <v>192</v>
      </c>
      <c r="C294" s="354" t="s">
        <v>206</v>
      </c>
      <c r="D294" s="283"/>
      <c r="E294" s="407"/>
      <c r="F294" s="408"/>
      <c r="G294" s="282"/>
      <c r="H294" s="282"/>
      <c r="I294" s="282"/>
      <c r="J294" s="284"/>
    </row>
    <row r="295" spans="1:12" ht="15.75" outlineLevel="3" thickBot="1" x14ac:dyDescent="0.3">
      <c r="A295" s="309"/>
      <c r="B295" s="559" t="s">
        <v>193</v>
      </c>
      <c r="C295" s="355" t="s">
        <v>206</v>
      </c>
      <c r="D295" s="287"/>
      <c r="E295" s="308"/>
      <c r="F295" s="312"/>
      <c r="G295" s="274"/>
      <c r="H295" s="274"/>
      <c r="I295" s="274"/>
      <c r="J295" s="275"/>
    </row>
    <row r="296" spans="1:12" ht="20.25" customHeight="1" outlineLevel="3" thickBot="1" x14ac:dyDescent="0.3">
      <c r="A296" s="309"/>
      <c r="B296" s="250" t="s">
        <v>211</v>
      </c>
      <c r="C296" s="251"/>
      <c r="D296" s="251"/>
      <c r="E296" s="251"/>
      <c r="F296" s="251"/>
      <c r="G296" s="251"/>
      <c r="H296" s="251"/>
      <c r="I296" s="251"/>
      <c r="J296" s="252"/>
    </row>
    <row r="297" spans="1:12" outlineLevel="3" x14ac:dyDescent="0.25">
      <c r="A297" s="309"/>
      <c r="B297" s="348" t="s">
        <v>191</v>
      </c>
      <c r="C297" s="353" t="s">
        <v>221</v>
      </c>
      <c r="D297" s="283"/>
      <c r="E297" s="407"/>
      <c r="F297" s="408"/>
      <c r="G297" s="282"/>
      <c r="H297" s="282"/>
      <c r="I297" s="282"/>
      <c r="J297" s="284"/>
    </row>
    <row r="298" spans="1:12" outlineLevel="3" x14ac:dyDescent="0.25">
      <c r="A298" s="309"/>
      <c r="B298" s="349" t="s">
        <v>192</v>
      </c>
      <c r="C298" s="354" t="s">
        <v>206</v>
      </c>
      <c r="D298" s="283"/>
      <c r="E298" s="407"/>
      <c r="F298" s="408"/>
      <c r="G298" s="282"/>
      <c r="H298" s="282"/>
      <c r="I298" s="282"/>
      <c r="J298" s="284"/>
    </row>
    <row r="299" spans="1:12" ht="15.75" outlineLevel="3" thickBot="1" x14ac:dyDescent="0.3">
      <c r="A299" s="309"/>
      <c r="B299" s="559" t="s">
        <v>193</v>
      </c>
      <c r="C299" s="355" t="s">
        <v>206</v>
      </c>
      <c r="D299" s="287"/>
      <c r="E299" s="308"/>
      <c r="F299" s="312"/>
      <c r="G299" s="274"/>
      <c r="H299" s="274"/>
      <c r="I299" s="274"/>
      <c r="J299" s="275"/>
    </row>
    <row r="300" spans="1:12" ht="20.25" customHeight="1" outlineLevel="1" x14ac:dyDescent="0.25"/>
    <row r="302" spans="1:12" ht="15.75" thickBot="1" x14ac:dyDescent="0.3">
      <c r="A302" s="253"/>
    </row>
    <row r="303" spans="1:12" s="340" customFormat="1" ht="27.95" customHeight="1" thickBot="1" x14ac:dyDescent="0.3">
      <c r="A303" s="339"/>
      <c r="B303" s="32" t="s">
        <v>222</v>
      </c>
      <c r="C303" s="32"/>
      <c r="D303" s="32"/>
      <c r="E303" s="32"/>
      <c r="F303" s="32"/>
      <c r="G303" s="32"/>
      <c r="H303" s="32"/>
      <c r="I303" s="32"/>
      <c r="J303" s="32"/>
      <c r="K303"/>
      <c r="L303"/>
    </row>
    <row r="304" spans="1:12" ht="27" customHeight="1" outlineLevel="1" thickBot="1" x14ac:dyDescent="0.3">
      <c r="A304" s="339"/>
      <c r="B304" s="247" t="s">
        <v>223</v>
      </c>
      <c r="C304" s="248"/>
      <c r="D304" s="248"/>
      <c r="E304" s="248"/>
      <c r="F304" s="248"/>
      <c r="G304" s="248"/>
      <c r="H304" s="248"/>
      <c r="I304" s="248"/>
      <c r="J304" s="248"/>
    </row>
    <row r="305" spans="1:10" outlineLevel="3" x14ac:dyDescent="0.25">
      <c r="D305" s="1378" t="s">
        <v>224</v>
      </c>
      <c r="E305" s="1378"/>
      <c r="F305" s="1378"/>
      <c r="G305" s="1378"/>
      <c r="H305" s="1378"/>
      <c r="I305" s="1378"/>
      <c r="J305" s="1378"/>
    </row>
    <row r="306" spans="1:10" ht="15" customHeight="1" outlineLevel="3" x14ac:dyDescent="0.25">
      <c r="D306" s="1378" t="str">
        <f ca="1">CONCATENATE("$, real ",dms_DollarReal)</f>
        <v>$, real June 2026</v>
      </c>
      <c r="E306" s="1378"/>
      <c r="F306" s="1378"/>
      <c r="G306" s="1378"/>
      <c r="H306" s="1378"/>
      <c r="I306" s="1378"/>
      <c r="J306" s="1378"/>
    </row>
    <row r="307" spans="1:10" ht="15.75" outlineLevel="3" thickBot="1" x14ac:dyDescent="0.3">
      <c r="D307" s="314" t="str">
        <f ca="1">dms_y1</f>
        <v>2024-25</v>
      </c>
      <c r="E307" s="314" t="str">
        <f ca="1">dms_y2</f>
        <v>2025-26</v>
      </c>
      <c r="F307" s="314" t="str">
        <f ca="1">dms_y3</f>
        <v>2026-27</v>
      </c>
      <c r="G307" s="314" t="str">
        <f ca="1">dms_y4</f>
        <v>2027-28</v>
      </c>
      <c r="H307" s="314" t="str">
        <f ca="1">dms_y5</f>
        <v>2028-29</v>
      </c>
      <c r="I307" s="314" t="str">
        <f ca="1">dms_y6</f>
        <v>2029-30</v>
      </c>
      <c r="J307" s="314" t="str">
        <f ca="1">dms_y7</f>
        <v>2030-31</v>
      </c>
    </row>
    <row r="308" spans="1:10" outlineLevel="3" x14ac:dyDescent="0.25">
      <c r="A308" s="291"/>
      <c r="B308" s="358" t="s">
        <v>214</v>
      </c>
      <c r="C308" s="359"/>
      <c r="D308" s="283"/>
      <c r="E308" s="407"/>
      <c r="F308" s="408"/>
      <c r="G308" s="282"/>
      <c r="H308" s="282"/>
      <c r="I308" s="282"/>
      <c r="J308" s="284"/>
    </row>
    <row r="309" spans="1:10" outlineLevel="3" x14ac:dyDescent="0.25">
      <c r="A309" s="291"/>
      <c r="B309" s="360" t="s">
        <v>215</v>
      </c>
      <c r="C309" s="361"/>
      <c r="D309" s="285"/>
      <c r="E309" s="307"/>
      <c r="F309" s="311"/>
      <c r="G309" s="271"/>
      <c r="H309" s="271"/>
      <c r="I309" s="271"/>
      <c r="J309" s="272"/>
    </row>
    <row r="310" spans="1:10" outlineLevel="3" x14ac:dyDescent="0.25">
      <c r="A310" s="291"/>
      <c r="B310" s="360" t="s">
        <v>216</v>
      </c>
      <c r="C310" s="361"/>
      <c r="D310" s="281"/>
      <c r="E310" s="407"/>
      <c r="F310" s="408"/>
      <c r="G310" s="282"/>
      <c r="H310" s="282"/>
      <c r="I310" s="282"/>
      <c r="J310" s="284"/>
    </row>
    <row r="311" spans="1:10" outlineLevel="3" x14ac:dyDescent="0.25">
      <c r="A311" s="291"/>
      <c r="B311" s="360" t="s">
        <v>225</v>
      </c>
      <c r="C311" s="361"/>
      <c r="D311" s="281"/>
      <c r="E311" s="407"/>
      <c r="F311" s="408"/>
      <c r="G311" s="282"/>
      <c r="H311" s="282"/>
      <c r="I311" s="282"/>
      <c r="J311" s="284"/>
    </row>
    <row r="312" spans="1:10" outlineLevel="3" x14ac:dyDescent="0.25">
      <c r="A312" s="291"/>
      <c r="B312" s="360" t="s">
        <v>226</v>
      </c>
      <c r="C312" s="1498"/>
      <c r="D312" s="622"/>
      <c r="E312" s="1496"/>
      <c r="F312" s="1497"/>
      <c r="G312" s="623"/>
      <c r="H312" s="623"/>
      <c r="I312" s="623"/>
      <c r="J312" s="624"/>
    </row>
    <row r="313" spans="1:10" ht="15.75" outlineLevel="3" thickBot="1" x14ac:dyDescent="0.3">
      <c r="A313" s="291"/>
      <c r="B313" s="362" t="s">
        <v>219</v>
      </c>
      <c r="C313" s="363"/>
      <c r="D313" s="333"/>
      <c r="E313" s="409"/>
      <c r="F313" s="404"/>
      <c r="G313" s="334"/>
      <c r="H313" s="334"/>
      <c r="I313" s="334"/>
      <c r="J313" s="335"/>
    </row>
    <row r="314" spans="1:10" ht="15.75" outlineLevel="3" thickBot="1" x14ac:dyDescent="0.3">
      <c r="B314" s="544"/>
      <c r="C314" s="545" t="s">
        <v>120</v>
      </c>
      <c r="D314" s="545">
        <f t="shared" ref="D314:J314" si="213">SUM(D308:D313)</f>
        <v>0</v>
      </c>
      <c r="E314" s="545">
        <f t="shared" si="213"/>
        <v>0</v>
      </c>
      <c r="F314" s="545">
        <f t="shared" si="213"/>
        <v>0</v>
      </c>
      <c r="G314" s="545">
        <f t="shared" si="213"/>
        <v>0</v>
      </c>
      <c r="H314" s="545">
        <f t="shared" si="213"/>
        <v>0</v>
      </c>
      <c r="I314" s="545">
        <f t="shared" si="213"/>
        <v>0</v>
      </c>
      <c r="J314" s="546">
        <f t="shared" si="213"/>
        <v>0</v>
      </c>
    </row>
    <row r="315" spans="1:10" ht="15.75" outlineLevel="1" thickBot="1" x14ac:dyDescent="0.3"/>
    <row r="316" spans="1:10" ht="27" customHeight="1" outlineLevel="1" thickBot="1" x14ac:dyDescent="0.3">
      <c r="A316" s="339"/>
      <c r="B316" s="247" t="s">
        <v>227</v>
      </c>
      <c r="C316" s="248"/>
      <c r="D316" s="248"/>
      <c r="E316" s="248"/>
      <c r="F316" s="248"/>
      <c r="G316" s="248"/>
      <c r="H316" s="248"/>
      <c r="I316" s="248"/>
      <c r="J316" s="248"/>
    </row>
    <row r="317" spans="1:10" outlineLevel="3" x14ac:dyDescent="0.25">
      <c r="D317" s="1382" t="s">
        <v>159</v>
      </c>
      <c r="E317" s="1383"/>
      <c r="F317" s="1383"/>
      <c r="G317" s="1383"/>
      <c r="H317" s="1383"/>
      <c r="I317" s="1383"/>
      <c r="J317" s="1384"/>
    </row>
    <row r="318" spans="1:10" outlineLevel="3" x14ac:dyDescent="0.25">
      <c r="D318" s="1375" t="s">
        <v>228</v>
      </c>
      <c r="E318" s="1376"/>
      <c r="F318" s="1376"/>
      <c r="G318" s="1376"/>
      <c r="H318" s="1376"/>
      <c r="I318" s="1376"/>
      <c r="J318" s="1377"/>
    </row>
    <row r="319" spans="1:10" ht="15.75" outlineLevel="3" thickBot="1" x14ac:dyDescent="0.3">
      <c r="D319" s="405" t="str">
        <f ca="1">dms_y1</f>
        <v>2024-25</v>
      </c>
      <c r="E319" s="306" t="str">
        <f ca="1">dms_y2</f>
        <v>2025-26</v>
      </c>
      <c r="F319" s="305" t="str">
        <f ca="1">dms_y3</f>
        <v>2026-27</v>
      </c>
      <c r="G319" s="305" t="str">
        <f ca="1">dms_y4</f>
        <v>2027-28</v>
      </c>
      <c r="H319" s="305" t="str">
        <f ca="1">dms_y5</f>
        <v>2028-29</v>
      </c>
      <c r="I319" s="305" t="str">
        <f ca="1">dms_y6</f>
        <v>2029-30</v>
      </c>
      <c r="J319" s="406" t="str">
        <f ca="1">dms_y7</f>
        <v>2030-31</v>
      </c>
    </row>
    <row r="320" spans="1:10" outlineLevel="3" x14ac:dyDescent="0.25">
      <c r="A320" s="291"/>
      <c r="B320" s="358" t="s">
        <v>214</v>
      </c>
      <c r="C320" s="359"/>
      <c r="D320" s="279"/>
      <c r="E320" s="570"/>
      <c r="F320" s="310"/>
      <c r="G320" s="277"/>
      <c r="H320" s="277"/>
      <c r="I320" s="277"/>
      <c r="J320" s="280"/>
    </row>
    <row r="321" spans="1:10" outlineLevel="3" x14ac:dyDescent="0.25">
      <c r="A321" s="291"/>
      <c r="B321" s="360" t="s">
        <v>215</v>
      </c>
      <c r="C321" s="361"/>
      <c r="D321" s="285"/>
      <c r="E321" s="307"/>
      <c r="F321" s="311"/>
      <c r="G321" s="271"/>
      <c r="H321" s="271"/>
      <c r="I321" s="271"/>
      <c r="J321" s="272"/>
    </row>
    <row r="322" spans="1:10" outlineLevel="3" x14ac:dyDescent="0.25">
      <c r="A322" s="291"/>
      <c r="B322" s="360" t="s">
        <v>216</v>
      </c>
      <c r="C322" s="361"/>
      <c r="D322" s="281"/>
      <c r="E322" s="407"/>
      <c r="F322" s="408"/>
      <c r="G322" s="282"/>
      <c r="H322" s="282"/>
      <c r="I322" s="282"/>
      <c r="J322" s="284"/>
    </row>
    <row r="323" spans="1:10" outlineLevel="3" x14ac:dyDescent="0.25">
      <c r="A323" s="291"/>
      <c r="B323" s="360" t="s">
        <v>225</v>
      </c>
      <c r="C323" s="361"/>
      <c r="D323" s="281"/>
      <c r="E323" s="407"/>
      <c r="F323" s="408"/>
      <c r="G323" s="282"/>
      <c r="H323" s="282"/>
      <c r="I323" s="282"/>
      <c r="J323" s="284"/>
    </row>
    <row r="324" spans="1:10" outlineLevel="3" x14ac:dyDescent="0.25">
      <c r="A324" s="291"/>
      <c r="B324" s="360" t="s">
        <v>226</v>
      </c>
      <c r="C324" s="1498"/>
      <c r="D324" s="622"/>
      <c r="E324" s="1496"/>
      <c r="F324" s="1497"/>
      <c r="G324" s="623"/>
      <c r="H324" s="623"/>
      <c r="I324" s="623"/>
      <c r="J324" s="624"/>
    </row>
    <row r="325" spans="1:10" ht="15.75" outlineLevel="3" thickBot="1" x14ac:dyDescent="0.3">
      <c r="A325" s="291"/>
      <c r="B325" s="362" t="s">
        <v>219</v>
      </c>
      <c r="C325" s="363"/>
      <c r="D325" s="320"/>
      <c r="E325" s="568"/>
      <c r="F325" s="410"/>
      <c r="G325" s="322"/>
      <c r="H325" s="322"/>
      <c r="I325" s="322"/>
      <c r="J325" s="569"/>
    </row>
    <row r="326" spans="1:10" ht="15.75" outlineLevel="3" thickBot="1" x14ac:dyDescent="0.3">
      <c r="B326" s="544"/>
      <c r="C326" s="545" t="s">
        <v>120</v>
      </c>
      <c r="D326" s="545">
        <f>SUM(D320:D325)</f>
        <v>0</v>
      </c>
      <c r="E326" s="545">
        <f t="shared" ref="E326:J326" si="214">SUM(E320:E325)</f>
        <v>0</v>
      </c>
      <c r="F326" s="545">
        <f t="shared" si="214"/>
        <v>0</v>
      </c>
      <c r="G326" s="545">
        <f t="shared" si="214"/>
        <v>0</v>
      </c>
      <c r="H326" s="545">
        <f t="shared" si="214"/>
        <v>0</v>
      </c>
      <c r="I326" s="545">
        <f t="shared" si="214"/>
        <v>0</v>
      </c>
      <c r="J326" s="546">
        <f t="shared" si="214"/>
        <v>0</v>
      </c>
    </row>
    <row r="327" spans="1:10" ht="20.25" customHeight="1" outlineLevel="1"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3" tint="-0.249977111117893"/>
  </sheetPr>
  <dimension ref="A1:K145"/>
  <sheetViews>
    <sheetView showGridLines="0" zoomScaleNormal="100" workbookViewId="0"/>
  </sheetViews>
  <sheetFormatPr defaultColWidth="9.140625" defaultRowHeight="15" outlineLevelRow="1" x14ac:dyDescent="0.25"/>
  <cols>
    <col min="1" max="1" width="23.28515625" customWidth="1"/>
    <col min="2" max="2" width="79.85546875" customWidth="1"/>
    <col min="3" max="9" width="20.7109375" customWidth="1"/>
  </cols>
  <sheetData>
    <row r="1" spans="1:11" ht="30" customHeight="1" x14ac:dyDescent="0.25">
      <c r="A1" s="1112"/>
      <c r="B1" s="1112" t="str">
        <f>INDEX(dms_Worksheet_List,MATCH(dms_Model,dms_Model_List))</f>
        <v>REGULATORY REPORTING STATEMENT</v>
      </c>
      <c r="C1" s="26"/>
      <c r="D1" s="26"/>
      <c r="E1" s="26"/>
      <c r="F1" s="26"/>
      <c r="G1" s="1502" t="s">
        <v>96</v>
      </c>
      <c r="H1" s="1503" t="s">
        <v>97</v>
      </c>
      <c r="I1" s="26"/>
    </row>
    <row r="2" spans="1:11" ht="30" customHeight="1" x14ac:dyDescent="0.25">
      <c r="A2" s="1113"/>
      <c r="B2" s="1113" t="str">
        <f>dms_TradingNameFull</f>
        <v>Australian Gas Networks Limited (reporting data for SA)</v>
      </c>
      <c r="C2" s="26"/>
      <c r="D2" s="26"/>
      <c r="E2" s="26"/>
      <c r="F2" s="26"/>
      <c r="G2" s="1504" t="s">
        <v>98</v>
      </c>
      <c r="H2" s="1505" t="s">
        <v>92</v>
      </c>
      <c r="I2" s="26"/>
    </row>
    <row r="3" spans="1:11" ht="30" customHeight="1" x14ac:dyDescent="0.25">
      <c r="A3" s="1115"/>
      <c r="B3" s="1115" t="str">
        <f ca="1">dms_Header_Span</f>
        <v>2024-25 to 2030-31</v>
      </c>
      <c r="C3" s="26"/>
      <c r="D3" s="26"/>
      <c r="E3" s="26"/>
      <c r="F3" s="26"/>
      <c r="G3" s="1506" t="s">
        <v>99</v>
      </c>
      <c r="H3" s="1507" t="s">
        <v>100</v>
      </c>
      <c r="I3" s="26"/>
    </row>
    <row r="4" spans="1:11" ht="30" customHeight="1" x14ac:dyDescent="0.25">
      <c r="A4" s="621"/>
      <c r="B4" s="621" t="s">
        <v>229</v>
      </c>
      <c r="C4" s="621"/>
      <c r="D4" s="621"/>
      <c r="E4" s="621"/>
      <c r="F4" s="621"/>
      <c r="G4" s="1508" t="s">
        <v>102</v>
      </c>
      <c r="H4" s="1509" t="s">
        <v>103</v>
      </c>
      <c r="I4" s="621"/>
    </row>
    <row r="5" spans="1:11" ht="30" customHeight="1" x14ac:dyDescent="0.25">
      <c r="B5" s="1492" t="s">
        <v>104</v>
      </c>
      <c r="C5" s="1492"/>
      <c r="D5" s="1492"/>
      <c r="E5" s="1492"/>
      <c r="F5" s="1492"/>
      <c r="G5" s="1492"/>
      <c r="H5" s="1492"/>
      <c r="I5" s="1492"/>
    </row>
    <row r="6" spans="1:11" ht="15.75" thickBot="1" x14ac:dyDescent="0.3"/>
    <row r="7" spans="1:11" ht="28.5" customHeight="1" thickBot="1" x14ac:dyDescent="0.3">
      <c r="B7" s="32" t="s">
        <v>230</v>
      </c>
      <c r="C7" s="32"/>
      <c r="D7" s="32"/>
      <c r="E7" s="32"/>
      <c r="F7" s="32"/>
      <c r="G7" s="32"/>
      <c r="H7" s="32"/>
      <c r="I7" s="32"/>
      <c r="J7" s="315"/>
      <c r="K7" s="315"/>
    </row>
    <row r="9" spans="1:11" ht="19.5" thickBot="1" x14ac:dyDescent="0.35">
      <c r="B9" s="523" t="s">
        <v>133</v>
      </c>
    </row>
    <row r="10" spans="1:11" x14ac:dyDescent="0.25">
      <c r="B10" s="625" t="s">
        <v>1442</v>
      </c>
    </row>
    <row r="11" spans="1:11" x14ac:dyDescent="0.25">
      <c r="B11" s="626" t="s">
        <v>1443</v>
      </c>
    </row>
    <row r="12" spans="1:11" x14ac:dyDescent="0.25">
      <c r="B12" s="626"/>
    </row>
    <row r="13" spans="1:11" x14ac:dyDescent="0.25">
      <c r="B13" s="626"/>
    </row>
    <row r="14" spans="1:11" x14ac:dyDescent="0.25">
      <c r="B14" s="626"/>
    </row>
    <row r="15" spans="1:11" x14ac:dyDescent="0.25">
      <c r="B15" s="626"/>
    </row>
    <row r="16" spans="1:11" x14ac:dyDescent="0.25">
      <c r="B16" s="626"/>
    </row>
    <row r="17" spans="1:11" x14ac:dyDescent="0.25">
      <c r="B17" s="626"/>
    </row>
    <row r="18" spans="1:11" x14ac:dyDescent="0.25">
      <c r="B18" s="626"/>
    </row>
    <row r="19" spans="1:11" x14ac:dyDescent="0.25">
      <c r="B19" s="626"/>
    </row>
    <row r="20" spans="1:11" x14ac:dyDescent="0.25">
      <c r="B20" s="626"/>
    </row>
    <row r="21" spans="1:11" x14ac:dyDescent="0.25">
      <c r="B21" s="626"/>
    </row>
    <row r="22" spans="1:11" x14ac:dyDescent="0.25">
      <c r="B22" s="626"/>
    </row>
    <row r="23" spans="1:11" x14ac:dyDescent="0.25">
      <c r="B23" s="626"/>
    </row>
    <row r="24" spans="1:11" ht="15.75" thickBot="1" x14ac:dyDescent="0.3">
      <c r="B24" s="627"/>
    </row>
    <row r="26" spans="1:11" ht="15.75" thickBot="1" x14ac:dyDescent="0.3"/>
    <row r="27" spans="1:11" s="317" customFormat="1" ht="24" customHeight="1" thickBot="1" x14ac:dyDescent="0.25">
      <c r="B27" s="247" t="s">
        <v>231</v>
      </c>
      <c r="C27" s="248"/>
      <c r="D27" s="248"/>
      <c r="E27" s="248"/>
      <c r="F27" s="248"/>
      <c r="G27" s="248"/>
      <c r="H27" s="248"/>
      <c r="I27" s="248"/>
      <c r="J27" s="315"/>
      <c r="K27" s="315"/>
    </row>
    <row r="28" spans="1:11" ht="21.75" customHeight="1" thickBot="1" x14ac:dyDescent="0.3">
      <c r="B28" s="250" t="s">
        <v>136</v>
      </c>
      <c r="C28" s="251"/>
      <c r="D28" s="251"/>
      <c r="E28" s="251"/>
      <c r="F28" s="251"/>
      <c r="G28" s="251"/>
      <c r="H28" s="251"/>
      <c r="I28" s="251"/>
    </row>
    <row r="29" spans="1:11" s="42" customFormat="1" ht="15" customHeight="1" outlineLevel="1" x14ac:dyDescent="0.25">
      <c r="A29" s="291"/>
      <c r="B29"/>
      <c r="C29" s="1378" t="s">
        <v>24</v>
      </c>
      <c r="D29" s="1378"/>
      <c r="E29" s="1378"/>
      <c r="F29" s="1378"/>
      <c r="G29" s="1378"/>
      <c r="H29" s="1378"/>
      <c r="I29" s="1378"/>
      <c r="J29" s="315"/>
      <c r="K29" s="315"/>
    </row>
    <row r="30" spans="1:11" s="42" customFormat="1" ht="15" customHeight="1" outlineLevel="1" x14ac:dyDescent="0.25">
      <c r="A30" s="291"/>
      <c r="B30"/>
      <c r="C30" s="1378" t="str">
        <f ca="1">CONCATENATE("$, real ",dms_DollarReal)</f>
        <v>$, real June 2026</v>
      </c>
      <c r="D30" s="1378"/>
      <c r="E30" s="1378"/>
      <c r="F30" s="1378"/>
      <c r="G30" s="1378"/>
      <c r="H30" s="1378"/>
      <c r="I30" s="1378"/>
      <c r="J30" s="315"/>
      <c r="K30" s="315"/>
    </row>
    <row r="31" spans="1:11" s="42" customFormat="1" ht="15.75" customHeight="1" outlineLevel="1" thickBot="1" x14ac:dyDescent="0.3">
      <c r="A31" s="291"/>
      <c r="B31" s="319"/>
      <c r="C31" s="314" t="str">
        <f ca="1">dms_y1</f>
        <v>2024-25</v>
      </c>
      <c r="D31" s="314" t="str">
        <f ca="1">dms_y2</f>
        <v>2025-26</v>
      </c>
      <c r="E31" s="314" t="str">
        <f ca="1">dms_y3</f>
        <v>2026-27</v>
      </c>
      <c r="F31" s="314" t="str">
        <f ca="1">dms_y4</f>
        <v>2027-28</v>
      </c>
      <c r="G31" s="314" t="str">
        <f ca="1">dms_y5</f>
        <v>2028-29</v>
      </c>
      <c r="H31" s="314" t="str">
        <f ca="1">dms_y6</f>
        <v>2029-30</v>
      </c>
      <c r="I31" s="314" t="str">
        <f ca="1">dms_y7</f>
        <v>2030-31</v>
      </c>
      <c r="K31" s="315"/>
    </row>
    <row r="32" spans="1:11" ht="15.75" customHeight="1" outlineLevel="1" x14ac:dyDescent="0.25">
      <c r="B32" s="558" t="str">
        <f>IF(ISBLANK(dms_E65_Projects_01),"",dms_E65_Projects_01)</f>
        <v>SCADA Equipment/ RTU Replacement</v>
      </c>
      <c r="C32" s="276"/>
      <c r="D32" s="278"/>
      <c r="E32" s="310"/>
      <c r="F32" s="277"/>
      <c r="G32" s="277"/>
      <c r="H32" s="277"/>
      <c r="I32" s="280"/>
    </row>
    <row r="33" spans="2:9" ht="15.75" customHeight="1" outlineLevel="1" x14ac:dyDescent="0.25">
      <c r="B33" s="536" t="str">
        <f>IF(ISBLANK(dms_E65_Projects_02),"",dms_E65_Projects_02)</f>
        <v xml:space="preserve">Network Pressure Monitoring </v>
      </c>
      <c r="C33" s="285"/>
      <c r="D33" s="286"/>
      <c r="E33" s="311"/>
      <c r="F33" s="271"/>
      <c r="G33" s="271"/>
      <c r="H33" s="271"/>
      <c r="I33" s="272"/>
    </row>
    <row r="34" spans="2:9" ht="15.75" customHeight="1" outlineLevel="1" x14ac:dyDescent="0.25">
      <c r="B34" s="536" t="str">
        <f>IF(ISBLANK(dms_E65_Projects_03),"",dms_E65_Projects_03)</f>
        <v/>
      </c>
      <c r="C34" s="285"/>
      <c r="D34" s="286"/>
      <c r="E34" s="311"/>
      <c r="F34" s="271"/>
      <c r="G34" s="271"/>
      <c r="H34" s="271"/>
      <c r="I34" s="272"/>
    </row>
    <row r="35" spans="2:9" ht="15.75" customHeight="1" outlineLevel="1" x14ac:dyDescent="0.25">
      <c r="B35" s="536" t="str">
        <f>IF(ISBLANK(dms_E65_Projects_04),"",dms_E65_Projects_04)</f>
        <v/>
      </c>
      <c r="C35" s="285"/>
      <c r="D35" s="286"/>
      <c r="E35" s="311"/>
      <c r="F35" s="271"/>
      <c r="G35" s="271"/>
      <c r="H35" s="271"/>
      <c r="I35" s="272"/>
    </row>
    <row r="36" spans="2:9" ht="15.75" customHeight="1" outlineLevel="1" x14ac:dyDescent="0.25">
      <c r="B36" s="536" t="str">
        <f>IF(ISBLANK(dms_E65_Projects_05),"",dms_E65_Projects_05)</f>
        <v/>
      </c>
      <c r="C36" s="285"/>
      <c r="D36" s="286"/>
      <c r="E36" s="311"/>
      <c r="F36" s="271"/>
      <c r="G36" s="271"/>
      <c r="H36" s="271"/>
      <c r="I36" s="272"/>
    </row>
    <row r="37" spans="2:9" ht="15.75" customHeight="1" outlineLevel="1" x14ac:dyDescent="0.25">
      <c r="B37" s="536" t="str">
        <f>IF(ISBLANK(dms_E65_Projects_06),"",dms_E65_Projects_06)</f>
        <v/>
      </c>
      <c r="C37" s="285"/>
      <c r="D37" s="286"/>
      <c r="E37" s="311"/>
      <c r="F37" s="271"/>
      <c r="G37" s="271"/>
      <c r="H37" s="271"/>
      <c r="I37" s="272"/>
    </row>
    <row r="38" spans="2:9" ht="15.75" customHeight="1" outlineLevel="1" x14ac:dyDescent="0.25">
      <c r="B38" s="536" t="str">
        <f>IF(ISBLANK(dms_E65_Projects_07),"",dms_E65_Projects_07)</f>
        <v/>
      </c>
      <c r="C38" s="285"/>
      <c r="D38" s="286"/>
      <c r="E38" s="311"/>
      <c r="F38" s="271"/>
      <c r="G38" s="271"/>
      <c r="H38" s="271"/>
      <c r="I38" s="272"/>
    </row>
    <row r="39" spans="2:9" ht="15.75" customHeight="1" outlineLevel="1" x14ac:dyDescent="0.25">
      <c r="B39" s="536" t="str">
        <f>IF(ISBLANK(dms_E65_Projects_08),"",dms_E65_Projects_08)</f>
        <v/>
      </c>
      <c r="C39" s="285"/>
      <c r="D39" s="286"/>
      <c r="E39" s="311"/>
      <c r="F39" s="271"/>
      <c r="G39" s="271"/>
      <c r="H39" s="271"/>
      <c r="I39" s="272"/>
    </row>
    <row r="40" spans="2:9" ht="15.75" customHeight="1" outlineLevel="1" x14ac:dyDescent="0.25">
      <c r="B40" s="536" t="str">
        <f>IF(ISBLANK(dms_E65_Projects_09),"",dms_E65_Projects_09)</f>
        <v/>
      </c>
      <c r="C40" s="285"/>
      <c r="D40" s="286"/>
      <c r="E40" s="311"/>
      <c r="F40" s="271"/>
      <c r="G40" s="271"/>
      <c r="H40" s="271"/>
      <c r="I40" s="272"/>
    </row>
    <row r="41" spans="2:9" ht="15.75" customHeight="1" outlineLevel="1" x14ac:dyDescent="0.25">
      <c r="B41" s="536" t="str">
        <f>IF(ISBLANK(dms_E65_Projects_10),"",dms_E65_Projects_10)</f>
        <v/>
      </c>
      <c r="C41" s="285"/>
      <c r="D41" s="286"/>
      <c r="E41" s="311"/>
      <c r="F41" s="271"/>
      <c r="G41" s="271"/>
      <c r="H41" s="271"/>
      <c r="I41" s="272"/>
    </row>
    <row r="42" spans="2:9" ht="15.75" customHeight="1" outlineLevel="1" x14ac:dyDescent="0.25">
      <c r="B42" s="536" t="str">
        <f>IF(ISBLANK(dms_E65_Projects_11),"",dms_E65_Projects_11)</f>
        <v/>
      </c>
      <c r="C42" s="285"/>
      <c r="D42" s="286"/>
      <c r="E42" s="311"/>
      <c r="F42" s="271"/>
      <c r="G42" s="271"/>
      <c r="H42" s="271"/>
      <c r="I42" s="272"/>
    </row>
    <row r="43" spans="2:9" ht="15.75" customHeight="1" outlineLevel="1" x14ac:dyDescent="0.25">
      <c r="B43" s="536" t="str">
        <f>IF(ISBLANK(dms_E65_Projects_12),"",dms_E65_Projects_12)</f>
        <v/>
      </c>
      <c r="C43" s="285"/>
      <c r="D43" s="286"/>
      <c r="E43" s="311"/>
      <c r="F43" s="271"/>
      <c r="G43" s="271"/>
      <c r="H43" s="271"/>
      <c r="I43" s="272"/>
    </row>
    <row r="44" spans="2:9" ht="15.75" customHeight="1" outlineLevel="1" x14ac:dyDescent="0.25">
      <c r="B44" s="536" t="str">
        <f>IF(ISBLANK(dms_E65_Projects_13),"",dms_E65_Projects_13)</f>
        <v/>
      </c>
      <c r="C44" s="285"/>
      <c r="D44" s="286"/>
      <c r="E44" s="311"/>
      <c r="F44" s="271"/>
      <c r="G44" s="271"/>
      <c r="H44" s="271"/>
      <c r="I44" s="272"/>
    </row>
    <row r="45" spans="2:9" ht="15.75" customHeight="1" outlineLevel="1" x14ac:dyDescent="0.25">
      <c r="B45" s="536" t="str">
        <f>IF(ISBLANK(dms_E65_Projects_14),"",dms_E65_Projects_14)</f>
        <v/>
      </c>
      <c r="C45" s="285"/>
      <c r="D45" s="286"/>
      <c r="E45" s="311"/>
      <c r="F45" s="271"/>
      <c r="G45" s="271"/>
      <c r="H45" s="271"/>
      <c r="I45" s="272"/>
    </row>
    <row r="46" spans="2:9" ht="15.75" customHeight="1" outlineLevel="1" x14ac:dyDescent="0.25">
      <c r="B46" s="536" t="str">
        <f>IF(ISBLANK(dms_E65_Projects_15),"",dms_E65_Projects_15)</f>
        <v/>
      </c>
      <c r="C46" s="285"/>
      <c r="D46" s="286"/>
      <c r="E46" s="311"/>
      <c r="F46" s="271"/>
      <c r="G46" s="271"/>
      <c r="H46" s="271"/>
      <c r="I46" s="272"/>
    </row>
    <row r="47" spans="2:9" ht="15.75" customHeight="1" outlineLevel="1" thickBot="1" x14ac:dyDescent="0.3">
      <c r="B47" s="645" t="s">
        <v>152</v>
      </c>
      <c r="C47" s="556"/>
      <c r="D47" s="660"/>
      <c r="E47" s="661"/>
      <c r="F47" s="557"/>
      <c r="G47" s="557"/>
      <c r="H47" s="557"/>
      <c r="I47" s="662"/>
    </row>
    <row r="48" spans="2:9" ht="15.75" customHeight="1" outlineLevel="1" thickBot="1" x14ac:dyDescent="0.3">
      <c r="B48" s="295" t="s">
        <v>120</v>
      </c>
      <c r="C48" s="296">
        <f>SUM(C32:C47)</f>
        <v>0</v>
      </c>
      <c r="D48" s="296">
        <f t="shared" ref="D48:I48" si="0">SUM(D32:D47)</f>
        <v>0</v>
      </c>
      <c r="E48" s="296">
        <f t="shared" si="0"/>
        <v>0</v>
      </c>
      <c r="F48" s="296">
        <f t="shared" si="0"/>
        <v>0</v>
      </c>
      <c r="G48" s="296">
        <f t="shared" si="0"/>
        <v>0</v>
      </c>
      <c r="H48" s="296">
        <f t="shared" si="0"/>
        <v>0</v>
      </c>
      <c r="I48" s="297">
        <f t="shared" si="0"/>
        <v>0</v>
      </c>
    </row>
    <row r="49" spans="2:9" ht="15.75" customHeight="1" thickBot="1" x14ac:dyDescent="0.3">
      <c r="B49" s="75"/>
    </row>
    <row r="50" spans="2:9" ht="21.75" customHeight="1" thickBot="1" x14ac:dyDescent="0.3">
      <c r="B50" s="250" t="s">
        <v>138</v>
      </c>
      <c r="C50" s="251"/>
      <c r="D50" s="251"/>
      <c r="E50" s="251"/>
      <c r="F50" s="251"/>
      <c r="G50" s="251"/>
      <c r="H50" s="251"/>
      <c r="I50" s="251"/>
    </row>
    <row r="51" spans="2:9" ht="15.75" customHeight="1" outlineLevel="1" x14ac:dyDescent="0.25">
      <c r="B51" s="558" t="str">
        <f>IF(ISBLANK(dms_E65_Projects_01),"",dms_E65_Projects_01)</f>
        <v>SCADA Equipment/ RTU Replacement</v>
      </c>
      <c r="C51" s="276">
        <v>243098.25193285351</v>
      </c>
      <c r="D51" s="278">
        <v>314549.83310495067</v>
      </c>
      <c r="E51" s="310">
        <v>544011.88305582968</v>
      </c>
      <c r="F51" s="277">
        <v>547342.25762738183</v>
      </c>
      <c r="G51" s="277">
        <v>550858.06243749254</v>
      </c>
      <c r="H51" s="277">
        <v>555339.59488765534</v>
      </c>
      <c r="I51" s="280">
        <v>559767.75110858725</v>
      </c>
    </row>
    <row r="52" spans="2:9" ht="15.75" customHeight="1" outlineLevel="1" x14ac:dyDescent="0.25">
      <c r="B52" s="536" t="str">
        <f>IF(ISBLANK(dms_E65_Projects_02),"",dms_E65_Projects_02)</f>
        <v xml:space="preserve">Network Pressure Monitoring </v>
      </c>
      <c r="C52" s="285">
        <v>172175.37269983851</v>
      </c>
      <c r="D52" s="286">
        <v>149091.76379462588</v>
      </c>
      <c r="E52" s="311">
        <v>674903.43453278474</v>
      </c>
      <c r="F52" s="271">
        <v>146027.99385749124</v>
      </c>
      <c r="G52" s="271">
        <v>98683.665925484194</v>
      </c>
      <c r="H52" s="271">
        <v>64875.218141914382</v>
      </c>
      <c r="I52" s="272">
        <v>65385.374388565506</v>
      </c>
    </row>
    <row r="53" spans="2:9" ht="15.75" customHeight="1" outlineLevel="1" x14ac:dyDescent="0.25">
      <c r="B53" s="536" t="str">
        <f>IF(ISBLANK(dms_E65_Projects_03),"",dms_E65_Projects_03)</f>
        <v/>
      </c>
      <c r="C53" s="285"/>
      <c r="D53" s="286"/>
      <c r="E53" s="311"/>
      <c r="F53" s="271"/>
      <c r="G53" s="271"/>
      <c r="H53" s="271"/>
      <c r="I53" s="272"/>
    </row>
    <row r="54" spans="2:9" ht="15.75" customHeight="1" outlineLevel="1" x14ac:dyDescent="0.25">
      <c r="B54" s="536" t="str">
        <f>IF(ISBLANK(dms_E65_Projects_04),"",dms_E65_Projects_04)</f>
        <v/>
      </c>
      <c r="C54" s="285"/>
      <c r="D54" s="286"/>
      <c r="E54" s="311"/>
      <c r="F54" s="271"/>
      <c r="G54" s="271"/>
      <c r="H54" s="271"/>
      <c r="I54" s="272"/>
    </row>
    <row r="55" spans="2:9" ht="15.75" customHeight="1" outlineLevel="1" x14ac:dyDescent="0.25">
      <c r="B55" s="536" t="str">
        <f>IF(ISBLANK(dms_E65_Projects_05),"",dms_E65_Projects_05)</f>
        <v/>
      </c>
      <c r="C55" s="285"/>
      <c r="D55" s="286"/>
      <c r="E55" s="311"/>
      <c r="F55" s="271"/>
      <c r="G55" s="271"/>
      <c r="H55" s="271"/>
      <c r="I55" s="272"/>
    </row>
    <row r="56" spans="2:9" ht="15.75" customHeight="1" outlineLevel="1" x14ac:dyDescent="0.25">
      <c r="B56" s="536" t="str">
        <f>IF(ISBLANK(dms_E65_Projects_06),"",dms_E65_Projects_06)</f>
        <v/>
      </c>
      <c r="C56" s="285"/>
      <c r="D56" s="286"/>
      <c r="E56" s="311"/>
      <c r="F56" s="271"/>
      <c r="G56" s="271"/>
      <c r="H56" s="271"/>
      <c r="I56" s="272"/>
    </row>
    <row r="57" spans="2:9" ht="15.75" customHeight="1" outlineLevel="1" x14ac:dyDescent="0.25">
      <c r="B57" s="536" t="str">
        <f>IF(ISBLANK(dms_E65_Projects_07),"",dms_E65_Projects_07)</f>
        <v/>
      </c>
      <c r="C57" s="285"/>
      <c r="D57" s="286"/>
      <c r="E57" s="311"/>
      <c r="F57" s="271"/>
      <c r="G57" s="271"/>
      <c r="H57" s="271"/>
      <c r="I57" s="272"/>
    </row>
    <row r="58" spans="2:9" ht="15.75" customHeight="1" outlineLevel="1" x14ac:dyDescent="0.25">
      <c r="B58" s="536" t="str">
        <f>IF(ISBLANK(dms_E65_Projects_08),"",dms_E65_Projects_08)</f>
        <v/>
      </c>
      <c r="C58" s="285"/>
      <c r="D58" s="286"/>
      <c r="E58" s="311"/>
      <c r="F58" s="271"/>
      <c r="G58" s="271"/>
      <c r="H58" s="271"/>
      <c r="I58" s="272"/>
    </row>
    <row r="59" spans="2:9" ht="15.75" customHeight="1" outlineLevel="1" x14ac:dyDescent="0.25">
      <c r="B59" s="536" t="str">
        <f>IF(ISBLANK(dms_E65_Projects_09),"",dms_E65_Projects_09)</f>
        <v/>
      </c>
      <c r="C59" s="285"/>
      <c r="D59" s="286"/>
      <c r="E59" s="311"/>
      <c r="F59" s="271"/>
      <c r="G59" s="271"/>
      <c r="H59" s="271"/>
      <c r="I59" s="272"/>
    </row>
    <row r="60" spans="2:9" ht="15.75" customHeight="1" outlineLevel="1" x14ac:dyDescent="0.25">
      <c r="B60" s="536" t="str">
        <f>IF(ISBLANK(dms_E65_Projects_10),"",dms_E65_Projects_10)</f>
        <v/>
      </c>
      <c r="C60" s="285"/>
      <c r="D60" s="286"/>
      <c r="E60" s="311"/>
      <c r="F60" s="271"/>
      <c r="G60" s="271"/>
      <c r="H60" s="271"/>
      <c r="I60" s="272"/>
    </row>
    <row r="61" spans="2:9" ht="15.75" customHeight="1" outlineLevel="1" x14ac:dyDescent="0.25">
      <c r="B61" s="536" t="str">
        <f>IF(ISBLANK(dms_E65_Projects_11),"",dms_E65_Projects_11)</f>
        <v/>
      </c>
      <c r="C61" s="285"/>
      <c r="D61" s="286"/>
      <c r="E61" s="311"/>
      <c r="F61" s="271"/>
      <c r="G61" s="271"/>
      <c r="H61" s="271"/>
      <c r="I61" s="272"/>
    </row>
    <row r="62" spans="2:9" ht="15.75" customHeight="1" outlineLevel="1" x14ac:dyDescent="0.25">
      <c r="B62" s="536" t="str">
        <f>IF(ISBLANK(dms_E65_Projects_12),"",dms_E65_Projects_12)</f>
        <v/>
      </c>
      <c r="C62" s="285"/>
      <c r="D62" s="286"/>
      <c r="E62" s="311"/>
      <c r="F62" s="271"/>
      <c r="G62" s="271"/>
      <c r="H62" s="271"/>
      <c r="I62" s="272"/>
    </row>
    <row r="63" spans="2:9" ht="15.75" customHeight="1" outlineLevel="1" x14ac:dyDescent="0.25">
      <c r="B63" s="536" t="str">
        <f>IF(ISBLANK(dms_E65_Projects_13),"",dms_E65_Projects_13)</f>
        <v/>
      </c>
      <c r="C63" s="285"/>
      <c r="D63" s="286"/>
      <c r="E63" s="311"/>
      <c r="F63" s="271"/>
      <c r="G63" s="271"/>
      <c r="H63" s="271"/>
      <c r="I63" s="272"/>
    </row>
    <row r="64" spans="2:9" ht="15.75" customHeight="1" outlineLevel="1" x14ac:dyDescent="0.25">
      <c r="B64" s="536" t="str">
        <f>IF(ISBLANK(dms_E65_Projects_14),"",dms_E65_Projects_14)</f>
        <v/>
      </c>
      <c r="C64" s="285"/>
      <c r="D64" s="286"/>
      <c r="E64" s="311"/>
      <c r="F64" s="271"/>
      <c r="G64" s="271"/>
      <c r="H64" s="271"/>
      <c r="I64" s="272"/>
    </row>
    <row r="65" spans="2:9" ht="15.75" customHeight="1" outlineLevel="1" x14ac:dyDescent="0.25">
      <c r="B65" s="536" t="str">
        <f>IF(ISBLANK(dms_E65_Projects_15),"",dms_E65_Projects_15)</f>
        <v/>
      </c>
      <c r="C65" s="285"/>
      <c r="D65" s="286"/>
      <c r="E65" s="311"/>
      <c r="F65" s="271"/>
      <c r="G65" s="271"/>
      <c r="H65" s="271"/>
      <c r="I65" s="272"/>
    </row>
    <row r="66" spans="2:9" ht="15.75" customHeight="1" outlineLevel="1" thickBot="1" x14ac:dyDescent="0.3">
      <c r="B66" s="547" t="s">
        <v>152</v>
      </c>
      <c r="C66" s="298"/>
      <c r="D66" s="299"/>
      <c r="E66" s="403"/>
      <c r="F66" s="301"/>
      <c r="G66" s="301"/>
      <c r="H66" s="301"/>
      <c r="I66" s="302"/>
    </row>
    <row r="67" spans="2:9" ht="15.75" customHeight="1" outlineLevel="1" thickBot="1" x14ac:dyDescent="0.3">
      <c r="B67" s="295" t="s">
        <v>120</v>
      </c>
      <c r="C67" s="296">
        <f>SUM(C51:C66)</f>
        <v>415273.62463269202</v>
      </c>
      <c r="D67" s="296">
        <f t="shared" ref="D67" si="1">SUM(D51:D66)</f>
        <v>463641.59689957654</v>
      </c>
      <c r="E67" s="296">
        <f t="shared" ref="E67" si="2">SUM(E51:E66)</f>
        <v>1218915.3175886143</v>
      </c>
      <c r="F67" s="296">
        <f t="shared" ref="F67" si="3">SUM(F51:F66)</f>
        <v>693370.25148487301</v>
      </c>
      <c r="G67" s="296">
        <f t="shared" ref="G67" si="4">SUM(G51:G66)</f>
        <v>649541.72836297669</v>
      </c>
      <c r="H67" s="296">
        <f t="shared" ref="H67" si="5">SUM(H51:H66)</f>
        <v>620214.81302956969</v>
      </c>
      <c r="I67" s="297">
        <f t="shared" ref="I67" si="6">SUM(I51:I66)</f>
        <v>625153.1254971528</v>
      </c>
    </row>
    <row r="68" spans="2:9" ht="21.75" customHeight="1" thickBot="1" x14ac:dyDescent="0.3"/>
    <row r="69" spans="2:9" ht="21.75" customHeight="1" thickBot="1" x14ac:dyDescent="0.3">
      <c r="B69" s="250" t="s">
        <v>139</v>
      </c>
      <c r="C69" s="251"/>
      <c r="D69" s="251"/>
      <c r="E69" s="251"/>
      <c r="F69" s="251"/>
      <c r="G69" s="251"/>
      <c r="H69" s="251"/>
      <c r="I69" s="251"/>
    </row>
    <row r="70" spans="2:9" ht="15.75" customHeight="1" outlineLevel="1" x14ac:dyDescent="0.25">
      <c r="B70" s="558" t="str">
        <f>IF(ISBLANK(dms_E65_Projects_01),"",dms_E65_Projects_01)</f>
        <v>SCADA Equipment/ RTU Replacement</v>
      </c>
      <c r="C70" s="276"/>
      <c r="D70" s="278"/>
      <c r="E70" s="310"/>
      <c r="F70" s="277"/>
      <c r="G70" s="277"/>
      <c r="H70" s="277"/>
      <c r="I70" s="280"/>
    </row>
    <row r="71" spans="2:9" ht="15.75" customHeight="1" outlineLevel="1" x14ac:dyDescent="0.25">
      <c r="B71" s="536" t="str">
        <f>IF(ISBLANK(dms_E65_Projects_02),"",dms_E65_Projects_02)</f>
        <v xml:space="preserve">Network Pressure Monitoring </v>
      </c>
      <c r="C71" s="285"/>
      <c r="D71" s="286"/>
      <c r="E71" s="311"/>
      <c r="F71" s="271"/>
      <c r="G71" s="271"/>
      <c r="H71" s="271"/>
      <c r="I71" s="272"/>
    </row>
    <row r="72" spans="2:9" ht="15.75" customHeight="1" outlineLevel="1" x14ac:dyDescent="0.25">
      <c r="B72" s="536" t="str">
        <f>IF(ISBLANK(dms_E65_Projects_03),"",dms_E65_Projects_03)</f>
        <v/>
      </c>
      <c r="C72" s="285"/>
      <c r="D72" s="286"/>
      <c r="E72" s="311"/>
      <c r="F72" s="271"/>
      <c r="G72" s="271"/>
      <c r="H72" s="271"/>
      <c r="I72" s="272"/>
    </row>
    <row r="73" spans="2:9" ht="15.75" customHeight="1" outlineLevel="1" x14ac:dyDescent="0.25">
      <c r="B73" s="536" t="str">
        <f>IF(ISBLANK(dms_E65_Projects_04),"",dms_E65_Projects_04)</f>
        <v/>
      </c>
      <c r="C73" s="285"/>
      <c r="D73" s="286"/>
      <c r="E73" s="311"/>
      <c r="F73" s="271"/>
      <c r="G73" s="271"/>
      <c r="H73" s="271"/>
      <c r="I73" s="272"/>
    </row>
    <row r="74" spans="2:9" ht="15.75" customHeight="1" outlineLevel="1" x14ac:dyDescent="0.25">
      <c r="B74" s="536" t="str">
        <f>IF(ISBLANK(dms_E65_Projects_05),"",dms_E65_Projects_05)</f>
        <v/>
      </c>
      <c r="C74" s="285"/>
      <c r="D74" s="286"/>
      <c r="E74" s="311"/>
      <c r="F74" s="271"/>
      <c r="G74" s="271"/>
      <c r="H74" s="271"/>
      <c r="I74" s="272"/>
    </row>
    <row r="75" spans="2:9" ht="15.75" customHeight="1" outlineLevel="1" x14ac:dyDescent="0.25">
      <c r="B75" s="536" t="str">
        <f>IF(ISBLANK(dms_E65_Projects_06),"",dms_E65_Projects_06)</f>
        <v/>
      </c>
      <c r="C75" s="285"/>
      <c r="D75" s="286"/>
      <c r="E75" s="311"/>
      <c r="F75" s="271"/>
      <c r="G75" s="271"/>
      <c r="H75" s="271"/>
      <c r="I75" s="272"/>
    </row>
    <row r="76" spans="2:9" ht="15.75" customHeight="1" outlineLevel="1" x14ac:dyDescent="0.25">
      <c r="B76" s="536" t="str">
        <f>IF(ISBLANK(dms_E65_Projects_07),"",dms_E65_Projects_07)</f>
        <v/>
      </c>
      <c r="C76" s="285"/>
      <c r="D76" s="286"/>
      <c r="E76" s="311"/>
      <c r="F76" s="271"/>
      <c r="G76" s="271"/>
      <c r="H76" s="271"/>
      <c r="I76" s="272"/>
    </row>
    <row r="77" spans="2:9" ht="15.75" customHeight="1" outlineLevel="1" x14ac:dyDescent="0.25">
      <c r="B77" s="536" t="str">
        <f>IF(ISBLANK(dms_E65_Projects_08),"",dms_E65_Projects_08)</f>
        <v/>
      </c>
      <c r="C77" s="285"/>
      <c r="D77" s="286"/>
      <c r="E77" s="311"/>
      <c r="F77" s="271"/>
      <c r="G77" s="271"/>
      <c r="H77" s="271"/>
      <c r="I77" s="272"/>
    </row>
    <row r="78" spans="2:9" ht="15.75" customHeight="1" outlineLevel="1" x14ac:dyDescent="0.25">
      <c r="B78" s="536" t="str">
        <f>IF(ISBLANK(dms_E65_Projects_09),"",dms_E65_Projects_09)</f>
        <v/>
      </c>
      <c r="C78" s="285"/>
      <c r="D78" s="286"/>
      <c r="E78" s="311"/>
      <c r="F78" s="271"/>
      <c r="G78" s="271"/>
      <c r="H78" s="271"/>
      <c r="I78" s="272"/>
    </row>
    <row r="79" spans="2:9" ht="15.75" customHeight="1" outlineLevel="1" x14ac:dyDescent="0.25">
      <c r="B79" s="536" t="str">
        <f>IF(ISBLANK(dms_E65_Projects_10),"",dms_E65_Projects_10)</f>
        <v/>
      </c>
      <c r="C79" s="285"/>
      <c r="D79" s="286"/>
      <c r="E79" s="311"/>
      <c r="F79" s="271"/>
      <c r="G79" s="271"/>
      <c r="H79" s="271"/>
      <c r="I79" s="272"/>
    </row>
    <row r="80" spans="2:9" ht="15.75" customHeight="1" outlineLevel="1" x14ac:dyDescent="0.25">
      <c r="B80" s="536" t="str">
        <f>IF(ISBLANK(dms_E65_Projects_11),"",dms_E65_Projects_11)</f>
        <v/>
      </c>
      <c r="C80" s="285"/>
      <c r="D80" s="286"/>
      <c r="E80" s="311"/>
      <c r="F80" s="271"/>
      <c r="G80" s="271"/>
      <c r="H80" s="271"/>
      <c r="I80" s="272"/>
    </row>
    <row r="81" spans="2:9" ht="15.75" customHeight="1" outlineLevel="1" x14ac:dyDescent="0.25">
      <c r="B81" s="536" t="str">
        <f>IF(ISBLANK(dms_E65_Projects_12),"",dms_E65_Projects_12)</f>
        <v/>
      </c>
      <c r="C81" s="285"/>
      <c r="D81" s="286"/>
      <c r="E81" s="311"/>
      <c r="F81" s="271"/>
      <c r="G81" s="271"/>
      <c r="H81" s="271"/>
      <c r="I81" s="272"/>
    </row>
    <row r="82" spans="2:9" ht="15.75" customHeight="1" outlineLevel="1" x14ac:dyDescent="0.25">
      <c r="B82" s="536" t="str">
        <f>IF(ISBLANK(dms_E65_Projects_13),"",dms_E65_Projects_13)</f>
        <v/>
      </c>
      <c r="C82" s="285"/>
      <c r="D82" s="286"/>
      <c r="E82" s="311"/>
      <c r="F82" s="271"/>
      <c r="G82" s="271"/>
      <c r="H82" s="271"/>
      <c r="I82" s="272"/>
    </row>
    <row r="83" spans="2:9" ht="15.75" customHeight="1" outlineLevel="1" x14ac:dyDescent="0.25">
      <c r="B83" s="536" t="str">
        <f>IF(ISBLANK(dms_E65_Projects_14),"",dms_E65_Projects_14)</f>
        <v/>
      </c>
      <c r="C83" s="285"/>
      <c r="D83" s="286"/>
      <c r="E83" s="311"/>
      <c r="F83" s="271"/>
      <c r="G83" s="271"/>
      <c r="H83" s="271"/>
      <c r="I83" s="272"/>
    </row>
    <row r="84" spans="2:9" ht="15.75" customHeight="1" outlineLevel="1" x14ac:dyDescent="0.25">
      <c r="B84" s="536" t="str">
        <f>IF(ISBLANK(dms_E65_Projects_15),"",dms_E65_Projects_15)</f>
        <v/>
      </c>
      <c r="C84" s="285"/>
      <c r="D84" s="286"/>
      <c r="E84" s="311"/>
      <c r="F84" s="271"/>
      <c r="G84" s="271"/>
      <c r="H84" s="271"/>
      <c r="I84" s="272"/>
    </row>
    <row r="85" spans="2:9" ht="15.75" customHeight="1" outlineLevel="1" thickBot="1" x14ac:dyDescent="0.3">
      <c r="B85" s="547" t="s">
        <v>152</v>
      </c>
      <c r="C85" s="298"/>
      <c r="D85" s="299"/>
      <c r="E85" s="403"/>
      <c r="F85" s="301"/>
      <c r="G85" s="301"/>
      <c r="H85" s="301"/>
      <c r="I85" s="302"/>
    </row>
    <row r="86" spans="2:9" ht="15.75" customHeight="1" outlineLevel="1" thickBot="1" x14ac:dyDescent="0.3">
      <c r="B86" s="545" t="s">
        <v>120</v>
      </c>
      <c r="C86" s="296">
        <f>SUM(C70:C85)</f>
        <v>0</v>
      </c>
      <c r="D86" s="296">
        <f t="shared" ref="D86:I86" si="7">SUM(D70:D85)</f>
        <v>0</v>
      </c>
      <c r="E86" s="296">
        <f t="shared" si="7"/>
        <v>0</v>
      </c>
      <c r="F86" s="296">
        <f t="shared" si="7"/>
        <v>0</v>
      </c>
      <c r="G86" s="296">
        <f t="shared" si="7"/>
        <v>0</v>
      </c>
      <c r="H86" s="296">
        <f t="shared" si="7"/>
        <v>0</v>
      </c>
      <c r="I86" s="297">
        <f t="shared" si="7"/>
        <v>0</v>
      </c>
    </row>
    <row r="87" spans="2:9" ht="15.75" customHeight="1" thickBot="1" x14ac:dyDescent="0.3">
      <c r="B87" s="75"/>
    </row>
    <row r="88" spans="2:9" ht="21.75" customHeight="1" thickBot="1" x14ac:dyDescent="0.3">
      <c r="B88" s="250" t="s">
        <v>140</v>
      </c>
      <c r="C88" s="251"/>
      <c r="D88" s="251"/>
      <c r="E88" s="251"/>
      <c r="F88" s="251"/>
      <c r="G88" s="251"/>
      <c r="H88" s="251"/>
      <c r="I88" s="251"/>
    </row>
    <row r="89" spans="2:9" ht="15.75" customHeight="1" outlineLevel="1" x14ac:dyDescent="0.25">
      <c r="B89" s="558" t="str">
        <f>IF(ISBLANK(dms_E65_Projects_01),"",dms_E65_Projects_01)</f>
        <v>SCADA Equipment/ RTU Replacement</v>
      </c>
      <c r="C89" s="276"/>
      <c r="D89" s="278"/>
      <c r="E89" s="310"/>
      <c r="F89" s="277"/>
      <c r="G89" s="277"/>
      <c r="H89" s="277"/>
      <c r="I89" s="280"/>
    </row>
    <row r="90" spans="2:9" ht="15.75" customHeight="1" outlineLevel="1" x14ac:dyDescent="0.25">
      <c r="B90" s="536" t="str">
        <f>IF(ISBLANK(dms_E65_Projects_02),"",dms_E65_Projects_02)</f>
        <v xml:space="preserve">Network Pressure Monitoring </v>
      </c>
      <c r="C90" s="285"/>
      <c r="D90" s="286"/>
      <c r="E90" s="311"/>
      <c r="F90" s="271"/>
      <c r="G90" s="271"/>
      <c r="H90" s="271"/>
      <c r="I90" s="272"/>
    </row>
    <row r="91" spans="2:9" ht="15.75" customHeight="1" outlineLevel="1" x14ac:dyDescent="0.25">
      <c r="B91" s="536" t="str">
        <f>IF(ISBLANK(dms_E65_Projects_03),"",dms_E65_Projects_03)</f>
        <v/>
      </c>
      <c r="C91" s="285"/>
      <c r="D91" s="286"/>
      <c r="E91" s="311"/>
      <c r="F91" s="271"/>
      <c r="G91" s="271"/>
      <c r="H91" s="271"/>
      <c r="I91" s="272"/>
    </row>
    <row r="92" spans="2:9" ht="15.75" customHeight="1" outlineLevel="1" x14ac:dyDescent="0.25">
      <c r="B92" s="536" t="str">
        <f>IF(ISBLANK(dms_E65_Projects_04),"",dms_E65_Projects_04)</f>
        <v/>
      </c>
      <c r="C92" s="285"/>
      <c r="D92" s="286"/>
      <c r="E92" s="311"/>
      <c r="F92" s="271"/>
      <c r="G92" s="271"/>
      <c r="H92" s="271"/>
      <c r="I92" s="272"/>
    </row>
    <row r="93" spans="2:9" ht="15.75" customHeight="1" outlineLevel="1" x14ac:dyDescent="0.25">
      <c r="B93" s="536" t="str">
        <f>IF(ISBLANK(dms_E65_Projects_05),"",dms_E65_Projects_05)</f>
        <v/>
      </c>
      <c r="C93" s="285"/>
      <c r="D93" s="286"/>
      <c r="E93" s="311"/>
      <c r="F93" s="271"/>
      <c r="G93" s="271"/>
      <c r="H93" s="271"/>
      <c r="I93" s="272"/>
    </row>
    <row r="94" spans="2:9" ht="15.75" customHeight="1" outlineLevel="1" x14ac:dyDescent="0.25">
      <c r="B94" s="536" t="str">
        <f>IF(ISBLANK(dms_E65_Projects_06),"",dms_E65_Projects_06)</f>
        <v/>
      </c>
      <c r="C94" s="285"/>
      <c r="D94" s="286"/>
      <c r="E94" s="311"/>
      <c r="F94" s="271"/>
      <c r="G94" s="271"/>
      <c r="H94" s="271"/>
      <c r="I94" s="272"/>
    </row>
    <row r="95" spans="2:9" ht="15.75" customHeight="1" outlineLevel="1" x14ac:dyDescent="0.25">
      <c r="B95" s="536" t="str">
        <f>IF(ISBLANK(dms_E65_Projects_07),"",dms_E65_Projects_07)</f>
        <v/>
      </c>
      <c r="C95" s="285"/>
      <c r="D95" s="286"/>
      <c r="E95" s="311"/>
      <c r="F95" s="271"/>
      <c r="G95" s="271"/>
      <c r="H95" s="271"/>
      <c r="I95" s="272"/>
    </row>
    <row r="96" spans="2:9" ht="15.75" customHeight="1" outlineLevel="1" x14ac:dyDescent="0.25">
      <c r="B96" s="536" t="str">
        <f>IF(ISBLANK(dms_E65_Projects_08),"",dms_E65_Projects_08)</f>
        <v/>
      </c>
      <c r="C96" s="285"/>
      <c r="D96" s="286"/>
      <c r="E96" s="311"/>
      <c r="F96" s="271"/>
      <c r="G96" s="271"/>
      <c r="H96" s="271"/>
      <c r="I96" s="272"/>
    </row>
    <row r="97" spans="2:9" ht="15.75" customHeight="1" outlineLevel="1" x14ac:dyDescent="0.25">
      <c r="B97" s="536" t="str">
        <f>IF(ISBLANK(dms_E65_Projects_09),"",dms_E65_Projects_09)</f>
        <v/>
      </c>
      <c r="C97" s="285"/>
      <c r="D97" s="286"/>
      <c r="E97" s="311"/>
      <c r="F97" s="271"/>
      <c r="G97" s="271"/>
      <c r="H97" s="271"/>
      <c r="I97" s="272"/>
    </row>
    <row r="98" spans="2:9" ht="15.75" customHeight="1" outlineLevel="1" x14ac:dyDescent="0.25">
      <c r="B98" s="536" t="str">
        <f>IF(ISBLANK(dms_E65_Projects_10),"",dms_E65_Projects_10)</f>
        <v/>
      </c>
      <c r="C98" s="285"/>
      <c r="D98" s="286"/>
      <c r="E98" s="311"/>
      <c r="F98" s="271"/>
      <c r="G98" s="271"/>
      <c r="H98" s="271"/>
      <c r="I98" s="272"/>
    </row>
    <row r="99" spans="2:9" ht="15.75" customHeight="1" outlineLevel="1" x14ac:dyDescent="0.25">
      <c r="B99" s="536" t="str">
        <f>IF(ISBLANK(dms_E65_Projects_11),"",dms_E65_Projects_11)</f>
        <v/>
      </c>
      <c r="C99" s="285"/>
      <c r="D99" s="286"/>
      <c r="E99" s="311"/>
      <c r="F99" s="271"/>
      <c r="G99" s="271"/>
      <c r="H99" s="271"/>
      <c r="I99" s="272"/>
    </row>
    <row r="100" spans="2:9" ht="15.75" customHeight="1" outlineLevel="1" x14ac:dyDescent="0.25">
      <c r="B100" s="536" t="str">
        <f>IF(ISBLANK(dms_E65_Projects_12),"",dms_E65_Projects_12)</f>
        <v/>
      </c>
      <c r="C100" s="285"/>
      <c r="D100" s="286"/>
      <c r="E100" s="311"/>
      <c r="F100" s="271"/>
      <c r="G100" s="271"/>
      <c r="H100" s="271"/>
      <c r="I100" s="272"/>
    </row>
    <row r="101" spans="2:9" ht="15.75" customHeight="1" outlineLevel="1" x14ac:dyDescent="0.25">
      <c r="B101" s="536" t="str">
        <f>IF(ISBLANK(dms_E65_Projects_13),"",dms_E65_Projects_13)</f>
        <v/>
      </c>
      <c r="C101" s="285"/>
      <c r="D101" s="286"/>
      <c r="E101" s="311"/>
      <c r="F101" s="271"/>
      <c r="G101" s="271"/>
      <c r="H101" s="271"/>
      <c r="I101" s="272"/>
    </row>
    <row r="102" spans="2:9" ht="15.75" customHeight="1" outlineLevel="1" x14ac:dyDescent="0.25">
      <c r="B102" s="536" t="str">
        <f>IF(ISBLANK(dms_E65_Projects_14),"",dms_E65_Projects_14)</f>
        <v/>
      </c>
      <c r="C102" s="285"/>
      <c r="D102" s="286"/>
      <c r="E102" s="311"/>
      <c r="F102" s="271"/>
      <c r="G102" s="271"/>
      <c r="H102" s="271"/>
      <c r="I102" s="272"/>
    </row>
    <row r="103" spans="2:9" ht="15.75" customHeight="1" outlineLevel="1" x14ac:dyDescent="0.25">
      <c r="B103" s="536" t="str">
        <f>IF(ISBLANK(dms_E65_Projects_15),"",dms_E65_Projects_15)</f>
        <v/>
      </c>
      <c r="C103" s="285"/>
      <c r="D103" s="286"/>
      <c r="E103" s="311"/>
      <c r="F103" s="271"/>
      <c r="G103" s="271"/>
      <c r="H103" s="271"/>
      <c r="I103" s="272"/>
    </row>
    <row r="104" spans="2:9" ht="15.75" customHeight="1" outlineLevel="1" thickBot="1" x14ac:dyDescent="0.3">
      <c r="B104" s="547" t="s">
        <v>152</v>
      </c>
      <c r="C104" s="298"/>
      <c r="D104" s="299"/>
      <c r="E104" s="403"/>
      <c r="F104" s="301"/>
      <c r="G104" s="301"/>
      <c r="H104" s="301"/>
      <c r="I104" s="302"/>
    </row>
    <row r="105" spans="2:9" ht="15.75" customHeight="1" outlineLevel="1" thickBot="1" x14ac:dyDescent="0.3">
      <c r="B105" s="295" t="s">
        <v>120</v>
      </c>
      <c r="C105" s="296">
        <f>SUM(C89:C104)</f>
        <v>0</v>
      </c>
      <c r="D105" s="296">
        <f t="shared" ref="D105" si="8">SUM(D89:D104)</f>
        <v>0</v>
      </c>
      <c r="E105" s="296">
        <f t="shared" ref="E105" si="9">SUM(E89:E104)</f>
        <v>0</v>
      </c>
      <c r="F105" s="296">
        <f t="shared" ref="F105" si="10">SUM(F89:F104)</f>
        <v>0</v>
      </c>
      <c r="G105" s="296">
        <f t="shared" ref="G105" si="11">SUM(G89:G104)</f>
        <v>0</v>
      </c>
      <c r="H105" s="296">
        <f t="shared" ref="H105" si="12">SUM(H89:H104)</f>
        <v>0</v>
      </c>
      <c r="I105" s="297">
        <f t="shared" ref="I105" si="13">SUM(I89:I104)</f>
        <v>0</v>
      </c>
    </row>
    <row r="106" spans="2:9" ht="15.75" customHeight="1" thickBot="1" x14ac:dyDescent="0.3">
      <c r="B106" s="75"/>
    </row>
    <row r="107" spans="2:9" ht="21.75" customHeight="1" thickBot="1" x14ac:dyDescent="0.3">
      <c r="B107" s="250" t="s">
        <v>141</v>
      </c>
      <c r="C107" s="251"/>
      <c r="D107" s="251"/>
      <c r="E107" s="251"/>
      <c r="F107" s="251"/>
      <c r="G107" s="251"/>
      <c r="H107" s="251"/>
      <c r="I107" s="251"/>
    </row>
    <row r="108" spans="2:9" ht="15.75" customHeight="1" outlineLevel="1" thickBot="1" x14ac:dyDescent="0.3">
      <c r="B108" s="547" t="s">
        <v>120</v>
      </c>
      <c r="C108" s="298"/>
      <c r="D108" s="299"/>
      <c r="E108" s="403"/>
      <c r="F108" s="301"/>
      <c r="G108" s="301"/>
      <c r="H108" s="301"/>
      <c r="I108" s="302"/>
    </row>
    <row r="109" spans="2:9" ht="15.75" customHeight="1" outlineLevel="1" thickBot="1" x14ac:dyDescent="0.3">
      <c r="B109" s="295" t="s">
        <v>120</v>
      </c>
      <c r="C109" s="296">
        <f t="shared" ref="C109:I109" si="14">SUM(C108:C108)</f>
        <v>0</v>
      </c>
      <c r="D109" s="296">
        <f t="shared" si="14"/>
        <v>0</v>
      </c>
      <c r="E109" s="296">
        <f t="shared" si="14"/>
        <v>0</v>
      </c>
      <c r="F109" s="296">
        <f t="shared" si="14"/>
        <v>0</v>
      </c>
      <c r="G109" s="296">
        <f t="shared" si="14"/>
        <v>0</v>
      </c>
      <c r="H109" s="296">
        <f t="shared" si="14"/>
        <v>0</v>
      </c>
      <c r="I109" s="297">
        <f t="shared" si="14"/>
        <v>0</v>
      </c>
    </row>
    <row r="110" spans="2:9" ht="15.75" customHeight="1" thickBot="1" x14ac:dyDescent="0.3">
      <c r="B110" s="75"/>
    </row>
    <row r="111" spans="2:9" ht="21.75" customHeight="1" thickBot="1" x14ac:dyDescent="0.3">
      <c r="B111" s="250" t="s">
        <v>142</v>
      </c>
      <c r="C111" s="251"/>
      <c r="D111" s="251"/>
      <c r="E111" s="251"/>
      <c r="F111" s="251"/>
      <c r="G111" s="251"/>
      <c r="H111" s="251"/>
      <c r="I111" s="251"/>
    </row>
    <row r="112" spans="2:9" ht="15.75" customHeight="1" outlineLevel="1" x14ac:dyDescent="0.25">
      <c r="B112" s="558" t="str">
        <f>IF(ISBLANK(dms_E65_Projects_01),"",dms_E65_Projects_01)</f>
        <v>SCADA Equipment/ RTU Replacement</v>
      </c>
      <c r="C112" s="276"/>
      <c r="D112" s="278"/>
      <c r="E112" s="310"/>
      <c r="F112" s="277"/>
      <c r="G112" s="277"/>
      <c r="H112" s="277"/>
      <c r="I112" s="280"/>
    </row>
    <row r="113" spans="2:9" ht="15.75" customHeight="1" outlineLevel="1" x14ac:dyDescent="0.25">
      <c r="B113" s="536" t="str">
        <f>IF(ISBLANK(dms_E65_Projects_02),"",dms_E65_Projects_02)</f>
        <v xml:space="preserve">Network Pressure Monitoring </v>
      </c>
      <c r="C113" s="285"/>
      <c r="D113" s="286"/>
      <c r="E113" s="311"/>
      <c r="F113" s="271"/>
      <c r="G113" s="271"/>
      <c r="H113" s="271"/>
      <c r="I113" s="272"/>
    </row>
    <row r="114" spans="2:9" ht="15.75" customHeight="1" outlineLevel="1" x14ac:dyDescent="0.25">
      <c r="B114" s="536" t="str">
        <f>IF(ISBLANK(dms_E65_Projects_03),"",dms_E65_Projects_03)</f>
        <v/>
      </c>
      <c r="C114" s="285"/>
      <c r="D114" s="286"/>
      <c r="E114" s="311"/>
      <c r="F114" s="271"/>
      <c r="G114" s="271"/>
      <c r="H114" s="271"/>
      <c r="I114" s="272"/>
    </row>
    <row r="115" spans="2:9" ht="15.75" customHeight="1" outlineLevel="1" x14ac:dyDescent="0.25">
      <c r="B115" s="536" t="str">
        <f>IF(ISBLANK(dms_E65_Projects_04),"",dms_E65_Projects_04)</f>
        <v/>
      </c>
      <c r="C115" s="285"/>
      <c r="D115" s="286"/>
      <c r="E115" s="311"/>
      <c r="F115" s="271"/>
      <c r="G115" s="271"/>
      <c r="H115" s="271"/>
      <c r="I115" s="272"/>
    </row>
    <row r="116" spans="2:9" ht="15.75" customHeight="1" outlineLevel="1" x14ac:dyDescent="0.25">
      <c r="B116" s="536" t="str">
        <f>IF(ISBLANK(dms_E65_Projects_05),"",dms_E65_Projects_05)</f>
        <v/>
      </c>
      <c r="C116" s="285"/>
      <c r="D116" s="286"/>
      <c r="E116" s="311"/>
      <c r="F116" s="271"/>
      <c r="G116" s="271"/>
      <c r="H116" s="271"/>
      <c r="I116" s="272"/>
    </row>
    <row r="117" spans="2:9" ht="15.75" customHeight="1" outlineLevel="1" x14ac:dyDescent="0.25">
      <c r="B117" s="536" t="str">
        <f>IF(ISBLANK(dms_E65_Projects_06),"",dms_E65_Projects_06)</f>
        <v/>
      </c>
      <c r="C117" s="285"/>
      <c r="D117" s="286"/>
      <c r="E117" s="311"/>
      <c r="F117" s="271"/>
      <c r="G117" s="271"/>
      <c r="H117" s="271"/>
      <c r="I117" s="272"/>
    </row>
    <row r="118" spans="2:9" ht="15.75" customHeight="1" outlineLevel="1" x14ac:dyDescent="0.25">
      <c r="B118" s="536" t="str">
        <f>IF(ISBLANK(dms_E65_Projects_07),"",dms_E65_Projects_07)</f>
        <v/>
      </c>
      <c r="C118" s="285"/>
      <c r="D118" s="286"/>
      <c r="E118" s="311"/>
      <c r="F118" s="271"/>
      <c r="G118" s="271"/>
      <c r="H118" s="271"/>
      <c r="I118" s="272"/>
    </row>
    <row r="119" spans="2:9" ht="15.75" customHeight="1" outlineLevel="1" x14ac:dyDescent="0.25">
      <c r="B119" s="536" t="str">
        <f>IF(ISBLANK(dms_E65_Projects_08),"",dms_E65_Projects_08)</f>
        <v/>
      </c>
      <c r="C119" s="285"/>
      <c r="D119" s="286"/>
      <c r="E119" s="311"/>
      <c r="F119" s="271"/>
      <c r="G119" s="271"/>
      <c r="H119" s="271"/>
      <c r="I119" s="272"/>
    </row>
    <row r="120" spans="2:9" ht="15.75" customHeight="1" outlineLevel="1" x14ac:dyDescent="0.25">
      <c r="B120" s="536" t="str">
        <f>IF(ISBLANK(dms_E65_Projects_09),"",dms_E65_Projects_09)</f>
        <v/>
      </c>
      <c r="C120" s="285"/>
      <c r="D120" s="286"/>
      <c r="E120" s="311"/>
      <c r="F120" s="271"/>
      <c r="G120" s="271"/>
      <c r="H120" s="271"/>
      <c r="I120" s="272"/>
    </row>
    <row r="121" spans="2:9" ht="15.75" customHeight="1" outlineLevel="1" x14ac:dyDescent="0.25">
      <c r="B121" s="536" t="str">
        <f>IF(ISBLANK(dms_E65_Projects_10),"",dms_E65_Projects_10)</f>
        <v/>
      </c>
      <c r="C121" s="285"/>
      <c r="D121" s="286"/>
      <c r="E121" s="311"/>
      <c r="F121" s="271"/>
      <c r="G121" s="271"/>
      <c r="H121" s="271"/>
      <c r="I121" s="272"/>
    </row>
    <row r="122" spans="2:9" ht="15.75" customHeight="1" outlineLevel="1" x14ac:dyDescent="0.25">
      <c r="B122" s="536" t="str">
        <f>IF(ISBLANK(dms_E65_Projects_11),"",dms_E65_Projects_11)</f>
        <v/>
      </c>
      <c r="C122" s="285"/>
      <c r="D122" s="286"/>
      <c r="E122" s="311"/>
      <c r="F122" s="271"/>
      <c r="G122" s="271"/>
      <c r="H122" s="271"/>
      <c r="I122" s="272"/>
    </row>
    <row r="123" spans="2:9" ht="15.75" customHeight="1" outlineLevel="1" x14ac:dyDescent="0.25">
      <c r="B123" s="536" t="str">
        <f>IF(ISBLANK(dms_E65_Projects_12),"",dms_E65_Projects_12)</f>
        <v/>
      </c>
      <c r="C123" s="285"/>
      <c r="D123" s="286"/>
      <c r="E123" s="311"/>
      <c r="F123" s="271"/>
      <c r="G123" s="271"/>
      <c r="H123" s="271"/>
      <c r="I123" s="272"/>
    </row>
    <row r="124" spans="2:9" ht="15.75" customHeight="1" outlineLevel="1" x14ac:dyDescent="0.25">
      <c r="B124" s="536" t="str">
        <f>IF(ISBLANK(dms_E65_Projects_13),"",dms_E65_Projects_13)</f>
        <v/>
      </c>
      <c r="C124" s="285"/>
      <c r="D124" s="286"/>
      <c r="E124" s="311"/>
      <c r="F124" s="271"/>
      <c r="G124" s="271"/>
      <c r="H124" s="271"/>
      <c r="I124" s="272"/>
    </row>
    <row r="125" spans="2:9" ht="15.75" customHeight="1" outlineLevel="1" x14ac:dyDescent="0.25">
      <c r="B125" s="536" t="str">
        <f>IF(ISBLANK(dms_E65_Projects_14),"",dms_E65_Projects_14)</f>
        <v/>
      </c>
      <c r="C125" s="285"/>
      <c r="D125" s="286"/>
      <c r="E125" s="311"/>
      <c r="F125" s="271"/>
      <c r="G125" s="271"/>
      <c r="H125" s="271"/>
      <c r="I125" s="272"/>
    </row>
    <row r="126" spans="2:9" ht="15.75" customHeight="1" outlineLevel="1" x14ac:dyDescent="0.25">
      <c r="B126" s="536" t="str">
        <f>IF(ISBLANK(dms_E65_Projects_15),"",dms_E65_Projects_15)</f>
        <v/>
      </c>
      <c r="C126" s="285"/>
      <c r="D126" s="286"/>
      <c r="E126" s="311"/>
      <c r="F126" s="271"/>
      <c r="G126" s="271"/>
      <c r="H126" s="271"/>
      <c r="I126" s="272"/>
    </row>
    <row r="127" spans="2:9" ht="15.75" customHeight="1" outlineLevel="1" thickBot="1" x14ac:dyDescent="0.3">
      <c r="B127" s="547" t="s">
        <v>152</v>
      </c>
      <c r="C127" s="298"/>
      <c r="D127" s="299"/>
      <c r="E127" s="403"/>
      <c r="F127" s="301"/>
      <c r="G127" s="301"/>
      <c r="H127" s="301"/>
      <c r="I127" s="302"/>
    </row>
    <row r="128" spans="2:9" ht="15.75" customHeight="1" outlineLevel="1" thickBot="1" x14ac:dyDescent="0.3">
      <c r="B128" s="295" t="s">
        <v>120</v>
      </c>
      <c r="C128" s="296">
        <f>SUM(C112:C127)</f>
        <v>0</v>
      </c>
      <c r="D128" s="296">
        <f t="shared" ref="D128" si="15">SUM(D112:D127)</f>
        <v>0</v>
      </c>
      <c r="E128" s="296">
        <f t="shared" ref="E128" si="16">SUM(E112:E127)</f>
        <v>0</v>
      </c>
      <c r="F128" s="296">
        <f t="shared" ref="F128" si="17">SUM(F112:F127)</f>
        <v>0</v>
      </c>
      <c r="G128" s="296">
        <f t="shared" ref="G128" si="18">SUM(G112:G127)</f>
        <v>0</v>
      </c>
      <c r="H128" s="296">
        <f t="shared" ref="H128" si="19">SUM(H112:H127)</f>
        <v>0</v>
      </c>
      <c r="I128" s="297">
        <f t="shared" ref="I128" si="20">SUM(I112:I127)</f>
        <v>0</v>
      </c>
    </row>
    <row r="130" spans="1:11" ht="15.75" customHeight="1" x14ac:dyDescent="0.25">
      <c r="B130" s="75"/>
    </row>
    <row r="131" spans="1:11" x14ac:dyDescent="0.25">
      <c r="B131" s="75"/>
    </row>
    <row r="132" spans="1:11" ht="15.75" thickBot="1" x14ac:dyDescent="0.3"/>
    <row r="133" spans="1:11" s="317" customFormat="1" ht="24" customHeight="1" thickBot="1" x14ac:dyDescent="0.25">
      <c r="B133" s="247" t="s">
        <v>232</v>
      </c>
      <c r="C133" s="248"/>
      <c r="D133" s="248"/>
      <c r="E133" s="248"/>
      <c r="F133" s="248"/>
      <c r="G133" s="248"/>
      <c r="H133" s="248"/>
      <c r="I133" s="248"/>
      <c r="J133" s="315"/>
      <c r="K133" s="315"/>
    </row>
    <row r="134" spans="1:11" s="42" customFormat="1" ht="15" customHeight="1" outlineLevel="1" x14ac:dyDescent="0.25">
      <c r="A134" s="291"/>
      <c r="B134"/>
      <c r="C134" s="1378" t="s">
        <v>24</v>
      </c>
      <c r="D134" s="1378"/>
      <c r="E134" s="1378"/>
      <c r="F134" s="1378"/>
      <c r="G134" s="1378"/>
      <c r="H134" s="1378"/>
      <c r="I134" s="1378"/>
      <c r="J134" s="315"/>
      <c r="K134" s="315"/>
    </row>
    <row r="135" spans="1:11" s="42" customFormat="1" ht="15" customHeight="1" outlineLevel="1" x14ac:dyDescent="0.25">
      <c r="A135" s="291"/>
      <c r="B135"/>
      <c r="C135" s="1378" t="str">
        <f ca="1">CONCATENATE("$, real ",dms_DollarReal)</f>
        <v>$, real June 2026</v>
      </c>
      <c r="D135" s="1378"/>
      <c r="E135" s="1378"/>
      <c r="F135" s="1378"/>
      <c r="G135" s="1378"/>
      <c r="H135" s="1378"/>
      <c r="I135" s="1378"/>
      <c r="J135" s="315"/>
      <c r="K135" s="315"/>
    </row>
    <row r="136" spans="1:11" s="42" customFormat="1" ht="15.75" customHeight="1" outlineLevel="1" thickBot="1" x14ac:dyDescent="0.3">
      <c r="A136" s="291"/>
      <c r="B136" s="319"/>
      <c r="C136" s="314" t="str">
        <f ca="1">dms_y1</f>
        <v>2024-25</v>
      </c>
      <c r="D136" s="314" t="str">
        <f ca="1">dms_y2</f>
        <v>2025-26</v>
      </c>
      <c r="E136" s="314" t="str">
        <f ca="1">dms_y3</f>
        <v>2026-27</v>
      </c>
      <c r="F136" s="314" t="str">
        <f ca="1">dms_y4</f>
        <v>2027-28</v>
      </c>
      <c r="G136" s="314" t="str">
        <f ca="1">dms_y5</f>
        <v>2028-29</v>
      </c>
      <c r="H136" s="314" t="str">
        <f ca="1">dms_y6</f>
        <v>2029-30</v>
      </c>
      <c r="I136" s="314" t="str">
        <f ca="1">dms_y7</f>
        <v>2030-31</v>
      </c>
      <c r="K136" s="315"/>
    </row>
    <row r="137" spans="1:11" ht="21.75" customHeight="1" outlineLevel="1" thickBot="1" x14ac:dyDescent="0.3">
      <c r="B137" s="250" t="s">
        <v>233</v>
      </c>
      <c r="C137" s="251"/>
      <c r="D137" s="251"/>
      <c r="E137" s="251"/>
      <c r="F137" s="251"/>
      <c r="G137" s="251"/>
      <c r="H137" s="251"/>
      <c r="I137" s="251"/>
    </row>
    <row r="138" spans="1:11" ht="15.75" customHeight="1" outlineLevel="1" x14ac:dyDescent="0.25">
      <c r="B138" s="558" t="s">
        <v>234</v>
      </c>
      <c r="C138" s="276">
        <v>1050522.047022</v>
      </c>
      <c r="D138" s="278">
        <v>1062287.8939486465</v>
      </c>
      <c r="E138" s="310">
        <v>1275278.3591562565</v>
      </c>
      <c r="F138" s="277">
        <v>1279010.1234133034</v>
      </c>
      <c r="G138" s="277">
        <v>1288318.6894869991</v>
      </c>
      <c r="H138" s="277">
        <v>1298571.6470371254</v>
      </c>
      <c r="I138" s="280">
        <v>1307396.6913781262</v>
      </c>
    </row>
    <row r="139" spans="1:11" ht="15.75" customHeight="1" outlineLevel="1" thickBot="1" x14ac:dyDescent="0.3">
      <c r="B139" s="536" t="s">
        <v>235</v>
      </c>
      <c r="C139" s="285"/>
      <c r="D139" s="286"/>
      <c r="E139" s="311"/>
      <c r="F139" s="271"/>
      <c r="G139" s="271"/>
      <c r="H139" s="271"/>
      <c r="I139" s="272"/>
    </row>
    <row r="140" spans="1:11" ht="15.75" customHeight="1" outlineLevel="1" thickBot="1" x14ac:dyDescent="0.3">
      <c r="B140" s="295" t="s">
        <v>120</v>
      </c>
      <c r="C140" s="296">
        <f t="shared" ref="C140:I140" ca="1" si="21">SUM(C124:C139)</f>
        <v>1050522.047022</v>
      </c>
      <c r="D140" s="296">
        <f t="shared" ca="1" si="21"/>
        <v>1062287.8939486465</v>
      </c>
      <c r="E140" s="296">
        <f t="shared" ca="1" si="21"/>
        <v>1275278.3591562565</v>
      </c>
      <c r="F140" s="296">
        <f t="shared" ca="1" si="21"/>
        <v>1279010.1234133034</v>
      </c>
      <c r="G140" s="296">
        <f t="shared" ca="1" si="21"/>
        <v>1288318.6894869991</v>
      </c>
      <c r="H140" s="296">
        <f t="shared" ca="1" si="21"/>
        <v>1298571.6470371254</v>
      </c>
      <c r="I140" s="297">
        <f t="shared" ca="1" si="21"/>
        <v>1307396.6913781262</v>
      </c>
    </row>
    <row r="141" spans="1:11" ht="21.75" customHeight="1" outlineLevel="1" thickBot="1" x14ac:dyDescent="0.3">
      <c r="B141" s="250" t="s">
        <v>236</v>
      </c>
      <c r="C141" s="251"/>
      <c r="D141" s="251"/>
      <c r="E141" s="251"/>
      <c r="F141" s="251"/>
      <c r="G141" s="251"/>
      <c r="H141" s="251"/>
      <c r="I141" s="251"/>
    </row>
    <row r="142" spans="1:11" ht="15.75" customHeight="1" outlineLevel="1" x14ac:dyDescent="0.25">
      <c r="B142" s="558" t="s">
        <v>234</v>
      </c>
      <c r="C142" s="276">
        <v>415273.62463269202</v>
      </c>
      <c r="D142" s="278">
        <v>463641.59689957654</v>
      </c>
      <c r="E142" s="310">
        <v>1218915.3175886143</v>
      </c>
      <c r="F142" s="277">
        <v>693370.25148487301</v>
      </c>
      <c r="G142" s="277">
        <v>649541.72836297669</v>
      </c>
      <c r="H142" s="277">
        <v>620214.81302956969</v>
      </c>
      <c r="I142" s="280">
        <v>625153.1254971528</v>
      </c>
    </row>
    <row r="143" spans="1:11" ht="15.75" customHeight="1" outlineLevel="1" thickBot="1" x14ac:dyDescent="0.3">
      <c r="B143" s="536" t="s">
        <v>235</v>
      </c>
      <c r="C143" s="285"/>
      <c r="D143" s="286"/>
      <c r="E143" s="311"/>
      <c r="F143" s="271"/>
      <c r="G143" s="271"/>
      <c r="H143" s="271"/>
      <c r="I143" s="272"/>
    </row>
    <row r="144" spans="1:11" ht="15.75" customHeight="1" outlineLevel="1" thickBot="1" x14ac:dyDescent="0.3">
      <c r="B144" s="295" t="s">
        <v>120</v>
      </c>
      <c r="C144" s="296">
        <f>SUM(C142:C143)</f>
        <v>415273.62463269202</v>
      </c>
      <c r="D144" s="296">
        <f t="shared" ref="D144:I144" si="22">SUM(D142:D143)</f>
        <v>463641.59689957654</v>
      </c>
      <c r="E144" s="296">
        <f t="shared" si="22"/>
        <v>1218915.3175886143</v>
      </c>
      <c r="F144" s="296">
        <f t="shared" si="22"/>
        <v>693370.25148487301</v>
      </c>
      <c r="G144" s="296">
        <f t="shared" si="22"/>
        <v>649541.72836297669</v>
      </c>
      <c r="H144" s="296">
        <f t="shared" si="22"/>
        <v>620214.81302956969</v>
      </c>
      <c r="I144" s="297">
        <f t="shared" si="22"/>
        <v>625153.1254971528</v>
      </c>
    </row>
    <row r="145" outlineLevel="1" x14ac:dyDescent="0.2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theme="3" tint="-0.249977111117893"/>
  </sheetPr>
  <dimension ref="A1:I34"/>
  <sheetViews>
    <sheetView showGridLines="0" zoomScale="85" zoomScaleNormal="85" workbookViewId="0"/>
  </sheetViews>
  <sheetFormatPr defaultColWidth="9.140625" defaultRowHeight="15" outlineLevelRow="1" x14ac:dyDescent="0.25"/>
  <cols>
    <col min="1" max="1" width="22.7109375" customWidth="1"/>
    <col min="2" max="2" width="46.42578125" customWidth="1"/>
    <col min="3" max="9" width="20.7109375" customWidth="1"/>
  </cols>
  <sheetData>
    <row r="1" spans="1:9" ht="30" customHeight="1" x14ac:dyDescent="0.25">
      <c r="A1" s="1112"/>
      <c r="B1" s="1112" t="str">
        <f>INDEX(dms_Worksheet_List,MATCH(dms_Model,dms_Model_List))</f>
        <v>REGULATORY REPORTING STATEMENT</v>
      </c>
      <c r="C1" s="26"/>
      <c r="D1" s="26"/>
      <c r="E1" s="26"/>
      <c r="F1" s="26"/>
      <c r="G1" s="1502" t="s">
        <v>96</v>
      </c>
      <c r="H1" s="1503" t="s">
        <v>97</v>
      </c>
      <c r="I1" s="26"/>
    </row>
    <row r="2" spans="1:9" ht="30" customHeight="1" x14ac:dyDescent="0.25">
      <c r="A2" s="1113"/>
      <c r="B2" s="1113" t="str">
        <f>dms_TradingNameFull</f>
        <v>Australian Gas Networks Limited (reporting data for SA)</v>
      </c>
      <c r="C2" s="26"/>
      <c r="D2" s="26"/>
      <c r="E2" s="26"/>
      <c r="F2" s="26"/>
      <c r="G2" s="1504" t="s">
        <v>98</v>
      </c>
      <c r="H2" s="1505" t="s">
        <v>92</v>
      </c>
      <c r="I2" s="26"/>
    </row>
    <row r="3" spans="1:9" ht="30" customHeight="1" x14ac:dyDescent="0.25">
      <c r="A3" s="1115"/>
      <c r="B3" s="1115" t="str">
        <f ca="1">dms_Header_Span</f>
        <v>2024-25 to 2030-31</v>
      </c>
      <c r="C3" s="26"/>
      <c r="D3" s="26"/>
      <c r="E3" s="26"/>
      <c r="F3" s="26"/>
      <c r="G3" s="1506" t="s">
        <v>99</v>
      </c>
      <c r="H3" s="1507" t="s">
        <v>100</v>
      </c>
      <c r="I3" s="26"/>
    </row>
    <row r="4" spans="1:9" ht="30" customHeight="1" x14ac:dyDescent="0.25">
      <c r="A4" s="621"/>
      <c r="B4" s="621" t="s">
        <v>237</v>
      </c>
      <c r="C4" s="621"/>
      <c r="D4" s="621"/>
      <c r="E4" s="621"/>
      <c r="F4" s="621"/>
      <c r="G4" s="1508" t="s">
        <v>102</v>
      </c>
      <c r="H4" s="1509" t="s">
        <v>103</v>
      </c>
      <c r="I4" s="621"/>
    </row>
    <row r="5" spans="1:9" ht="30" customHeight="1" x14ac:dyDescent="0.25">
      <c r="B5" s="1492" t="s">
        <v>104</v>
      </c>
      <c r="C5" s="1492"/>
      <c r="D5" s="1492"/>
      <c r="E5" s="1492"/>
      <c r="F5" s="1492"/>
      <c r="G5" s="1492"/>
      <c r="H5" s="1492"/>
      <c r="I5" s="1492"/>
    </row>
    <row r="6" spans="1:9" ht="15.75" thickBot="1" x14ac:dyDescent="0.3"/>
    <row r="7" spans="1:9" s="42" customFormat="1" ht="24.75" customHeight="1" thickBot="1" x14ac:dyDescent="0.3">
      <c r="A7"/>
      <c r="B7" s="32" t="s">
        <v>238</v>
      </c>
      <c r="C7" s="32"/>
      <c r="D7" s="32"/>
      <c r="E7" s="32"/>
      <c r="F7" s="32"/>
      <c r="G7" s="32"/>
      <c r="H7" s="32"/>
      <c r="I7" s="32"/>
    </row>
    <row r="8" spans="1:9" s="42" customFormat="1" ht="15" customHeight="1" outlineLevel="1" x14ac:dyDescent="0.25">
      <c r="A8"/>
      <c r="B8"/>
      <c r="C8" s="1378" t="s">
        <v>24</v>
      </c>
      <c r="D8" s="1378"/>
      <c r="E8" s="1378"/>
      <c r="F8" s="1378"/>
      <c r="G8" s="1378"/>
      <c r="H8" s="1378"/>
      <c r="I8" s="1378"/>
    </row>
    <row r="9" spans="1:9" s="42" customFormat="1" ht="15" customHeight="1" outlineLevel="1" x14ac:dyDescent="0.25">
      <c r="A9"/>
      <c r="B9"/>
      <c r="C9" s="1378" t="str">
        <f ca="1">CONCATENATE("$, real ",dms_DollarReal)</f>
        <v>$, real June 2026</v>
      </c>
      <c r="D9" s="1378"/>
      <c r="E9" s="1378"/>
      <c r="F9" s="1378"/>
      <c r="G9" s="1378"/>
      <c r="H9" s="1378"/>
      <c r="I9" s="1378"/>
    </row>
    <row r="10" spans="1:9" s="42" customFormat="1" ht="15.75" customHeight="1" outlineLevel="1" thickBot="1" x14ac:dyDescent="0.3">
      <c r="A10"/>
      <c r="B10"/>
      <c r="C10" s="314" t="str">
        <f ca="1">dms_y1</f>
        <v>2024-25</v>
      </c>
      <c r="D10" s="314" t="str">
        <f ca="1">dms_y2</f>
        <v>2025-26</v>
      </c>
      <c r="E10" s="314" t="str">
        <f ca="1">dms_y3</f>
        <v>2026-27</v>
      </c>
      <c r="F10" s="314" t="str">
        <f ca="1">dms_y4</f>
        <v>2027-28</v>
      </c>
      <c r="G10" s="314" t="str">
        <f ca="1">dms_y5</f>
        <v>2028-29</v>
      </c>
      <c r="H10" s="314" t="str">
        <f ca="1">dms_y6</f>
        <v>2029-30</v>
      </c>
      <c r="I10" s="314" t="str">
        <f ca="1">dms_y7</f>
        <v>2030-31</v>
      </c>
    </row>
    <row r="11" spans="1:9" s="42" customFormat="1" ht="24.75" customHeight="1" outlineLevel="1" thickBot="1" x14ac:dyDescent="0.25">
      <c r="A11" s="291"/>
      <c r="B11" s="250" t="s">
        <v>239</v>
      </c>
      <c r="C11" s="251"/>
      <c r="D11" s="251"/>
      <c r="E11" s="251"/>
      <c r="F11" s="251"/>
      <c r="G11" s="251"/>
      <c r="H11" s="251"/>
      <c r="I11" s="252"/>
    </row>
    <row r="12" spans="1:9" s="42" customFormat="1" ht="16.5" customHeight="1" outlineLevel="1" x14ac:dyDescent="0.25">
      <c r="A12" s="291"/>
      <c r="B12" s="36" t="s">
        <v>240</v>
      </c>
      <c r="C12" s="366"/>
      <c r="D12" s="369"/>
      <c r="E12" s="256"/>
      <c r="F12" s="257"/>
      <c r="G12" s="257"/>
      <c r="H12" s="257"/>
      <c r="I12" s="258"/>
    </row>
    <row r="13" spans="1:9" s="42" customFormat="1" ht="16.5" customHeight="1" outlineLevel="1" x14ac:dyDescent="0.25">
      <c r="A13" s="291"/>
      <c r="B13" s="36" t="s">
        <v>241</v>
      </c>
      <c r="C13" s="367"/>
      <c r="D13" s="370"/>
      <c r="E13" s="371"/>
      <c r="F13" s="368"/>
      <c r="G13" s="368"/>
      <c r="H13" s="368"/>
      <c r="I13" s="591"/>
    </row>
    <row r="14" spans="1:9" s="39" customFormat="1" ht="13.5" outlineLevel="1" thickBot="1" x14ac:dyDescent="0.25">
      <c r="A14" s="303"/>
      <c r="B14" s="549" t="s">
        <v>120</v>
      </c>
      <c r="C14" s="550">
        <f>SUM(C12:C13)</f>
        <v>0</v>
      </c>
      <c r="D14" s="550">
        <f t="shared" ref="D14:I14" si="0">SUM(D12:D13)</f>
        <v>0</v>
      </c>
      <c r="E14" s="550">
        <f t="shared" si="0"/>
        <v>0</v>
      </c>
      <c r="F14" s="550">
        <f t="shared" si="0"/>
        <v>0</v>
      </c>
      <c r="G14" s="550">
        <f t="shared" si="0"/>
        <v>0</v>
      </c>
      <c r="H14" s="550">
        <f t="shared" si="0"/>
        <v>0</v>
      </c>
      <c r="I14" s="551">
        <f t="shared" si="0"/>
        <v>0</v>
      </c>
    </row>
    <row r="15" spans="1:9" s="42" customFormat="1" ht="24.75" customHeight="1" outlineLevel="1" thickBot="1" x14ac:dyDescent="0.25">
      <c r="A15" s="291"/>
      <c r="B15" s="250" t="s">
        <v>242</v>
      </c>
      <c r="C15" s="251"/>
      <c r="D15" s="251"/>
      <c r="E15" s="251"/>
      <c r="F15" s="251"/>
      <c r="G15" s="251"/>
      <c r="H15" s="251"/>
      <c r="I15" s="252"/>
    </row>
    <row r="16" spans="1:9" s="42" customFormat="1" ht="16.5" customHeight="1" outlineLevel="1" x14ac:dyDescent="0.25">
      <c r="A16" s="291"/>
      <c r="B16" s="36" t="s">
        <v>240</v>
      </c>
      <c r="C16" s="366">
        <v>11781390.280404253</v>
      </c>
      <c r="D16" s="369">
        <v>11799374.71414903</v>
      </c>
      <c r="E16" s="256">
        <v>4411035.8938242365</v>
      </c>
      <c r="F16" s="257">
        <v>4873030.4635531399</v>
      </c>
      <c r="G16" s="257">
        <v>4392264.4209009623</v>
      </c>
      <c r="H16" s="257">
        <v>4586069.3609559899</v>
      </c>
      <c r="I16" s="258">
        <v>4330200.7759946082</v>
      </c>
    </row>
    <row r="17" spans="1:9" s="42" customFormat="1" ht="16.5" customHeight="1" outlineLevel="1" x14ac:dyDescent="0.25">
      <c r="A17" s="291"/>
      <c r="B17" s="36" t="s">
        <v>241</v>
      </c>
      <c r="C17" s="367"/>
      <c r="D17" s="370"/>
      <c r="E17" s="371"/>
      <c r="F17" s="368"/>
      <c r="G17" s="368"/>
      <c r="H17" s="368"/>
      <c r="I17" s="591"/>
    </row>
    <row r="18" spans="1:9" s="39" customFormat="1" ht="13.5" outlineLevel="1" thickBot="1" x14ac:dyDescent="0.25">
      <c r="A18" s="303"/>
      <c r="B18" s="549" t="s">
        <v>120</v>
      </c>
      <c r="C18" s="550">
        <f>SUM(C16:C17)</f>
        <v>11781390.280404253</v>
      </c>
      <c r="D18" s="550">
        <f t="shared" ref="D18:I18" si="1">SUM(D16:D17)</f>
        <v>11799374.71414903</v>
      </c>
      <c r="E18" s="550">
        <f t="shared" si="1"/>
        <v>4411035.8938242365</v>
      </c>
      <c r="F18" s="550">
        <f t="shared" si="1"/>
        <v>4873030.4635531399</v>
      </c>
      <c r="G18" s="550">
        <f t="shared" si="1"/>
        <v>4392264.4209009623</v>
      </c>
      <c r="H18" s="550">
        <f t="shared" si="1"/>
        <v>4586069.3609559899</v>
      </c>
      <c r="I18" s="551">
        <f t="shared" si="1"/>
        <v>4330200.7759946082</v>
      </c>
    </row>
    <row r="19" spans="1:9" outlineLevel="1" x14ac:dyDescent="0.25"/>
    <row r="21" spans="1:9" ht="15.75" thickBot="1" x14ac:dyDescent="0.3"/>
    <row r="22" spans="1:9" s="42" customFormat="1" ht="24.75" customHeight="1" thickBot="1" x14ac:dyDescent="0.25">
      <c r="A22" s="291"/>
      <c r="B22" s="32" t="s">
        <v>243</v>
      </c>
      <c r="C22" s="32"/>
      <c r="D22" s="32"/>
      <c r="E22" s="32"/>
      <c r="F22" s="32"/>
      <c r="G22" s="32"/>
      <c r="H22" s="32"/>
      <c r="I22" s="32"/>
    </row>
    <row r="23" spans="1:9" s="42" customFormat="1" ht="15" customHeight="1" outlineLevel="1" x14ac:dyDescent="0.25">
      <c r="A23"/>
      <c r="B23"/>
      <c r="C23" s="1378" t="s">
        <v>24</v>
      </c>
      <c r="D23" s="1378"/>
      <c r="E23" s="1378"/>
      <c r="F23" s="1378"/>
      <c r="G23" s="1378"/>
      <c r="H23" s="1378"/>
      <c r="I23" s="1378"/>
    </row>
    <row r="24" spans="1:9" s="42" customFormat="1" ht="15" customHeight="1" outlineLevel="1" x14ac:dyDescent="0.25">
      <c r="A24"/>
      <c r="B24"/>
      <c r="C24" s="1378" t="str">
        <f ca="1">CONCATENATE("$, real ",dms_DollarReal)</f>
        <v>$, real June 2026</v>
      </c>
      <c r="D24" s="1378"/>
      <c r="E24" s="1378"/>
      <c r="F24" s="1378"/>
      <c r="G24" s="1378"/>
      <c r="H24" s="1378"/>
      <c r="I24" s="1378"/>
    </row>
    <row r="25" spans="1:9" s="42" customFormat="1" ht="15.75" customHeight="1" outlineLevel="1" thickBot="1" x14ac:dyDescent="0.3">
      <c r="A25"/>
      <c r="B25"/>
      <c r="C25" s="314" t="str">
        <f ca="1">dms_y1</f>
        <v>2024-25</v>
      </c>
      <c r="D25" s="314" t="str">
        <f ca="1">dms_y2</f>
        <v>2025-26</v>
      </c>
      <c r="E25" s="314" t="str">
        <f ca="1">dms_y3</f>
        <v>2026-27</v>
      </c>
      <c r="F25" s="314" t="str">
        <f ca="1">dms_y4</f>
        <v>2027-28</v>
      </c>
      <c r="G25" s="314" t="str">
        <f ca="1">dms_y5</f>
        <v>2028-29</v>
      </c>
      <c r="H25" s="314" t="str">
        <f ca="1">dms_y6</f>
        <v>2029-30</v>
      </c>
      <c r="I25" s="314" t="str">
        <f ca="1">dms_y7</f>
        <v>2030-31</v>
      </c>
    </row>
    <row r="26" spans="1:9" s="42" customFormat="1" ht="24.75" customHeight="1" outlineLevel="1" thickBot="1" x14ac:dyDescent="0.25">
      <c r="A26" s="291"/>
      <c r="B26" s="250" t="s">
        <v>244</v>
      </c>
      <c r="C26" s="251"/>
      <c r="D26" s="251"/>
      <c r="E26" s="251"/>
      <c r="F26" s="251"/>
      <c r="G26" s="251"/>
      <c r="H26" s="251"/>
      <c r="I26" s="252"/>
    </row>
    <row r="27" spans="1:9" s="42" customFormat="1" outlineLevel="1" x14ac:dyDescent="0.25">
      <c r="A27" s="291"/>
      <c r="B27" s="36" t="s">
        <v>240</v>
      </c>
      <c r="C27" s="366"/>
      <c r="D27" s="369"/>
      <c r="E27" s="256"/>
      <c r="F27" s="257"/>
      <c r="G27" s="257"/>
      <c r="H27" s="257"/>
      <c r="I27" s="258"/>
    </row>
    <row r="28" spans="1:9" s="42" customFormat="1" outlineLevel="1" x14ac:dyDescent="0.25">
      <c r="A28" s="291"/>
      <c r="B28" s="36" t="s">
        <v>241</v>
      </c>
      <c r="C28" s="367"/>
      <c r="D28" s="370"/>
      <c r="E28" s="371"/>
      <c r="F28" s="368"/>
      <c r="G28" s="368"/>
      <c r="H28" s="368"/>
      <c r="I28" s="591"/>
    </row>
    <row r="29" spans="1:9" s="39" customFormat="1" ht="13.5" outlineLevel="1" thickBot="1" x14ac:dyDescent="0.25">
      <c r="A29" s="303"/>
      <c r="B29" s="549" t="s">
        <v>120</v>
      </c>
      <c r="C29" s="550">
        <f t="shared" ref="C29:I29" si="2">SUM(C27:C28)</f>
        <v>0</v>
      </c>
      <c r="D29" s="550">
        <f t="shared" si="2"/>
        <v>0</v>
      </c>
      <c r="E29" s="550">
        <f t="shared" si="2"/>
        <v>0</v>
      </c>
      <c r="F29" s="550">
        <f t="shared" si="2"/>
        <v>0</v>
      </c>
      <c r="G29" s="550">
        <f t="shared" si="2"/>
        <v>0</v>
      </c>
      <c r="H29" s="550">
        <f t="shared" si="2"/>
        <v>0</v>
      </c>
      <c r="I29" s="551">
        <f t="shared" si="2"/>
        <v>0</v>
      </c>
    </row>
    <row r="30" spans="1:9" s="42" customFormat="1" ht="24.75" customHeight="1" outlineLevel="1" thickBot="1" x14ac:dyDescent="0.25">
      <c r="A30" s="291"/>
      <c r="B30" s="250" t="s">
        <v>245</v>
      </c>
      <c r="C30" s="251"/>
      <c r="D30" s="251"/>
      <c r="E30" s="251"/>
      <c r="F30" s="251"/>
      <c r="G30" s="251"/>
      <c r="H30" s="251"/>
      <c r="I30" s="252"/>
    </row>
    <row r="31" spans="1:9" s="42" customFormat="1" outlineLevel="1" x14ac:dyDescent="0.25">
      <c r="A31" s="291"/>
      <c r="B31" s="36" t="s">
        <v>240</v>
      </c>
      <c r="C31" s="366"/>
      <c r="D31" s="369"/>
      <c r="E31" s="256"/>
      <c r="F31" s="257"/>
      <c r="G31" s="257"/>
      <c r="H31" s="257"/>
      <c r="I31" s="258"/>
    </row>
    <row r="32" spans="1:9" s="42" customFormat="1" outlineLevel="1" x14ac:dyDescent="0.25">
      <c r="A32" s="291"/>
      <c r="B32" s="36" t="s">
        <v>241</v>
      </c>
      <c r="C32" s="367"/>
      <c r="D32" s="370"/>
      <c r="E32" s="371"/>
      <c r="F32" s="368"/>
      <c r="G32" s="368"/>
      <c r="H32" s="368"/>
      <c r="I32" s="591"/>
    </row>
    <row r="33" spans="1:9" s="39" customFormat="1" ht="13.5" outlineLevel="1" thickBot="1" x14ac:dyDescent="0.25">
      <c r="A33" s="303"/>
      <c r="B33" s="549" t="s">
        <v>120</v>
      </c>
      <c r="C33" s="550">
        <f t="shared" ref="C33:I33" si="3">SUM(C31:C32)</f>
        <v>0</v>
      </c>
      <c r="D33" s="550">
        <f t="shared" si="3"/>
        <v>0</v>
      </c>
      <c r="E33" s="550">
        <f t="shared" si="3"/>
        <v>0</v>
      </c>
      <c r="F33" s="550">
        <f t="shared" si="3"/>
        <v>0</v>
      </c>
      <c r="G33" s="550">
        <f t="shared" si="3"/>
        <v>0</v>
      </c>
      <c r="H33" s="550">
        <f t="shared" si="3"/>
        <v>0</v>
      </c>
      <c r="I33" s="551">
        <f t="shared" si="3"/>
        <v>0</v>
      </c>
    </row>
    <row r="34" spans="1:9" s="42" customFormat="1" ht="20.25" x14ac:dyDescent="0.3">
      <c r="A34" s="291"/>
      <c r="B34" s="291"/>
      <c r="C34" s="329"/>
      <c r="D34" s="329"/>
      <c r="E34" s="329"/>
      <c r="F34" s="291"/>
      <c r="G34" s="291"/>
      <c r="H34" s="291"/>
      <c r="I34" s="291"/>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3" tint="-0.249977111117893"/>
  </sheetPr>
  <dimension ref="A1:K142"/>
  <sheetViews>
    <sheetView showGridLines="0" topLeftCell="A107" zoomScale="75" zoomScaleNormal="75" workbookViewId="0">
      <selection activeCell="H135" sqref="H135"/>
    </sheetView>
  </sheetViews>
  <sheetFormatPr defaultColWidth="9.140625" defaultRowHeight="15" outlineLevelRow="1" x14ac:dyDescent="0.25"/>
  <cols>
    <col min="1" max="1" width="22.7109375" customWidth="1"/>
    <col min="2" max="2" width="91.140625" customWidth="1"/>
    <col min="3" max="9" width="20.85546875" customWidth="1"/>
  </cols>
  <sheetData>
    <row r="1" spans="1:9" ht="30" customHeight="1" x14ac:dyDescent="0.25">
      <c r="A1" s="1112"/>
      <c r="B1" s="1112" t="str">
        <f>INDEX(dms_Worksheet_List,MATCH(dms_Model,dms_Model_List))</f>
        <v>REGULATORY REPORTING STATEMENT</v>
      </c>
      <c r="C1" s="26"/>
      <c r="D1" s="26"/>
      <c r="E1" s="26"/>
      <c r="F1" s="26"/>
      <c r="G1" s="1502" t="s">
        <v>96</v>
      </c>
      <c r="H1" s="1503" t="s">
        <v>97</v>
      </c>
      <c r="I1" s="26"/>
    </row>
    <row r="2" spans="1:9" ht="30" customHeight="1" x14ac:dyDescent="0.25">
      <c r="A2" s="1113"/>
      <c r="B2" s="1113" t="str">
        <f>dms_TradingNameFull</f>
        <v>Australian Gas Networks Limited (reporting data for SA)</v>
      </c>
      <c r="C2" s="26"/>
      <c r="D2" s="26"/>
      <c r="E2" s="26"/>
      <c r="F2" s="26"/>
      <c r="G2" s="1504" t="s">
        <v>98</v>
      </c>
      <c r="H2" s="1505" t="s">
        <v>92</v>
      </c>
      <c r="I2" s="26"/>
    </row>
    <row r="3" spans="1:9" ht="30" customHeight="1" x14ac:dyDescent="0.25">
      <c r="A3" s="1115"/>
      <c r="B3" s="1115" t="str">
        <f ca="1">dms_Header_Span</f>
        <v>2024-25 to 2030-31</v>
      </c>
      <c r="C3" s="26"/>
      <c r="D3" s="26"/>
      <c r="E3" s="26"/>
      <c r="F3" s="26"/>
      <c r="G3" s="1506" t="s">
        <v>99</v>
      </c>
      <c r="H3" s="1507" t="s">
        <v>100</v>
      </c>
      <c r="I3" s="26"/>
    </row>
    <row r="4" spans="1:9" ht="30" customHeight="1" x14ac:dyDescent="0.25">
      <c r="A4" s="621"/>
      <c r="B4" s="621" t="s">
        <v>246</v>
      </c>
      <c r="C4" s="621"/>
      <c r="D4" s="621"/>
      <c r="E4" s="621"/>
      <c r="F4" s="621"/>
      <c r="G4" s="1508" t="s">
        <v>102</v>
      </c>
      <c r="H4" s="1509" t="s">
        <v>103</v>
      </c>
      <c r="I4" s="621"/>
    </row>
    <row r="5" spans="1:9" ht="30" customHeight="1" x14ac:dyDescent="0.25">
      <c r="B5" s="1492" t="s">
        <v>104</v>
      </c>
      <c r="C5" s="1492"/>
      <c r="D5" s="1492"/>
      <c r="E5" s="1492"/>
      <c r="F5" s="1492"/>
      <c r="G5" s="1492"/>
      <c r="H5" s="1492"/>
      <c r="I5" s="1492"/>
    </row>
    <row r="7" spans="1:9" ht="19.5" thickBot="1" x14ac:dyDescent="0.35">
      <c r="B7" s="523" t="s">
        <v>133</v>
      </c>
    </row>
    <row r="8" spans="1:9" x14ac:dyDescent="0.25">
      <c r="B8" s="1163" t="s">
        <v>1444</v>
      </c>
    </row>
    <row r="9" spans="1:9" x14ac:dyDescent="0.25">
      <c r="B9" s="1165" t="s">
        <v>1445</v>
      </c>
    </row>
    <row r="10" spans="1:9" x14ac:dyDescent="0.25">
      <c r="B10" s="1165" t="s">
        <v>1446</v>
      </c>
    </row>
    <row r="11" spans="1:9" x14ac:dyDescent="0.25">
      <c r="B11" s="1165" t="s">
        <v>1447</v>
      </c>
    </row>
    <row r="12" spans="1:9" x14ac:dyDescent="0.25">
      <c r="B12" s="1165" t="s">
        <v>1448</v>
      </c>
    </row>
    <row r="13" spans="1:9" x14ac:dyDescent="0.25">
      <c r="B13" s="1165" t="s">
        <v>1449</v>
      </c>
    </row>
    <row r="14" spans="1:9" x14ac:dyDescent="0.25">
      <c r="B14" s="1165" t="s">
        <v>1450</v>
      </c>
    </row>
    <row r="15" spans="1:9" x14ac:dyDescent="0.25">
      <c r="B15" s="1165" t="s">
        <v>1451</v>
      </c>
    </row>
    <row r="16" spans="1:9" x14ac:dyDescent="0.25">
      <c r="B16" s="1165" t="s">
        <v>1452</v>
      </c>
    </row>
    <row r="17" spans="1:9" x14ac:dyDescent="0.25">
      <c r="B17" s="1165" t="s">
        <v>1453</v>
      </c>
    </row>
    <row r="18" spans="1:9" x14ac:dyDescent="0.25">
      <c r="B18" s="1165" t="s">
        <v>1454</v>
      </c>
    </row>
    <row r="19" spans="1:9" x14ac:dyDescent="0.25">
      <c r="B19" s="1165" t="s">
        <v>1455</v>
      </c>
    </row>
    <row r="20" spans="1:9" x14ac:dyDescent="0.25">
      <c r="B20" s="1165" t="s">
        <v>1456</v>
      </c>
    </row>
    <row r="21" spans="1:9" x14ac:dyDescent="0.25">
      <c r="B21" s="1165" t="s">
        <v>1457</v>
      </c>
    </row>
    <row r="22" spans="1:9" ht="15.75" thickBot="1" x14ac:dyDescent="0.3">
      <c r="B22" s="1169"/>
    </row>
    <row r="23" spans="1:9" ht="15.75" thickBot="1" x14ac:dyDescent="0.3"/>
    <row r="24" spans="1:9" s="317" customFormat="1" ht="28.5" customHeight="1" thickBot="1" x14ac:dyDescent="0.25">
      <c r="B24" s="32" t="s">
        <v>247</v>
      </c>
      <c r="C24" s="32"/>
      <c r="D24" s="32"/>
      <c r="E24" s="32"/>
      <c r="F24" s="32"/>
      <c r="G24" s="32"/>
      <c r="H24" s="32"/>
      <c r="I24" s="32"/>
    </row>
    <row r="25" spans="1:9" ht="21.75" customHeight="1" thickBot="1" x14ac:dyDescent="0.3">
      <c r="B25" s="250" t="s">
        <v>136</v>
      </c>
      <c r="C25" s="251"/>
      <c r="D25" s="251"/>
      <c r="E25" s="251"/>
      <c r="F25" s="251"/>
      <c r="G25" s="251"/>
      <c r="H25" s="251"/>
      <c r="I25" s="252"/>
    </row>
    <row r="26" spans="1:9" ht="24.75" customHeight="1" outlineLevel="1" x14ac:dyDescent="0.25">
      <c r="C26" s="1378" t="s">
        <v>24</v>
      </c>
      <c r="D26" s="1378"/>
      <c r="E26" s="1378"/>
      <c r="F26" s="1378"/>
      <c r="G26" s="1378"/>
      <c r="H26" s="1378"/>
      <c r="I26" s="1378"/>
    </row>
    <row r="27" spans="1:9" s="42" customFormat="1" ht="12.75" customHeight="1" outlineLevel="1" x14ac:dyDescent="0.25">
      <c r="A27" s="291"/>
      <c r="B27"/>
      <c r="C27" s="1378" t="str">
        <f ca="1">CONCATENATE("$, real ",dms_DollarReal)</f>
        <v>$, real June 2026</v>
      </c>
      <c r="D27" s="1378"/>
      <c r="E27" s="1378"/>
      <c r="F27" s="1378"/>
      <c r="G27" s="1378"/>
      <c r="H27" s="1378"/>
      <c r="I27" s="1378"/>
    </row>
    <row r="28" spans="1:9" s="42" customFormat="1" ht="15" customHeight="1" outlineLevel="1" thickBot="1" x14ac:dyDescent="0.3">
      <c r="A28" s="291"/>
      <c r="B28" s="78"/>
      <c r="C28" s="314" t="str">
        <f ca="1">dms_y1</f>
        <v>2024-25</v>
      </c>
      <c r="D28" s="314" t="str">
        <f ca="1">dms_y2</f>
        <v>2025-26</v>
      </c>
      <c r="E28" s="314" t="str">
        <f ca="1">dms_y3</f>
        <v>2026-27</v>
      </c>
      <c r="F28" s="314" t="str">
        <f ca="1">dms_y4</f>
        <v>2027-28</v>
      </c>
      <c r="G28" s="314" t="str">
        <f ca="1">dms_y5</f>
        <v>2028-29</v>
      </c>
      <c r="H28" s="314" t="str">
        <f ca="1">dms_y6</f>
        <v>2029-30</v>
      </c>
      <c r="I28" s="314" t="str">
        <f ca="1">dms_y7</f>
        <v>2030-31</v>
      </c>
    </row>
    <row r="29" spans="1:9" ht="15.75" customHeight="1" outlineLevel="1" x14ac:dyDescent="0.25">
      <c r="B29" s="558" t="str">
        <f>IF(ISBLANK(dms_E12_Projects_01),"",dms_E12_Projects_01)</f>
        <v>Enterprise Asset Management</v>
      </c>
      <c r="C29" s="276"/>
      <c r="D29" s="278"/>
      <c r="E29" s="310">
        <v>0</v>
      </c>
      <c r="F29" s="277">
        <v>0</v>
      </c>
      <c r="G29" s="277">
        <v>238919.90809535154</v>
      </c>
      <c r="H29" s="277">
        <v>1159998.5708849602</v>
      </c>
      <c r="I29" s="280">
        <v>195504.02960370478</v>
      </c>
    </row>
    <row r="30" spans="1:9" ht="15.75" customHeight="1" outlineLevel="1" x14ac:dyDescent="0.25">
      <c r="B30" s="536" t="str">
        <f>IF(ISBLANK(dms_E12_Projects_02),"",dms_E12_Projects_02)</f>
        <v>FRC Gateway</v>
      </c>
      <c r="C30" s="285"/>
      <c r="D30" s="286"/>
      <c r="E30" s="311">
        <v>0</v>
      </c>
      <c r="F30" s="271">
        <v>0</v>
      </c>
      <c r="G30" s="271">
        <v>142253.63493534533</v>
      </c>
      <c r="H30" s="271">
        <v>143555.42148910544</v>
      </c>
      <c r="I30" s="272">
        <v>144841.70342289994</v>
      </c>
    </row>
    <row r="31" spans="1:9" ht="15.75" customHeight="1" outlineLevel="1" x14ac:dyDescent="0.25">
      <c r="B31" s="536" t="str">
        <f>IF(ISBLANK(dms_E12_Projects_03),"",dms_E12_Projects_03)</f>
        <v>Geospatial Information System Upgrade</v>
      </c>
      <c r="C31" s="285"/>
      <c r="D31" s="286"/>
      <c r="E31" s="311">
        <v>563142.75144782744</v>
      </c>
      <c r="F31" s="271">
        <v>0</v>
      </c>
      <c r="G31" s="271">
        <v>0</v>
      </c>
      <c r="H31" s="271">
        <v>0</v>
      </c>
      <c r="I31" s="272">
        <v>585897.70749401115</v>
      </c>
    </row>
    <row r="32" spans="1:9" ht="15.75" customHeight="1" outlineLevel="1" x14ac:dyDescent="0.25">
      <c r="B32" s="536" t="str">
        <f>IF(ISBLANK(dms_E12_Projects_04),"",dms_E12_Projects_04)</f>
        <v>Meter &amp; Billing</v>
      </c>
      <c r="C32" s="285"/>
      <c r="D32" s="286"/>
      <c r="E32" s="311">
        <v>18767.15576469064</v>
      </c>
      <c r="F32" s="271">
        <v>0</v>
      </c>
      <c r="G32" s="271">
        <v>372309.04592254257</v>
      </c>
      <c r="H32" s="271">
        <v>376465.45592126163</v>
      </c>
      <c r="I32" s="272">
        <v>761144.72396917746</v>
      </c>
    </row>
    <row r="33" spans="2:9" ht="15.75" customHeight="1" outlineLevel="1" x14ac:dyDescent="0.25">
      <c r="B33" s="536" t="str">
        <f>IF(ISBLANK(dms_E12_Projects_05),"",dms_E12_Projects_05)</f>
        <v>Middleware</v>
      </c>
      <c r="C33" s="285"/>
      <c r="D33" s="286"/>
      <c r="E33" s="311">
        <v>469448.96456949844</v>
      </c>
      <c r="F33" s="271">
        <v>0</v>
      </c>
      <c r="G33" s="271">
        <v>0</v>
      </c>
      <c r="H33" s="271">
        <v>0</v>
      </c>
      <c r="I33" s="272">
        <v>0</v>
      </c>
    </row>
    <row r="34" spans="2:9" ht="15.75" customHeight="1" outlineLevel="1" x14ac:dyDescent="0.25">
      <c r="B34" s="536" t="str">
        <f>IF(ISBLANK(dms_E12_Projects_06),"",dms_E12_Projects_06)</f>
        <v>Mobility Applications</v>
      </c>
      <c r="C34" s="285"/>
      <c r="D34" s="286"/>
      <c r="E34" s="311">
        <v>398092.72195493465</v>
      </c>
      <c r="F34" s="271">
        <v>401554.13817233278</v>
      </c>
      <c r="G34" s="271">
        <v>405208.28082970105</v>
      </c>
      <c r="H34" s="271">
        <v>409866.15001783852</v>
      </c>
      <c r="I34" s="272">
        <v>414468.54275985423</v>
      </c>
    </row>
    <row r="35" spans="2:9" ht="15.75" customHeight="1" outlineLevel="1" x14ac:dyDescent="0.25">
      <c r="B35" s="536" t="str">
        <f>IF(ISBLANK(dms_E12_Projects_07),"",dms_E12_Projects_07)</f>
        <v>Business Intelligence</v>
      </c>
      <c r="C35" s="285"/>
      <c r="D35" s="286"/>
      <c r="E35" s="311">
        <v>116423.34321323561</v>
      </c>
      <c r="F35" s="271">
        <v>117435.64418247469</v>
      </c>
      <c r="G35" s="271">
        <v>118504.3085445352</v>
      </c>
      <c r="H35" s="271">
        <v>119866.51557125465</v>
      </c>
      <c r="I35" s="272">
        <v>121212.49835429699</v>
      </c>
    </row>
    <row r="36" spans="2:9" ht="15.75" customHeight="1" outlineLevel="1" x14ac:dyDescent="0.25">
      <c r="B36" s="536" t="str">
        <f>IF(ISBLANK(dms_E12_Projects_08),"",dms_E12_Projects_08)</f>
        <v>Historian</v>
      </c>
      <c r="C36" s="285"/>
      <c r="D36" s="286"/>
      <c r="E36" s="311">
        <v>0</v>
      </c>
      <c r="F36" s="271">
        <v>218847.26113455894</v>
      </c>
      <c r="G36" s="271">
        <v>0</v>
      </c>
      <c r="H36" s="271">
        <v>0</v>
      </c>
      <c r="I36" s="272">
        <v>677656.85958762374</v>
      </c>
    </row>
    <row r="37" spans="2:9" ht="15.75" customHeight="1" outlineLevel="1" x14ac:dyDescent="0.25">
      <c r="B37" s="536" t="str">
        <f>IF(ISBLANK(dms_E12_Projects_09),"",dms_E12_Projects_09)</f>
        <v>Workday management</v>
      </c>
      <c r="C37" s="285"/>
      <c r="D37" s="286"/>
      <c r="E37" s="311">
        <v>18777.958582779938</v>
      </c>
      <c r="F37" s="271">
        <v>18941.232932657207</v>
      </c>
      <c r="G37" s="271">
        <v>19113.598152344388</v>
      </c>
      <c r="H37" s="271">
        <v>0</v>
      </c>
      <c r="I37" s="272">
        <v>0</v>
      </c>
    </row>
    <row r="38" spans="2:9" ht="15.75" customHeight="1" outlineLevel="1" x14ac:dyDescent="0.25">
      <c r="B38" s="536" t="str">
        <f>IF(ISBLANK(dms_E12_Projects_10),"",dms_E12_Projects_10)</f>
        <v>AGIG IT Strategy &amp; Roadmap</v>
      </c>
      <c r="C38" s="285">
        <v>1365856.0020146328</v>
      </c>
      <c r="D38" s="286">
        <v>2449194.7565134396</v>
      </c>
      <c r="E38" s="311">
        <v>0</v>
      </c>
      <c r="F38" s="271">
        <v>0</v>
      </c>
      <c r="G38" s="271">
        <v>0</v>
      </c>
      <c r="H38" s="271">
        <v>0</v>
      </c>
      <c r="I38" s="272">
        <v>0</v>
      </c>
    </row>
    <row r="39" spans="2:9" ht="15.75" customHeight="1" outlineLevel="1" x14ac:dyDescent="0.25">
      <c r="B39" s="536" t="str">
        <f>IF(ISBLANK(dms_E12_Projects_11),"",dms_E12_Projects_11)</f>
        <v>IT Corporate Application</v>
      </c>
      <c r="C39" s="285"/>
      <c r="D39" s="286"/>
      <c r="E39" s="311">
        <v>813203.94689726259</v>
      </c>
      <c r="F39" s="271">
        <v>385717.6557030949</v>
      </c>
      <c r="G39" s="271">
        <v>543101.64513304352</v>
      </c>
      <c r="H39" s="271">
        <v>446747.85796418029</v>
      </c>
      <c r="I39" s="272">
        <v>308131.36424359377</v>
      </c>
    </row>
    <row r="40" spans="2:9" ht="15.75" customHeight="1" outlineLevel="1" x14ac:dyDescent="0.25">
      <c r="B40" s="536" t="str">
        <f>IF(ISBLANK(dms_E12_Projects_12),"",dms_E12_Projects_12)</f>
        <v>Cyber Security</v>
      </c>
      <c r="C40" s="285"/>
      <c r="D40" s="286"/>
      <c r="E40" s="311">
        <v>551444.23426759406</v>
      </c>
      <c r="F40" s="271">
        <v>158838.3134204323</v>
      </c>
      <c r="G40" s="271">
        <v>9452.7754742419311</v>
      </c>
      <c r="H40" s="271">
        <v>0</v>
      </c>
      <c r="I40" s="272">
        <v>28229.242366563623</v>
      </c>
    </row>
    <row r="41" spans="2:9" ht="15.75" customHeight="1" outlineLevel="1" x14ac:dyDescent="0.25">
      <c r="B41" s="536" t="str">
        <f>IF(ISBLANK(dms_E12_Projects_13),"",dms_E12_Projects_13)</f>
        <v>IT Infrastructure</v>
      </c>
      <c r="C41" s="285">
        <v>79566.207342113252</v>
      </c>
      <c r="D41" s="286">
        <v>126861.14456365272</v>
      </c>
      <c r="E41" s="311">
        <v>369934.41400345555</v>
      </c>
      <c r="F41" s="271">
        <v>210166.038061495</v>
      </c>
      <c r="G41" s="271">
        <v>183134.49071333563</v>
      </c>
      <c r="H41" s="271">
        <v>257351.1442142062</v>
      </c>
      <c r="I41" s="272">
        <v>132131.7649609177</v>
      </c>
    </row>
    <row r="42" spans="2:9" ht="15.75" customHeight="1" outlineLevel="1" x14ac:dyDescent="0.25">
      <c r="B42" s="536" t="str">
        <f>IF(ISBLANK(dms_E12_Projects_14),"",dms_E12_Projects_14)</f>
        <v>AGN APA IT Transition</v>
      </c>
      <c r="C42" s="285"/>
      <c r="D42" s="286"/>
      <c r="E42" s="311">
        <v>630677.9045344746</v>
      </c>
      <c r="F42" s="271">
        <v>6889646.6592625529</v>
      </c>
      <c r="G42" s="271">
        <v>1496812.1598875651</v>
      </c>
      <c r="H42" s="271">
        <v>3047709.7563235895</v>
      </c>
      <c r="I42" s="272">
        <v>341673.62499257503</v>
      </c>
    </row>
    <row r="43" spans="2:9" ht="15.75" customHeight="1" outlineLevel="1" x14ac:dyDescent="0.25">
      <c r="B43" s="536" t="str">
        <f>IF(ISBLANK(dms_E12_Projects_15),"",dms_E12_Projects_15)</f>
        <v/>
      </c>
      <c r="C43" s="285"/>
      <c r="D43" s="286"/>
      <c r="E43" s="311">
        <v>0</v>
      </c>
      <c r="F43" s="271">
        <v>0</v>
      </c>
      <c r="G43" s="271">
        <v>0</v>
      </c>
      <c r="H43" s="271">
        <v>0</v>
      </c>
      <c r="I43" s="272">
        <v>0</v>
      </c>
    </row>
    <row r="44" spans="2:9" ht="15.75" customHeight="1" outlineLevel="1" thickBot="1" x14ac:dyDescent="0.3">
      <c r="B44" s="542" t="s">
        <v>152</v>
      </c>
      <c r="C44" s="287">
        <v>1492073.6400954113</v>
      </c>
      <c r="D44" s="577">
        <v>355211.2047782272</v>
      </c>
      <c r="E44" s="312">
        <v>761972.48068591719</v>
      </c>
      <c r="F44" s="274">
        <v>179949.09299125348</v>
      </c>
      <c r="G44" s="274">
        <v>175854.09809087706</v>
      </c>
      <c r="H44" s="274">
        <v>164608.59304895205</v>
      </c>
      <c r="I44" s="275">
        <v>179604.1548917382</v>
      </c>
    </row>
    <row r="45" spans="2:9" ht="15.75" customHeight="1" outlineLevel="1" collapsed="1" thickBot="1" x14ac:dyDescent="0.3">
      <c r="B45" s="323" t="s">
        <v>120</v>
      </c>
      <c r="C45" s="2">
        <f>SUM(C29:C44)</f>
        <v>2937495.8494521575</v>
      </c>
      <c r="D45" s="2">
        <f t="shared" ref="D45:I45" si="0">SUM(D29:D44)</f>
        <v>2931267.1058553192</v>
      </c>
      <c r="E45" s="2">
        <f t="shared" si="0"/>
        <v>4711885.8759216703</v>
      </c>
      <c r="F45" s="2">
        <f t="shared" si="0"/>
        <v>8581096.0358608514</v>
      </c>
      <c r="G45" s="2">
        <f t="shared" si="0"/>
        <v>3704663.9457788831</v>
      </c>
      <c r="H45" s="2">
        <f t="shared" si="0"/>
        <v>6126169.4654353485</v>
      </c>
      <c r="I45" s="563">
        <f t="shared" si="0"/>
        <v>3890496.2166469563</v>
      </c>
    </row>
    <row r="46" spans="2:9" ht="15.75" customHeight="1" thickBot="1" x14ac:dyDescent="0.3">
      <c r="B46" s="75"/>
    </row>
    <row r="47" spans="2:9" ht="21.75" customHeight="1" thickBot="1" x14ac:dyDescent="0.3">
      <c r="B47" s="250" t="s">
        <v>138</v>
      </c>
      <c r="C47" s="251"/>
      <c r="D47" s="251"/>
      <c r="E47" s="251"/>
      <c r="F47" s="251"/>
      <c r="G47" s="251"/>
      <c r="H47" s="251"/>
      <c r="I47" s="252"/>
    </row>
    <row r="48" spans="2:9" ht="15.75" customHeight="1" outlineLevel="1" x14ac:dyDescent="0.25">
      <c r="B48" s="558" t="str">
        <f>IF(ISBLANK(dms_E12_Projects_01),"",dms_E12_Projects_01)</f>
        <v>Enterprise Asset Management</v>
      </c>
      <c r="C48" s="276">
        <v>66420.234057050344</v>
      </c>
      <c r="D48" s="278">
        <v>0</v>
      </c>
      <c r="E48" s="310">
        <v>0</v>
      </c>
      <c r="F48" s="277">
        <v>0</v>
      </c>
      <c r="G48" s="277">
        <v>238919.90809535154</v>
      </c>
      <c r="H48" s="277">
        <v>1159998.5708849602</v>
      </c>
      <c r="I48" s="280">
        <v>195504.02960370478</v>
      </c>
    </row>
    <row r="49" spans="2:9" ht="15.75" customHeight="1" outlineLevel="1" x14ac:dyDescent="0.25">
      <c r="B49" s="536" t="str">
        <f>IF(ISBLANK(dms_E12_Projects_02),"",dms_E12_Projects_02)</f>
        <v>FRC Gateway</v>
      </c>
      <c r="C49" s="285">
        <v>0</v>
      </c>
      <c r="D49" s="286">
        <v>0</v>
      </c>
      <c r="E49" s="311">
        <v>0</v>
      </c>
      <c r="F49" s="271">
        <v>0</v>
      </c>
      <c r="G49" s="271">
        <v>142253.63493534533</v>
      </c>
      <c r="H49" s="271">
        <v>143555.42148910544</v>
      </c>
      <c r="I49" s="272">
        <v>144841.70342289994</v>
      </c>
    </row>
    <row r="50" spans="2:9" ht="15.75" customHeight="1" outlineLevel="1" x14ac:dyDescent="0.25">
      <c r="B50" s="536" t="str">
        <f>IF(ISBLANK(dms_E12_Projects_03),"",dms_E12_Projects_03)</f>
        <v>Geospatial Information System Upgrade</v>
      </c>
      <c r="C50" s="285">
        <v>764781.978648155</v>
      </c>
      <c r="D50" s="286">
        <v>330414.53045626311</v>
      </c>
      <c r="E50" s="311">
        <v>563142.75144782744</v>
      </c>
      <c r="F50" s="271">
        <v>0</v>
      </c>
      <c r="G50" s="271">
        <v>0</v>
      </c>
      <c r="H50" s="271">
        <v>0</v>
      </c>
      <c r="I50" s="272">
        <v>585897.70749401115</v>
      </c>
    </row>
    <row r="51" spans="2:9" ht="15.75" customHeight="1" outlineLevel="1" x14ac:dyDescent="0.25">
      <c r="B51" s="536" t="str">
        <f>IF(ISBLANK(dms_E12_Projects_04),"",dms_E12_Projects_04)</f>
        <v>Meter &amp; Billing</v>
      </c>
      <c r="C51" s="285">
        <v>32780.411262906542</v>
      </c>
      <c r="D51" s="286">
        <v>14303.659327110961</v>
      </c>
      <c r="E51" s="311">
        <v>18767.15576469064</v>
      </c>
      <c r="F51" s="271">
        <v>0</v>
      </c>
      <c r="G51" s="271">
        <v>372309.04592254257</v>
      </c>
      <c r="H51" s="271">
        <v>376465.45592126163</v>
      </c>
      <c r="I51" s="272">
        <v>761144.72396917746</v>
      </c>
    </row>
    <row r="52" spans="2:9" ht="15.75" customHeight="1" outlineLevel="1" x14ac:dyDescent="0.25">
      <c r="B52" s="536" t="str">
        <f>IF(ISBLANK(dms_E12_Projects_05),"",dms_E12_Projects_05)</f>
        <v>Middleware</v>
      </c>
      <c r="C52" s="285">
        <v>166848.61013591758</v>
      </c>
      <c r="D52" s="286">
        <v>527983.82491198322</v>
      </c>
      <c r="E52" s="311">
        <v>469448.96456949844</v>
      </c>
      <c r="F52" s="271">
        <v>0</v>
      </c>
      <c r="G52" s="271">
        <v>0</v>
      </c>
      <c r="H52" s="271">
        <v>0</v>
      </c>
      <c r="I52" s="272">
        <v>0</v>
      </c>
    </row>
    <row r="53" spans="2:9" ht="15.75" customHeight="1" outlineLevel="1" x14ac:dyDescent="0.25">
      <c r="B53" s="536" t="str">
        <f>IF(ISBLANK(dms_E12_Projects_06),"",dms_E12_Projects_06)</f>
        <v>Mobility Applications</v>
      </c>
      <c r="C53" s="285">
        <v>518912.50470011367</v>
      </c>
      <c r="D53" s="286">
        <v>133858.41186954675</v>
      </c>
      <c r="E53" s="311">
        <v>398092.72195493465</v>
      </c>
      <c r="F53" s="271">
        <v>401554.13817233278</v>
      </c>
      <c r="G53" s="271">
        <v>405208.28082970105</v>
      </c>
      <c r="H53" s="271">
        <v>409866.15001783852</v>
      </c>
      <c r="I53" s="272">
        <v>414468.54275985423</v>
      </c>
    </row>
    <row r="54" spans="2:9" ht="15.75" customHeight="1" outlineLevel="1" x14ac:dyDescent="0.25">
      <c r="B54" s="536" t="str">
        <f>IF(ISBLANK(dms_E12_Projects_07),"",dms_E12_Projects_07)</f>
        <v>Business Intelligence</v>
      </c>
      <c r="C54" s="285">
        <v>29096.437822026317</v>
      </c>
      <c r="D54" s="286">
        <v>203469.55392815339</v>
      </c>
      <c r="E54" s="311">
        <v>116423.34321323561</v>
      </c>
      <c r="F54" s="271">
        <v>117435.64418247469</v>
      </c>
      <c r="G54" s="271">
        <v>118504.3085445352</v>
      </c>
      <c r="H54" s="271">
        <v>119866.51557125465</v>
      </c>
      <c r="I54" s="272">
        <v>121212.49835429699</v>
      </c>
    </row>
    <row r="55" spans="2:9" ht="15.75" customHeight="1" outlineLevel="1" x14ac:dyDescent="0.25">
      <c r="B55" s="536" t="str">
        <f>IF(ISBLANK(dms_E12_Projects_08),"",dms_E12_Projects_08)</f>
        <v>Historian</v>
      </c>
      <c r="C55" s="285">
        <v>1250423.3993112424</v>
      </c>
      <c r="D55" s="286">
        <v>334290.54059386777</v>
      </c>
      <c r="E55" s="311">
        <v>0</v>
      </c>
      <c r="F55" s="271">
        <v>218847.26113455894</v>
      </c>
      <c r="G55" s="271">
        <v>0</v>
      </c>
      <c r="H55" s="271">
        <v>0</v>
      </c>
      <c r="I55" s="272">
        <v>677656.85958762374</v>
      </c>
    </row>
    <row r="56" spans="2:9" ht="15.75" customHeight="1" outlineLevel="1" x14ac:dyDescent="0.25">
      <c r="B56" s="536" t="str">
        <f>IF(ISBLANK(dms_E12_Projects_09),"",dms_E12_Projects_09)</f>
        <v>Workday management</v>
      </c>
      <c r="C56" s="285">
        <v>2586071.5594553053</v>
      </c>
      <c r="D56" s="286">
        <v>0</v>
      </c>
      <c r="E56" s="311">
        <v>18777.958582779938</v>
      </c>
      <c r="F56" s="271">
        <v>18941.232932657207</v>
      </c>
      <c r="G56" s="271">
        <v>19113.598152344388</v>
      </c>
      <c r="H56" s="271">
        <v>0</v>
      </c>
      <c r="I56" s="272">
        <v>0</v>
      </c>
    </row>
    <row r="57" spans="2:9" ht="15.75" customHeight="1" outlineLevel="1" x14ac:dyDescent="0.25">
      <c r="B57" s="536" t="str">
        <f>IF(ISBLANK(dms_E12_Projects_10),"",dms_E12_Projects_10)</f>
        <v>AGIG IT Strategy &amp; Roadmap</v>
      </c>
      <c r="C57" s="285">
        <v>1365856.0020146328</v>
      </c>
      <c r="D57" s="286">
        <v>2449194.7565134396</v>
      </c>
      <c r="E57" s="311">
        <v>0</v>
      </c>
      <c r="F57" s="271">
        <v>0</v>
      </c>
      <c r="G57" s="271">
        <v>0</v>
      </c>
      <c r="H57" s="271">
        <v>0</v>
      </c>
      <c r="I57" s="272">
        <v>0</v>
      </c>
    </row>
    <row r="58" spans="2:9" ht="15.75" customHeight="1" outlineLevel="1" x14ac:dyDescent="0.25">
      <c r="B58" s="536" t="str">
        <f>IF(ISBLANK(dms_E12_Projects_11),"",dms_E12_Projects_11)</f>
        <v>IT Corporate Application</v>
      </c>
      <c r="C58" s="285"/>
      <c r="D58" s="286"/>
      <c r="E58" s="311">
        <v>813203.94689726259</v>
      </c>
      <c r="F58" s="271">
        <v>385717.6557030949</v>
      </c>
      <c r="G58" s="271">
        <v>543101.64513304352</v>
      </c>
      <c r="H58" s="271">
        <v>446747.85796418029</v>
      </c>
      <c r="I58" s="272">
        <v>308131.36424359377</v>
      </c>
    </row>
    <row r="59" spans="2:9" ht="15.75" customHeight="1" outlineLevel="1" x14ac:dyDescent="0.25">
      <c r="B59" s="536" t="str">
        <f>IF(ISBLANK(dms_E12_Projects_12),"",dms_E12_Projects_12)</f>
        <v>Cyber Security</v>
      </c>
      <c r="C59" s="285"/>
      <c r="D59" s="286"/>
      <c r="E59" s="311">
        <v>551444.23426759406</v>
      </c>
      <c r="F59" s="271">
        <v>158838.3134204323</v>
      </c>
      <c r="G59" s="271">
        <v>9452.7754742419311</v>
      </c>
      <c r="H59" s="271">
        <v>0</v>
      </c>
      <c r="I59" s="272">
        <v>28229.242366563623</v>
      </c>
    </row>
    <row r="60" spans="2:9" ht="15.75" customHeight="1" outlineLevel="1" x14ac:dyDescent="0.25">
      <c r="B60" s="536" t="str">
        <f>IF(ISBLANK(dms_E12_Projects_13),"",dms_E12_Projects_13)</f>
        <v>IT Infrastructure</v>
      </c>
      <c r="C60" s="285">
        <v>117837.89543853418</v>
      </c>
      <c r="D60" s="286">
        <v>279094.51804003603</v>
      </c>
      <c r="E60" s="311">
        <v>369934.41400345555</v>
      </c>
      <c r="F60" s="271">
        <v>210166.038061495</v>
      </c>
      <c r="G60" s="271">
        <v>183134.49071333563</v>
      </c>
      <c r="H60" s="271">
        <v>257351.1442142062</v>
      </c>
      <c r="I60" s="272">
        <v>132131.7649609177</v>
      </c>
    </row>
    <row r="61" spans="2:9" ht="15.75" customHeight="1" outlineLevel="1" x14ac:dyDescent="0.25">
      <c r="B61" s="536" t="str">
        <f>IF(ISBLANK(dms_E12_Projects_14),"",dms_E12_Projects_14)</f>
        <v>AGN APA IT Transition</v>
      </c>
      <c r="C61" s="285"/>
      <c r="D61" s="286"/>
      <c r="E61" s="311">
        <v>2522711.6181378984</v>
      </c>
      <c r="F61" s="271">
        <v>27558586.637050211</v>
      </c>
      <c r="G61" s="271">
        <v>5987248.6395502603</v>
      </c>
      <c r="H61" s="271">
        <v>12190839.025294358</v>
      </c>
      <c r="I61" s="272">
        <v>1366694.4999703001</v>
      </c>
    </row>
    <row r="62" spans="2:9" ht="15.75" customHeight="1" outlineLevel="1" x14ac:dyDescent="0.25">
      <c r="B62" s="536" t="str">
        <f>IF(ISBLANK(dms_E12_Projects_15),"",dms_E12_Projects_15)</f>
        <v/>
      </c>
      <c r="C62" s="285"/>
      <c r="D62" s="286"/>
      <c r="E62" s="311">
        <v>0</v>
      </c>
      <c r="F62" s="271">
        <v>0</v>
      </c>
      <c r="G62" s="271">
        <v>0</v>
      </c>
      <c r="H62" s="271">
        <v>0</v>
      </c>
      <c r="I62" s="272">
        <v>0</v>
      </c>
    </row>
    <row r="63" spans="2:9" ht="15.75" customHeight="1" outlineLevel="1" thickBot="1" x14ac:dyDescent="0.3">
      <c r="B63" s="542" t="s">
        <v>152</v>
      </c>
      <c r="C63" s="287">
        <v>1492073.6400954113</v>
      </c>
      <c r="D63" s="577">
        <v>355211.2047782272</v>
      </c>
      <c r="E63" s="312">
        <v>761972.48068591719</v>
      </c>
      <c r="F63" s="274">
        <v>179949.09299125348</v>
      </c>
      <c r="G63" s="274">
        <v>175854.09809087706</v>
      </c>
      <c r="H63" s="274">
        <v>164608.59304895205</v>
      </c>
      <c r="I63" s="275">
        <v>179604.1548917382</v>
      </c>
    </row>
    <row r="64" spans="2:9" ht="15.75" customHeight="1" outlineLevel="1" collapsed="1" thickBot="1" x14ac:dyDescent="0.3">
      <c r="B64" s="323" t="s">
        <v>120</v>
      </c>
      <c r="C64" s="2">
        <f>SUM(C48:C63)</f>
        <v>8391102.6729412954</v>
      </c>
      <c r="D64" s="2">
        <f t="shared" ref="D64" si="1">SUM(D48:D63)</f>
        <v>4627821.0004186276</v>
      </c>
      <c r="E64" s="2">
        <f t="shared" ref="E64" si="2">SUM(E48:E63)</f>
        <v>6603919.5895250943</v>
      </c>
      <c r="F64" s="2">
        <f t="shared" ref="F64" si="3">SUM(F48:F63)</f>
        <v>29250036.013648514</v>
      </c>
      <c r="G64" s="2">
        <f t="shared" ref="G64" si="4">SUM(G48:G63)</f>
        <v>8195100.425441578</v>
      </c>
      <c r="H64" s="2">
        <f t="shared" ref="H64" si="5">SUM(H48:H63)</f>
        <v>15269298.734406117</v>
      </c>
      <c r="I64" s="563">
        <f t="shared" ref="I64" si="6">SUM(I48:I63)</f>
        <v>4915517.0916246809</v>
      </c>
    </row>
    <row r="65" spans="2:9" ht="15.75" customHeight="1" thickBot="1" x14ac:dyDescent="0.3"/>
    <row r="66" spans="2:9" ht="21.75" customHeight="1" thickBot="1" x14ac:dyDescent="0.3">
      <c r="B66" s="250" t="s">
        <v>139</v>
      </c>
      <c r="C66" s="251"/>
      <c r="D66" s="251"/>
      <c r="E66" s="251"/>
      <c r="F66" s="251"/>
      <c r="G66" s="251"/>
      <c r="H66" s="251"/>
      <c r="I66" s="252"/>
    </row>
    <row r="67" spans="2:9" ht="15.75" customHeight="1" outlineLevel="1" x14ac:dyDescent="0.25">
      <c r="B67" s="558" t="str">
        <f>IF(ISBLANK(dms_E12_Projects_01),"",dms_E12_Projects_01)</f>
        <v>Enterprise Asset Management</v>
      </c>
      <c r="C67" s="276"/>
      <c r="D67" s="278"/>
      <c r="E67" s="310"/>
      <c r="F67" s="277"/>
      <c r="G67" s="277"/>
      <c r="H67" s="277"/>
      <c r="I67" s="280"/>
    </row>
    <row r="68" spans="2:9" ht="15.75" customHeight="1" outlineLevel="1" x14ac:dyDescent="0.25">
      <c r="B68" s="536" t="str">
        <f>IF(ISBLANK(dms_E12_Projects_02),"",dms_E12_Projects_02)</f>
        <v>FRC Gateway</v>
      </c>
      <c r="C68" s="285"/>
      <c r="D68" s="286"/>
      <c r="E68" s="311"/>
      <c r="F68" s="271"/>
      <c r="G68" s="271"/>
      <c r="H68" s="271"/>
      <c r="I68" s="272"/>
    </row>
    <row r="69" spans="2:9" ht="15.75" customHeight="1" outlineLevel="1" x14ac:dyDescent="0.25">
      <c r="B69" s="536" t="str">
        <f>IF(ISBLANK(dms_E12_Projects_03),"",dms_E12_Projects_03)</f>
        <v>Geospatial Information System Upgrade</v>
      </c>
      <c r="C69" s="285"/>
      <c r="D69" s="286"/>
      <c r="E69" s="311"/>
      <c r="F69" s="271"/>
      <c r="G69" s="271"/>
      <c r="H69" s="271"/>
      <c r="I69" s="272"/>
    </row>
    <row r="70" spans="2:9" ht="15.75" customHeight="1" outlineLevel="1" x14ac:dyDescent="0.25">
      <c r="B70" s="536" t="str">
        <f>IF(ISBLANK(dms_E12_Projects_04),"",dms_E12_Projects_04)</f>
        <v>Meter &amp; Billing</v>
      </c>
      <c r="C70" s="285"/>
      <c r="D70" s="286"/>
      <c r="E70" s="311"/>
      <c r="F70" s="271"/>
      <c r="G70" s="271"/>
      <c r="H70" s="271"/>
      <c r="I70" s="272"/>
    </row>
    <row r="71" spans="2:9" ht="15.75" customHeight="1" outlineLevel="1" x14ac:dyDescent="0.25">
      <c r="B71" s="536" t="str">
        <f>IF(ISBLANK(dms_E12_Projects_05),"",dms_E12_Projects_05)</f>
        <v>Middleware</v>
      </c>
      <c r="C71" s="285"/>
      <c r="D71" s="286"/>
      <c r="E71" s="311"/>
      <c r="F71" s="271"/>
      <c r="G71" s="271"/>
      <c r="H71" s="271"/>
      <c r="I71" s="272"/>
    </row>
    <row r="72" spans="2:9" ht="15.75" customHeight="1" outlineLevel="1" x14ac:dyDescent="0.25">
      <c r="B72" s="536" t="str">
        <f>IF(ISBLANK(dms_E12_Projects_06),"",dms_E12_Projects_06)</f>
        <v>Mobility Applications</v>
      </c>
      <c r="C72" s="285"/>
      <c r="D72" s="286"/>
      <c r="E72" s="311"/>
      <c r="F72" s="271"/>
      <c r="G72" s="271"/>
      <c r="H72" s="271"/>
      <c r="I72" s="272"/>
    </row>
    <row r="73" spans="2:9" ht="15.75" customHeight="1" outlineLevel="1" x14ac:dyDescent="0.25">
      <c r="B73" s="536" t="str">
        <f>IF(ISBLANK(dms_E12_Projects_07),"",dms_E12_Projects_07)</f>
        <v>Business Intelligence</v>
      </c>
      <c r="C73" s="285"/>
      <c r="D73" s="286"/>
      <c r="E73" s="311"/>
      <c r="F73" s="271"/>
      <c r="G73" s="271"/>
      <c r="H73" s="271"/>
      <c r="I73" s="272"/>
    </row>
    <row r="74" spans="2:9" ht="15.75" customHeight="1" outlineLevel="1" x14ac:dyDescent="0.25">
      <c r="B74" s="536" t="str">
        <f>IF(ISBLANK(dms_E12_Projects_08),"",dms_E12_Projects_08)</f>
        <v>Historian</v>
      </c>
      <c r="C74" s="285"/>
      <c r="D74" s="286"/>
      <c r="E74" s="311"/>
      <c r="F74" s="271"/>
      <c r="G74" s="271"/>
      <c r="H74" s="271"/>
      <c r="I74" s="272"/>
    </row>
    <row r="75" spans="2:9" ht="15.75" customHeight="1" outlineLevel="1" x14ac:dyDescent="0.25">
      <c r="B75" s="536" t="str">
        <f>IF(ISBLANK(dms_E12_Projects_09),"",dms_E12_Projects_09)</f>
        <v>Workday management</v>
      </c>
      <c r="C75" s="285"/>
      <c r="D75" s="286"/>
      <c r="E75" s="311"/>
      <c r="F75" s="271"/>
      <c r="G75" s="271"/>
      <c r="H75" s="271"/>
      <c r="I75" s="272"/>
    </row>
    <row r="76" spans="2:9" ht="15.75" customHeight="1" outlineLevel="1" x14ac:dyDescent="0.25">
      <c r="B76" s="536" t="str">
        <f>IF(ISBLANK(dms_E12_Projects_10),"",dms_E12_Projects_10)</f>
        <v>AGIG IT Strategy &amp; Roadmap</v>
      </c>
      <c r="C76" s="285"/>
      <c r="D76" s="286"/>
      <c r="E76" s="311"/>
      <c r="F76" s="271"/>
      <c r="G76" s="271"/>
      <c r="H76" s="271"/>
      <c r="I76" s="272"/>
    </row>
    <row r="77" spans="2:9" ht="15.75" customHeight="1" outlineLevel="1" x14ac:dyDescent="0.25">
      <c r="B77" s="536" t="str">
        <f>IF(ISBLANK(dms_E12_Projects_11),"",dms_E12_Projects_11)</f>
        <v>IT Corporate Application</v>
      </c>
      <c r="C77" s="285"/>
      <c r="D77" s="286"/>
      <c r="E77" s="311"/>
      <c r="F77" s="271"/>
      <c r="G77" s="271"/>
      <c r="H77" s="271"/>
      <c r="I77" s="272"/>
    </row>
    <row r="78" spans="2:9" ht="15.75" customHeight="1" outlineLevel="1" x14ac:dyDescent="0.25">
      <c r="B78" s="536" t="str">
        <f>IF(ISBLANK(dms_E12_Projects_12),"",dms_E12_Projects_12)</f>
        <v>Cyber Security</v>
      </c>
      <c r="C78" s="285"/>
      <c r="D78" s="286"/>
      <c r="E78" s="311"/>
      <c r="F78" s="271"/>
      <c r="G78" s="271"/>
      <c r="H78" s="271"/>
      <c r="I78" s="272"/>
    </row>
    <row r="79" spans="2:9" ht="15.75" customHeight="1" outlineLevel="1" x14ac:dyDescent="0.25">
      <c r="B79" s="536" t="str">
        <f>IF(ISBLANK(dms_E12_Projects_13),"",dms_E12_Projects_13)</f>
        <v>IT Infrastructure</v>
      </c>
      <c r="C79" s="285">
        <v>38271.688096420919</v>
      </c>
      <c r="D79" s="286">
        <v>152233.37347638331</v>
      </c>
      <c r="E79" s="311">
        <v>430447.11116555665</v>
      </c>
      <c r="F79" s="271">
        <v>164064.1179109283</v>
      </c>
      <c r="G79" s="271">
        <v>164251.65254716296</v>
      </c>
      <c r="H79" s="271">
        <v>164490.69953731389</v>
      </c>
      <c r="I79" s="272">
        <v>164726.89941499045</v>
      </c>
    </row>
    <row r="80" spans="2:9" ht="15.75" customHeight="1" outlineLevel="1" x14ac:dyDescent="0.25">
      <c r="B80" s="536" t="str">
        <f>IF(ISBLANK(dms_E12_Projects_14),"",dms_E12_Projects_14)</f>
        <v>AGN APA IT Transition</v>
      </c>
      <c r="C80" s="285"/>
      <c r="D80" s="286"/>
      <c r="E80" s="311"/>
      <c r="F80" s="271"/>
      <c r="G80" s="271"/>
      <c r="H80" s="271"/>
      <c r="I80" s="272"/>
    </row>
    <row r="81" spans="2:9" ht="15.75" customHeight="1" outlineLevel="1" x14ac:dyDescent="0.25">
      <c r="B81" s="536" t="str">
        <f>IF(ISBLANK(dms_E12_Projects_15),"",dms_E12_Projects_15)</f>
        <v/>
      </c>
      <c r="C81" s="285"/>
      <c r="D81" s="286"/>
      <c r="E81" s="311"/>
      <c r="F81" s="271"/>
      <c r="G81" s="271"/>
      <c r="H81" s="271"/>
      <c r="I81" s="272"/>
    </row>
    <row r="82" spans="2:9" ht="15.75" customHeight="1" outlineLevel="1" thickBot="1" x14ac:dyDescent="0.3">
      <c r="B82" s="542" t="s">
        <v>152</v>
      </c>
      <c r="C82" s="287"/>
      <c r="D82" s="577"/>
      <c r="E82" s="312"/>
      <c r="F82" s="274"/>
      <c r="G82" s="274"/>
      <c r="H82" s="274"/>
      <c r="I82" s="275"/>
    </row>
    <row r="83" spans="2:9" ht="15.75" customHeight="1" outlineLevel="1" collapsed="1" thickBot="1" x14ac:dyDescent="0.3">
      <c r="B83" s="323" t="s">
        <v>120</v>
      </c>
      <c r="C83" s="2">
        <f>SUM(C67:C82)</f>
        <v>38271.688096420919</v>
      </c>
      <c r="D83" s="2">
        <f t="shared" ref="D83" si="7">SUM(D67:D82)</f>
        <v>152233.37347638331</v>
      </c>
      <c r="E83" s="2">
        <f t="shared" ref="E83" si="8">SUM(E67:E82)</f>
        <v>430447.11116555665</v>
      </c>
      <c r="F83" s="2">
        <f t="shared" ref="F83" si="9">SUM(F67:F82)</f>
        <v>164064.1179109283</v>
      </c>
      <c r="G83" s="2">
        <f t="shared" ref="G83" si="10">SUM(G67:G82)</f>
        <v>164251.65254716296</v>
      </c>
      <c r="H83" s="2">
        <f t="shared" ref="H83" si="11">SUM(H67:H82)</f>
        <v>164490.69953731389</v>
      </c>
      <c r="I83" s="563">
        <f t="shared" ref="I83" si="12">SUM(I67:I82)</f>
        <v>164726.89941499045</v>
      </c>
    </row>
    <row r="84" spans="2:9" ht="15.75" customHeight="1" thickBot="1" x14ac:dyDescent="0.3">
      <c r="B84" s="75"/>
    </row>
    <row r="85" spans="2:9" ht="21.75" customHeight="1" thickBot="1" x14ac:dyDescent="0.3">
      <c r="B85" s="250" t="s">
        <v>140</v>
      </c>
      <c r="C85" s="251"/>
      <c r="D85" s="251"/>
      <c r="E85" s="251"/>
      <c r="F85" s="251"/>
      <c r="G85" s="251"/>
      <c r="H85" s="251"/>
      <c r="I85" s="252"/>
    </row>
    <row r="86" spans="2:9" ht="15.75" customHeight="1" outlineLevel="1" x14ac:dyDescent="0.25">
      <c r="B86" s="558" t="str">
        <f>IF(ISBLANK(dms_E12_Projects_01),"",dms_E12_Projects_01)</f>
        <v>Enterprise Asset Management</v>
      </c>
      <c r="C86" s="276"/>
      <c r="D86" s="278"/>
      <c r="E86" s="310"/>
      <c r="F86" s="277"/>
      <c r="G86" s="277"/>
      <c r="H86" s="277"/>
      <c r="I86" s="280"/>
    </row>
    <row r="87" spans="2:9" ht="15.75" customHeight="1" outlineLevel="1" x14ac:dyDescent="0.25">
      <c r="B87" s="536" t="str">
        <f>IF(ISBLANK(dms_E12_Projects_02),"",dms_E12_Projects_02)</f>
        <v>FRC Gateway</v>
      </c>
      <c r="C87" s="285"/>
      <c r="D87" s="286"/>
      <c r="E87" s="311"/>
      <c r="F87" s="271"/>
      <c r="G87" s="271"/>
      <c r="H87" s="271"/>
      <c r="I87" s="272"/>
    </row>
    <row r="88" spans="2:9" ht="15.75" customHeight="1" outlineLevel="1" x14ac:dyDescent="0.25">
      <c r="B88" s="536" t="str">
        <f>IF(ISBLANK(dms_E12_Projects_03),"",dms_E12_Projects_03)</f>
        <v>Geospatial Information System Upgrade</v>
      </c>
      <c r="C88" s="285"/>
      <c r="D88" s="286"/>
      <c r="E88" s="311"/>
      <c r="F88" s="271"/>
      <c r="G88" s="271"/>
      <c r="H88" s="271"/>
      <c r="I88" s="272"/>
    </row>
    <row r="89" spans="2:9" ht="15.75" customHeight="1" outlineLevel="1" x14ac:dyDescent="0.25">
      <c r="B89" s="536" t="str">
        <f>IF(ISBLANK(dms_E12_Projects_04),"",dms_E12_Projects_04)</f>
        <v>Meter &amp; Billing</v>
      </c>
      <c r="C89" s="285"/>
      <c r="D89" s="286"/>
      <c r="E89" s="311"/>
      <c r="F89" s="271"/>
      <c r="G89" s="271"/>
      <c r="H89" s="271"/>
      <c r="I89" s="272"/>
    </row>
    <row r="90" spans="2:9" ht="15.75" customHeight="1" outlineLevel="1" x14ac:dyDescent="0.25">
      <c r="B90" s="536" t="str">
        <f>IF(ISBLANK(dms_E12_Projects_05),"",dms_E12_Projects_05)</f>
        <v>Middleware</v>
      </c>
      <c r="C90" s="285"/>
      <c r="D90" s="286"/>
      <c r="E90" s="311"/>
      <c r="F90" s="271"/>
      <c r="G90" s="271"/>
      <c r="H90" s="271"/>
      <c r="I90" s="272"/>
    </row>
    <row r="91" spans="2:9" ht="15.75" customHeight="1" outlineLevel="1" x14ac:dyDescent="0.25">
      <c r="B91" s="536" t="str">
        <f>IF(ISBLANK(dms_E12_Projects_06),"",dms_E12_Projects_06)</f>
        <v>Mobility Applications</v>
      </c>
      <c r="C91" s="285"/>
      <c r="D91" s="286"/>
      <c r="E91" s="311"/>
      <c r="F91" s="271"/>
      <c r="G91" s="271"/>
      <c r="H91" s="271"/>
      <c r="I91" s="272"/>
    </row>
    <row r="92" spans="2:9" ht="15.75" customHeight="1" outlineLevel="1" x14ac:dyDescent="0.25">
      <c r="B92" s="536" t="str">
        <f>IF(ISBLANK(dms_E12_Projects_07),"",dms_E12_Projects_07)</f>
        <v>Business Intelligence</v>
      </c>
      <c r="C92" s="285"/>
      <c r="D92" s="286"/>
      <c r="E92" s="311"/>
      <c r="F92" s="271"/>
      <c r="G92" s="271"/>
      <c r="H92" s="271"/>
      <c r="I92" s="272"/>
    </row>
    <row r="93" spans="2:9" ht="15.75" customHeight="1" outlineLevel="1" x14ac:dyDescent="0.25">
      <c r="B93" s="536" t="str">
        <f>IF(ISBLANK(dms_E12_Projects_08),"",dms_E12_Projects_08)</f>
        <v>Historian</v>
      </c>
      <c r="C93" s="285"/>
      <c r="D93" s="286"/>
      <c r="E93" s="311"/>
      <c r="F93" s="271"/>
      <c r="G93" s="271"/>
      <c r="H93" s="271"/>
      <c r="I93" s="272"/>
    </row>
    <row r="94" spans="2:9" ht="15.75" customHeight="1" outlineLevel="1" x14ac:dyDescent="0.25">
      <c r="B94" s="536" t="str">
        <f>IF(ISBLANK(dms_E12_Projects_09),"",dms_E12_Projects_09)</f>
        <v>Workday management</v>
      </c>
      <c r="C94" s="285"/>
      <c r="D94" s="286"/>
      <c r="E94" s="311"/>
      <c r="F94" s="271"/>
      <c r="G94" s="271"/>
      <c r="H94" s="271"/>
      <c r="I94" s="272"/>
    </row>
    <row r="95" spans="2:9" ht="15.75" customHeight="1" outlineLevel="1" x14ac:dyDescent="0.25">
      <c r="B95" s="536" t="str">
        <f>IF(ISBLANK(dms_E12_Projects_10),"",dms_E12_Projects_10)</f>
        <v>AGIG IT Strategy &amp; Roadmap</v>
      </c>
      <c r="C95" s="285"/>
      <c r="D95" s="286"/>
      <c r="E95" s="311"/>
      <c r="F95" s="271"/>
      <c r="G95" s="271"/>
      <c r="H95" s="271"/>
      <c r="I95" s="272"/>
    </row>
    <row r="96" spans="2:9" ht="15.75" customHeight="1" outlineLevel="1" x14ac:dyDescent="0.25">
      <c r="B96" s="536" t="str">
        <f>IF(ISBLANK(dms_E12_Projects_11),"",dms_E12_Projects_11)</f>
        <v>IT Corporate Application</v>
      </c>
      <c r="C96" s="285"/>
      <c r="D96" s="286"/>
      <c r="E96" s="311"/>
      <c r="F96" s="271"/>
      <c r="G96" s="271"/>
      <c r="H96" s="271"/>
      <c r="I96" s="272"/>
    </row>
    <row r="97" spans="2:9" ht="15.75" customHeight="1" outlineLevel="1" x14ac:dyDescent="0.25">
      <c r="B97" s="536" t="str">
        <f>IF(ISBLANK(dms_E12_Projects_12),"",dms_E12_Projects_12)</f>
        <v>Cyber Security</v>
      </c>
      <c r="C97" s="285"/>
      <c r="D97" s="286"/>
      <c r="E97" s="311"/>
      <c r="F97" s="271"/>
      <c r="G97" s="271"/>
      <c r="H97" s="271"/>
      <c r="I97" s="272"/>
    </row>
    <row r="98" spans="2:9" ht="15.75" customHeight="1" outlineLevel="1" x14ac:dyDescent="0.25">
      <c r="B98" s="536" t="str">
        <f>IF(ISBLANK(dms_E12_Projects_13),"",dms_E12_Projects_13)</f>
        <v>IT Infrastructure</v>
      </c>
      <c r="C98" s="285"/>
      <c r="D98" s="286"/>
      <c r="E98" s="311"/>
      <c r="F98" s="271"/>
      <c r="G98" s="271"/>
      <c r="H98" s="271"/>
      <c r="I98" s="272"/>
    </row>
    <row r="99" spans="2:9" ht="15.75" customHeight="1" outlineLevel="1" x14ac:dyDescent="0.25">
      <c r="B99" s="536" t="str">
        <f>IF(ISBLANK(dms_E12_Projects_14),"",dms_E12_Projects_14)</f>
        <v>AGN APA IT Transition</v>
      </c>
      <c r="C99" s="285"/>
      <c r="D99" s="286"/>
      <c r="E99" s="311"/>
      <c r="F99" s="271"/>
      <c r="G99" s="271"/>
      <c r="H99" s="271"/>
      <c r="I99" s="272"/>
    </row>
    <row r="100" spans="2:9" ht="15.75" customHeight="1" outlineLevel="1" x14ac:dyDescent="0.25">
      <c r="B100" s="536" t="str">
        <f>IF(ISBLANK(dms_E12_Projects_15),"",dms_E12_Projects_15)</f>
        <v/>
      </c>
      <c r="C100" s="285"/>
      <c r="D100" s="286"/>
      <c r="E100" s="311"/>
      <c r="F100" s="271"/>
      <c r="G100" s="271"/>
      <c r="H100" s="271"/>
      <c r="I100" s="272"/>
    </row>
    <row r="101" spans="2:9" ht="15.75" customHeight="1" outlineLevel="1" thickBot="1" x14ac:dyDescent="0.3">
      <c r="B101" s="542" t="s">
        <v>152</v>
      </c>
      <c r="C101" s="287"/>
      <c r="D101" s="577"/>
      <c r="E101" s="312"/>
      <c r="F101" s="274"/>
      <c r="G101" s="274"/>
      <c r="H101" s="274"/>
      <c r="I101" s="275"/>
    </row>
    <row r="102" spans="2:9" ht="15.75" customHeight="1" outlineLevel="1" collapsed="1" thickBot="1" x14ac:dyDescent="0.3">
      <c r="B102" s="323" t="s">
        <v>120</v>
      </c>
      <c r="C102" s="2">
        <f>SUM(C86:C101)</f>
        <v>0</v>
      </c>
      <c r="D102" s="2">
        <f t="shared" ref="D102" si="13">SUM(D86:D101)</f>
        <v>0</v>
      </c>
      <c r="E102" s="2">
        <f t="shared" ref="E102" si="14">SUM(E86:E101)</f>
        <v>0</v>
      </c>
      <c r="F102" s="2">
        <f t="shared" ref="F102" si="15">SUM(F86:F101)</f>
        <v>0</v>
      </c>
      <c r="G102" s="2">
        <f t="shared" ref="G102" si="16">SUM(G86:G101)</f>
        <v>0</v>
      </c>
      <c r="H102" s="2">
        <f t="shared" ref="H102" si="17">SUM(H86:H101)</f>
        <v>0</v>
      </c>
      <c r="I102" s="563">
        <f t="shared" ref="I102" si="18">SUM(I86:I101)</f>
        <v>0</v>
      </c>
    </row>
    <row r="103" spans="2:9" ht="15.75" customHeight="1" thickBot="1" x14ac:dyDescent="0.3">
      <c r="B103" s="75"/>
    </row>
    <row r="104" spans="2:9" ht="21.75" customHeight="1" thickBot="1" x14ac:dyDescent="0.3">
      <c r="B104" s="250" t="s">
        <v>141</v>
      </c>
      <c r="C104" s="251"/>
      <c r="D104" s="251"/>
      <c r="E104" s="251"/>
      <c r="F104" s="251"/>
      <c r="G104" s="251"/>
      <c r="H104" s="251"/>
      <c r="I104" s="252"/>
    </row>
    <row r="105" spans="2:9" ht="15.75" customHeight="1" outlineLevel="1" thickBot="1" x14ac:dyDescent="0.3">
      <c r="B105" s="542" t="s">
        <v>120</v>
      </c>
      <c r="C105" s="287"/>
      <c r="D105" s="577"/>
      <c r="E105" s="312"/>
      <c r="F105" s="274"/>
      <c r="G105" s="274"/>
      <c r="H105" s="274"/>
      <c r="I105" s="275"/>
    </row>
    <row r="106" spans="2:9" ht="15.75" customHeight="1" outlineLevel="1" collapsed="1" thickBot="1" x14ac:dyDescent="0.3">
      <c r="B106" s="323" t="s">
        <v>120</v>
      </c>
      <c r="C106" s="2">
        <f t="shared" ref="C106:I106" si="19">SUM(C105:C105)</f>
        <v>0</v>
      </c>
      <c r="D106" s="2">
        <f t="shared" si="19"/>
        <v>0</v>
      </c>
      <c r="E106" s="2">
        <f t="shared" si="19"/>
        <v>0</v>
      </c>
      <c r="F106" s="2">
        <f t="shared" si="19"/>
        <v>0</v>
      </c>
      <c r="G106" s="2">
        <f t="shared" si="19"/>
        <v>0</v>
      </c>
      <c r="H106" s="2">
        <f t="shared" si="19"/>
        <v>0</v>
      </c>
      <c r="I106" s="563">
        <f t="shared" si="19"/>
        <v>0</v>
      </c>
    </row>
    <row r="107" spans="2:9" ht="15.75" customHeight="1" thickBot="1" x14ac:dyDescent="0.3">
      <c r="B107" s="75"/>
    </row>
    <row r="108" spans="2:9" ht="21.75" customHeight="1" thickBot="1" x14ac:dyDescent="0.3">
      <c r="B108" s="250" t="s">
        <v>142</v>
      </c>
      <c r="C108" s="251"/>
      <c r="D108" s="251"/>
      <c r="E108" s="251"/>
      <c r="F108" s="251"/>
      <c r="G108" s="251"/>
      <c r="H108" s="251"/>
      <c r="I108" s="252"/>
    </row>
    <row r="109" spans="2:9" ht="15.75" customHeight="1" outlineLevel="1" x14ac:dyDescent="0.25">
      <c r="B109" s="558" t="str">
        <f>IF(ISBLANK(dms_E12_Projects_01),"",dms_E12_Projects_01)</f>
        <v>Enterprise Asset Management</v>
      </c>
      <c r="C109" s="276"/>
      <c r="D109" s="278"/>
      <c r="E109" s="310"/>
      <c r="F109" s="277"/>
      <c r="G109" s="277"/>
      <c r="H109" s="277"/>
      <c r="I109" s="280"/>
    </row>
    <row r="110" spans="2:9" ht="15.75" customHeight="1" outlineLevel="1" x14ac:dyDescent="0.25">
      <c r="B110" s="536" t="str">
        <f>IF(ISBLANK(dms_E12_Projects_02),"",dms_E12_Projects_02)</f>
        <v>FRC Gateway</v>
      </c>
      <c r="C110" s="285"/>
      <c r="D110" s="286"/>
      <c r="E110" s="311"/>
      <c r="F110" s="271"/>
      <c r="G110" s="271"/>
      <c r="H110" s="271"/>
      <c r="I110" s="272"/>
    </row>
    <row r="111" spans="2:9" ht="15.75" customHeight="1" outlineLevel="1" x14ac:dyDescent="0.25">
      <c r="B111" s="536" t="str">
        <f>IF(ISBLANK(dms_E12_Projects_03),"",dms_E12_Projects_03)</f>
        <v>Geospatial Information System Upgrade</v>
      </c>
      <c r="C111" s="285"/>
      <c r="D111" s="286"/>
      <c r="E111" s="311"/>
      <c r="F111" s="271"/>
      <c r="G111" s="271"/>
      <c r="H111" s="271"/>
      <c r="I111" s="272"/>
    </row>
    <row r="112" spans="2:9" ht="15.75" customHeight="1" outlineLevel="1" x14ac:dyDescent="0.25">
      <c r="B112" s="536" t="str">
        <f>IF(ISBLANK(dms_E12_Projects_04),"",dms_E12_Projects_04)</f>
        <v>Meter &amp; Billing</v>
      </c>
      <c r="C112" s="285"/>
      <c r="D112" s="286"/>
      <c r="E112" s="311"/>
      <c r="F112" s="271"/>
      <c r="G112" s="271"/>
      <c r="H112" s="271"/>
      <c r="I112" s="272"/>
    </row>
    <row r="113" spans="2:9" ht="15.75" customHeight="1" outlineLevel="1" x14ac:dyDescent="0.25">
      <c r="B113" s="536" t="str">
        <f>IF(ISBLANK(dms_E12_Projects_05),"",dms_E12_Projects_05)</f>
        <v>Middleware</v>
      </c>
      <c r="C113" s="285"/>
      <c r="D113" s="286"/>
      <c r="E113" s="311"/>
      <c r="F113" s="271"/>
      <c r="G113" s="271"/>
      <c r="H113" s="271"/>
      <c r="I113" s="272"/>
    </row>
    <row r="114" spans="2:9" ht="15.75" customHeight="1" outlineLevel="1" x14ac:dyDescent="0.25">
      <c r="B114" s="536" t="str">
        <f>IF(ISBLANK(dms_E12_Projects_06),"",dms_E12_Projects_06)</f>
        <v>Mobility Applications</v>
      </c>
      <c r="C114" s="285"/>
      <c r="D114" s="286"/>
      <c r="E114" s="311"/>
      <c r="F114" s="271"/>
      <c r="G114" s="271"/>
      <c r="H114" s="271"/>
      <c r="I114" s="272"/>
    </row>
    <row r="115" spans="2:9" ht="15.75" customHeight="1" outlineLevel="1" x14ac:dyDescent="0.25">
      <c r="B115" s="536" t="str">
        <f>IF(ISBLANK(dms_E12_Projects_07),"",dms_E12_Projects_07)</f>
        <v>Business Intelligence</v>
      </c>
      <c r="C115" s="285"/>
      <c r="D115" s="286"/>
      <c r="E115" s="311"/>
      <c r="F115" s="271"/>
      <c r="G115" s="271"/>
      <c r="H115" s="271"/>
      <c r="I115" s="272"/>
    </row>
    <row r="116" spans="2:9" ht="15.75" customHeight="1" outlineLevel="1" x14ac:dyDescent="0.25">
      <c r="B116" s="536" t="str">
        <f>IF(ISBLANK(dms_E12_Projects_08),"",dms_E12_Projects_08)</f>
        <v>Historian</v>
      </c>
      <c r="C116" s="285"/>
      <c r="D116" s="286"/>
      <c r="E116" s="311"/>
      <c r="F116" s="271"/>
      <c r="G116" s="271"/>
      <c r="H116" s="271"/>
      <c r="I116" s="272"/>
    </row>
    <row r="117" spans="2:9" ht="15.75" customHeight="1" outlineLevel="1" x14ac:dyDescent="0.25">
      <c r="B117" s="536" t="str">
        <f>IF(ISBLANK(dms_E12_Projects_09),"",dms_E12_Projects_09)</f>
        <v>Workday management</v>
      </c>
      <c r="C117" s="285"/>
      <c r="D117" s="286"/>
      <c r="E117" s="311"/>
      <c r="F117" s="271"/>
      <c r="G117" s="271"/>
      <c r="H117" s="271"/>
      <c r="I117" s="272"/>
    </row>
    <row r="118" spans="2:9" ht="15.75" customHeight="1" outlineLevel="1" x14ac:dyDescent="0.25">
      <c r="B118" s="536" t="str">
        <f>IF(ISBLANK(dms_E12_Projects_10),"",dms_E12_Projects_10)</f>
        <v>AGIG IT Strategy &amp; Roadmap</v>
      </c>
      <c r="C118" s="285"/>
      <c r="D118" s="286"/>
      <c r="E118" s="311"/>
      <c r="F118" s="271"/>
      <c r="G118" s="271"/>
      <c r="H118" s="271"/>
      <c r="I118" s="272"/>
    </row>
    <row r="119" spans="2:9" ht="15.75" customHeight="1" outlineLevel="1" x14ac:dyDescent="0.25">
      <c r="B119" s="536" t="str">
        <f>IF(ISBLANK(dms_E12_Projects_11),"",dms_E12_Projects_11)</f>
        <v>IT Corporate Application</v>
      </c>
      <c r="C119" s="285"/>
      <c r="D119" s="286"/>
      <c r="E119" s="311"/>
      <c r="F119" s="271"/>
      <c r="G119" s="271"/>
      <c r="H119" s="271"/>
      <c r="I119" s="272"/>
    </row>
    <row r="120" spans="2:9" ht="15.75" customHeight="1" outlineLevel="1" x14ac:dyDescent="0.25">
      <c r="B120" s="536" t="str">
        <f>IF(ISBLANK(dms_E12_Projects_12),"",dms_E12_Projects_12)</f>
        <v>Cyber Security</v>
      </c>
      <c r="C120" s="285"/>
      <c r="D120" s="286"/>
      <c r="E120" s="311"/>
      <c r="F120" s="271"/>
      <c r="G120" s="271"/>
      <c r="H120" s="271"/>
      <c r="I120" s="272"/>
    </row>
    <row r="121" spans="2:9" ht="15.75" customHeight="1" outlineLevel="1" x14ac:dyDescent="0.25">
      <c r="B121" s="536" t="str">
        <f>IF(ISBLANK(dms_E12_Projects_13),"",dms_E12_Projects_13)</f>
        <v>IT Infrastructure</v>
      </c>
      <c r="C121" s="285"/>
      <c r="D121" s="286"/>
      <c r="E121" s="311"/>
      <c r="F121" s="271"/>
      <c r="G121" s="271"/>
      <c r="H121" s="271"/>
      <c r="I121" s="272"/>
    </row>
    <row r="122" spans="2:9" ht="15.75" customHeight="1" outlineLevel="1" x14ac:dyDescent="0.25">
      <c r="B122" s="536" t="str">
        <f>IF(ISBLANK(dms_E12_Projects_14),"",dms_E12_Projects_14)</f>
        <v>AGN APA IT Transition</v>
      </c>
      <c r="C122" s="285"/>
      <c r="D122" s="286"/>
      <c r="E122" s="311"/>
      <c r="F122" s="271"/>
      <c r="G122" s="271"/>
      <c r="H122" s="271"/>
      <c r="I122" s="272"/>
    </row>
    <row r="123" spans="2:9" ht="15.75" customHeight="1" outlineLevel="1" x14ac:dyDescent="0.25">
      <c r="B123" s="536" t="str">
        <f>IF(ISBLANK(dms_E12_Projects_15),"",dms_E12_Projects_15)</f>
        <v/>
      </c>
      <c r="C123" s="285"/>
      <c r="D123" s="286"/>
      <c r="E123" s="311"/>
      <c r="F123" s="271"/>
      <c r="G123" s="271"/>
      <c r="H123" s="271"/>
      <c r="I123" s="272"/>
    </row>
    <row r="124" spans="2:9" ht="15.75" customHeight="1" outlineLevel="1" thickBot="1" x14ac:dyDescent="0.3">
      <c r="B124" s="542" t="s">
        <v>152</v>
      </c>
      <c r="C124" s="287"/>
      <c r="D124" s="577"/>
      <c r="E124" s="312"/>
      <c r="F124" s="274"/>
      <c r="G124" s="274"/>
      <c r="H124" s="274"/>
      <c r="I124" s="275"/>
    </row>
    <row r="125" spans="2:9" ht="15.75" customHeight="1" outlineLevel="1" collapsed="1" thickBot="1" x14ac:dyDescent="0.3">
      <c r="B125" s="323" t="s">
        <v>120</v>
      </c>
      <c r="C125" s="2">
        <f>SUM(C109:C124)</f>
        <v>0</v>
      </c>
      <c r="D125" s="2">
        <f t="shared" ref="D125" si="20">SUM(D109:D124)</f>
        <v>0</v>
      </c>
      <c r="E125" s="2">
        <f t="shared" ref="E125" si="21">SUM(E109:E124)</f>
        <v>0</v>
      </c>
      <c r="F125" s="2">
        <f t="shared" ref="F125" si="22">SUM(F109:F124)</f>
        <v>0</v>
      </c>
      <c r="G125" s="2">
        <f t="shared" ref="G125" si="23">SUM(G109:G124)</f>
        <v>0</v>
      </c>
      <c r="H125" s="2">
        <f t="shared" ref="H125" si="24">SUM(H109:H124)</f>
        <v>0</v>
      </c>
      <c r="I125" s="563">
        <f t="shared" ref="I125" si="25">SUM(I109:I124)</f>
        <v>0</v>
      </c>
    </row>
    <row r="126" spans="2:9" ht="15.75" customHeight="1" x14ac:dyDescent="0.25">
      <c r="B126" s="75"/>
    </row>
    <row r="129" spans="1:11" ht="15.75" thickBot="1" x14ac:dyDescent="0.3"/>
    <row r="130" spans="1:11" s="317" customFormat="1" ht="24" customHeight="1" thickBot="1" x14ac:dyDescent="0.25">
      <c r="B130" s="32" t="s">
        <v>248</v>
      </c>
      <c r="C130" s="32"/>
      <c r="D130" s="32"/>
      <c r="E130" s="32"/>
      <c r="F130" s="32"/>
      <c r="G130" s="32"/>
      <c r="H130" s="32"/>
      <c r="I130" s="32"/>
      <c r="J130" s="315"/>
      <c r="K130" s="315"/>
    </row>
    <row r="131" spans="1:11" s="42" customFormat="1" ht="15" customHeight="1" outlineLevel="1" x14ac:dyDescent="0.25">
      <c r="A131" s="291"/>
      <c r="B131"/>
      <c r="C131" s="1378" t="s">
        <v>24</v>
      </c>
      <c r="D131" s="1378"/>
      <c r="E131" s="1378"/>
      <c r="F131" s="1378"/>
      <c r="G131" s="1378"/>
      <c r="H131" s="1378"/>
      <c r="I131" s="1378"/>
      <c r="J131" s="315"/>
      <c r="K131" s="315"/>
    </row>
    <row r="132" spans="1:11" s="42" customFormat="1" ht="15" customHeight="1" outlineLevel="1" x14ac:dyDescent="0.25">
      <c r="A132" s="291"/>
      <c r="B132"/>
      <c r="C132" s="1378" t="str">
        <f ca="1">CONCATENATE("$, real ",dms_DollarReal)</f>
        <v>$, real June 2026</v>
      </c>
      <c r="D132" s="1378"/>
      <c r="E132" s="1378"/>
      <c r="F132" s="1378"/>
      <c r="G132" s="1378"/>
      <c r="H132" s="1378"/>
      <c r="I132" s="1378"/>
      <c r="J132" s="315"/>
      <c r="K132" s="315"/>
    </row>
    <row r="133" spans="1:11" s="42" customFormat="1" ht="15.75" customHeight="1" outlineLevel="1" thickBot="1" x14ac:dyDescent="0.3">
      <c r="A133" s="291"/>
      <c r="B133" s="319"/>
      <c r="C133" s="314" t="str">
        <f ca="1">dms_y1</f>
        <v>2024-25</v>
      </c>
      <c r="D133" s="314" t="str">
        <f ca="1">dms_y2</f>
        <v>2025-26</v>
      </c>
      <c r="E133" s="314" t="str">
        <f ca="1">dms_y3</f>
        <v>2026-27</v>
      </c>
      <c r="F133" s="314" t="str">
        <f ca="1">dms_y4</f>
        <v>2027-28</v>
      </c>
      <c r="G133" s="314" t="str">
        <f ca="1">dms_y5</f>
        <v>2028-29</v>
      </c>
      <c r="H133" s="314" t="str">
        <f ca="1">dms_y6</f>
        <v>2029-30</v>
      </c>
      <c r="I133" s="314" t="str">
        <f ca="1">dms_y7</f>
        <v>2030-31</v>
      </c>
      <c r="K133" s="315"/>
    </row>
    <row r="134" spans="1:11" ht="21.75" customHeight="1" outlineLevel="1" thickBot="1" x14ac:dyDescent="0.3">
      <c r="B134" s="250" t="s">
        <v>233</v>
      </c>
      <c r="C134" s="251"/>
      <c r="D134" s="251"/>
      <c r="E134" s="251"/>
      <c r="F134" s="251"/>
      <c r="G134" s="251"/>
      <c r="H134" s="251"/>
      <c r="I134" s="251"/>
    </row>
    <row r="135" spans="1:11" ht="15.75" customHeight="1" outlineLevel="1" x14ac:dyDescent="0.25">
      <c r="B135" s="558" t="s">
        <v>234</v>
      </c>
      <c r="C135" s="276">
        <v>9792563.1074229665</v>
      </c>
      <c r="D135" s="278">
        <v>9902239.8142261058</v>
      </c>
      <c r="E135" s="310">
        <v>10521020.147568034</v>
      </c>
      <c r="F135" s="277">
        <v>11033804.172286579</v>
      </c>
      <c r="G135" s="277">
        <v>11397656.658327974</v>
      </c>
      <c r="H135" s="277">
        <v>11863039.388803383</v>
      </c>
      <c r="I135" s="280">
        <v>12408244.279294394</v>
      </c>
    </row>
    <row r="136" spans="1:11" ht="15.75" customHeight="1" outlineLevel="1" thickBot="1" x14ac:dyDescent="0.3">
      <c r="B136" s="536" t="s">
        <v>235</v>
      </c>
      <c r="C136" s="285"/>
      <c r="D136" s="286"/>
      <c r="E136" s="311">
        <v>257818.41468969506</v>
      </c>
      <c r="F136" s="271">
        <v>6542876.8946896959</v>
      </c>
      <c r="G136" s="271">
        <v>9118644.814689694</v>
      </c>
      <c r="H136" s="271">
        <v>3651836.2073448473</v>
      </c>
      <c r="I136" s="272">
        <v>-120626.99999999907</v>
      </c>
    </row>
    <row r="137" spans="1:11" ht="15.75" customHeight="1" outlineLevel="1" thickBot="1" x14ac:dyDescent="0.3">
      <c r="B137" s="295" t="s">
        <v>120</v>
      </c>
      <c r="C137" s="296">
        <f t="shared" ref="C137:I137" ca="1" si="26">SUM(C121:C136)</f>
        <v>9792563.1074229665</v>
      </c>
      <c r="D137" s="296">
        <f t="shared" ca="1" si="26"/>
        <v>9902239.8142261058</v>
      </c>
      <c r="E137" s="296">
        <f t="shared" ca="1" si="26"/>
        <v>10778838.562257729</v>
      </c>
      <c r="F137" s="296">
        <f t="shared" ca="1" si="26"/>
        <v>17576681.066976275</v>
      </c>
      <c r="G137" s="296">
        <f t="shared" ca="1" si="26"/>
        <v>20516301.47301767</v>
      </c>
      <c r="H137" s="296">
        <f t="shared" ca="1" si="26"/>
        <v>15514875.59614823</v>
      </c>
      <c r="I137" s="297">
        <f t="shared" ca="1" si="26"/>
        <v>12287617.279294394</v>
      </c>
    </row>
    <row r="138" spans="1:11" ht="21.75" customHeight="1" outlineLevel="1" thickBot="1" x14ac:dyDescent="0.3">
      <c r="B138" s="250" t="s">
        <v>236</v>
      </c>
      <c r="C138" s="251"/>
      <c r="D138" s="251"/>
      <c r="E138" s="251"/>
      <c r="F138" s="251"/>
      <c r="G138" s="251"/>
      <c r="H138" s="251"/>
      <c r="I138" s="251"/>
    </row>
    <row r="139" spans="1:11" ht="15.75" customHeight="1" outlineLevel="1" x14ac:dyDescent="0.25">
      <c r="B139" s="558" t="s">
        <v>234</v>
      </c>
      <c r="C139" s="276">
        <v>5251635.2699925173</v>
      </c>
      <c r="D139" s="278">
        <v>1765181.5913692976</v>
      </c>
      <c r="E139" s="310">
        <v>5441953.4759532567</v>
      </c>
      <c r="F139" s="277">
        <v>2642990.5281898328</v>
      </c>
      <c r="G139" s="277">
        <v>4068970.4448002707</v>
      </c>
      <c r="H139" s="277">
        <v>5992192.9316629283</v>
      </c>
      <c r="I139" s="280">
        <v>6929458.1122298269</v>
      </c>
    </row>
    <row r="140" spans="1:11" ht="15.75" customHeight="1" outlineLevel="1" thickBot="1" x14ac:dyDescent="0.3">
      <c r="B140" s="536" t="s">
        <v>235</v>
      </c>
      <c r="C140" s="285">
        <v>6115234.9404973574</v>
      </c>
      <c r="D140" s="286">
        <v>5946139.8883810341</v>
      </c>
      <c r="E140" s="311">
        <v>6304299.1006590668</v>
      </c>
      <c r="F140" s="271">
        <v>35352205.63923046</v>
      </c>
      <c r="G140" s="271">
        <v>7995045.5789673543</v>
      </c>
      <c r="H140" s="271">
        <v>15567765.96771585</v>
      </c>
      <c r="I140" s="272">
        <v>2041282.0954568014</v>
      </c>
    </row>
    <row r="141" spans="1:11" ht="15.75" customHeight="1" outlineLevel="1" thickBot="1" x14ac:dyDescent="0.3">
      <c r="B141" s="295" t="s">
        <v>120</v>
      </c>
      <c r="C141" s="296">
        <f>SUM(C139:C140)</f>
        <v>11366870.210489875</v>
      </c>
      <c r="D141" s="296">
        <f t="shared" ref="D141:I141" si="27">SUM(D139:D140)</f>
        <v>7711321.4797503315</v>
      </c>
      <c r="E141" s="296">
        <f t="shared" si="27"/>
        <v>11746252.576612324</v>
      </c>
      <c r="F141" s="296">
        <f t="shared" si="27"/>
        <v>37995196.16742029</v>
      </c>
      <c r="G141" s="296">
        <f t="shared" si="27"/>
        <v>12064016.023767624</v>
      </c>
      <c r="H141" s="296">
        <f t="shared" si="27"/>
        <v>21559958.899378777</v>
      </c>
      <c r="I141" s="297">
        <f t="shared" si="27"/>
        <v>8970740.2076866291</v>
      </c>
    </row>
    <row r="142" spans="1:11" outlineLevel="1" x14ac:dyDescent="0.25"/>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3" tint="-0.249977111117893"/>
  </sheetPr>
  <dimension ref="A1:I126"/>
  <sheetViews>
    <sheetView showGridLines="0" topLeftCell="A31" zoomScale="85" zoomScaleNormal="85" workbookViewId="0">
      <selection activeCell="E38" sqref="E38"/>
    </sheetView>
  </sheetViews>
  <sheetFormatPr defaultColWidth="9.140625" defaultRowHeight="15" outlineLevelRow="2" x14ac:dyDescent="0.25"/>
  <cols>
    <col min="1" max="1" width="22.7109375" customWidth="1"/>
    <col min="2" max="2" width="85.140625" customWidth="1"/>
    <col min="3" max="9" width="18.7109375" customWidth="1"/>
  </cols>
  <sheetData>
    <row r="1" spans="1:9" ht="30" customHeight="1" x14ac:dyDescent="0.25">
      <c r="A1" s="1112"/>
      <c r="B1" s="1112" t="str">
        <f>INDEX(dms_Worksheet_List,MATCH(dms_Model,dms_Model_List))</f>
        <v>REGULATORY REPORTING STATEMENT</v>
      </c>
      <c r="C1" s="26"/>
      <c r="D1" s="26"/>
      <c r="E1" s="26"/>
      <c r="F1" s="26"/>
      <c r="G1" s="1502" t="s">
        <v>96</v>
      </c>
      <c r="H1" s="1503" t="s">
        <v>97</v>
      </c>
      <c r="I1" s="26"/>
    </row>
    <row r="2" spans="1:9" ht="30" customHeight="1" x14ac:dyDescent="0.25">
      <c r="A2" s="1113"/>
      <c r="B2" s="1113" t="str">
        <f>dms_TradingNameFull</f>
        <v>Australian Gas Networks Limited (reporting data for SA)</v>
      </c>
      <c r="C2" s="26"/>
      <c r="D2" s="26"/>
      <c r="E2" s="26"/>
      <c r="F2" s="26"/>
      <c r="G2" s="1504" t="s">
        <v>98</v>
      </c>
      <c r="H2" s="1505" t="s">
        <v>92</v>
      </c>
      <c r="I2" s="26"/>
    </row>
    <row r="3" spans="1:9" ht="30" customHeight="1" x14ac:dyDescent="0.25">
      <c r="A3" s="1115"/>
      <c r="B3" s="1115" t="str">
        <f ca="1">dms_Header_Span</f>
        <v>2024-25 to 2030-31</v>
      </c>
      <c r="C3" s="26"/>
      <c r="D3" s="26"/>
      <c r="E3" s="26"/>
      <c r="F3" s="26"/>
      <c r="G3" s="1506" t="s">
        <v>99</v>
      </c>
      <c r="H3" s="1507" t="s">
        <v>100</v>
      </c>
      <c r="I3" s="26"/>
    </row>
    <row r="4" spans="1:9" ht="30" customHeight="1" x14ac:dyDescent="0.25">
      <c r="A4" s="621"/>
      <c r="B4" s="621" t="s">
        <v>249</v>
      </c>
      <c r="C4" s="621"/>
      <c r="D4" s="621"/>
      <c r="E4" s="621"/>
      <c r="F4" s="621"/>
      <c r="G4" s="1508" t="s">
        <v>102</v>
      </c>
      <c r="H4" s="1509" t="s">
        <v>103</v>
      </c>
      <c r="I4" s="621"/>
    </row>
    <row r="5" spans="1:9" ht="30" customHeight="1" x14ac:dyDescent="0.25">
      <c r="B5" s="1492" t="s">
        <v>104</v>
      </c>
      <c r="C5" s="1492"/>
      <c r="D5" s="1492"/>
      <c r="E5" s="1492"/>
      <c r="F5" s="1492"/>
      <c r="G5" s="1492"/>
      <c r="H5" s="1492"/>
      <c r="I5" s="1492"/>
    </row>
    <row r="7" spans="1:9" ht="18.75" x14ac:dyDescent="0.3">
      <c r="B7" s="523" t="s">
        <v>133</v>
      </c>
    </row>
    <row r="8" spans="1:9" x14ac:dyDescent="0.25">
      <c r="B8" s="647" t="s">
        <v>1458</v>
      </c>
    </row>
    <row r="9" spans="1:9" x14ac:dyDescent="0.25">
      <c r="B9" s="648" t="s">
        <v>1459</v>
      </c>
    </row>
    <row r="10" spans="1:9" x14ac:dyDescent="0.25">
      <c r="B10" s="648" t="s">
        <v>1460</v>
      </c>
    </row>
    <row r="11" spans="1:9" x14ac:dyDescent="0.25">
      <c r="B11" s="648" t="s">
        <v>1461</v>
      </c>
    </row>
    <row r="12" spans="1:9" x14ac:dyDescent="0.25">
      <c r="B12" s="648" t="s">
        <v>1462</v>
      </c>
    </row>
    <row r="13" spans="1:9" x14ac:dyDescent="0.25">
      <c r="B13" s="648" t="s">
        <v>1463</v>
      </c>
    </row>
    <row r="14" spans="1:9" x14ac:dyDescent="0.25">
      <c r="B14" s="648" t="s">
        <v>1464</v>
      </c>
    </row>
    <row r="15" spans="1:9" x14ac:dyDescent="0.25">
      <c r="B15" s="648" t="s">
        <v>1465</v>
      </c>
    </row>
    <row r="16" spans="1:9" x14ac:dyDescent="0.25">
      <c r="B16" s="648" t="s">
        <v>1466</v>
      </c>
    </row>
    <row r="17" spans="1:9" x14ac:dyDescent="0.25">
      <c r="B17" s="648" t="s">
        <v>1467</v>
      </c>
    </row>
    <row r="18" spans="1:9" x14ac:dyDescent="0.25">
      <c r="B18" s="648" t="s">
        <v>1468</v>
      </c>
    </row>
    <row r="19" spans="1:9" x14ac:dyDescent="0.25">
      <c r="B19" s="648" t="s">
        <v>1469</v>
      </c>
    </row>
    <row r="20" spans="1:9" x14ac:dyDescent="0.25">
      <c r="B20" s="648"/>
    </row>
    <row r="21" spans="1:9" x14ac:dyDescent="0.25">
      <c r="B21" s="648"/>
    </row>
    <row r="22" spans="1:9" x14ac:dyDescent="0.25">
      <c r="B22" s="649"/>
    </row>
    <row r="23" spans="1:9" ht="15.75" thickBot="1" x14ac:dyDescent="0.3"/>
    <row r="24" spans="1:9" s="42" customFormat="1" ht="24.75" customHeight="1" thickBot="1" x14ac:dyDescent="0.25">
      <c r="A24" s="62"/>
      <c r="B24" s="32" t="s">
        <v>250</v>
      </c>
      <c r="C24" s="32"/>
      <c r="D24" s="32"/>
      <c r="E24" s="32"/>
      <c r="F24" s="32"/>
      <c r="G24" s="32"/>
      <c r="H24" s="32"/>
      <c r="I24" s="32"/>
    </row>
    <row r="25" spans="1:9" ht="24.75" customHeight="1" outlineLevel="1" x14ac:dyDescent="0.25">
      <c r="C25" s="1378" t="s">
        <v>24</v>
      </c>
      <c r="D25" s="1378"/>
      <c r="E25" s="1378"/>
      <c r="F25" s="1378"/>
      <c r="G25" s="1378"/>
      <c r="H25" s="1378"/>
      <c r="I25" s="1378"/>
    </row>
    <row r="26" spans="1:9" s="42" customFormat="1" ht="12.75" customHeight="1" outlineLevel="1" x14ac:dyDescent="0.25">
      <c r="A26" s="291"/>
      <c r="B26"/>
      <c r="C26" s="1378" t="str">
        <f ca="1">CONCATENATE("$, real ",dms_DollarReal)</f>
        <v>$, real June 2026</v>
      </c>
      <c r="D26" s="1378"/>
      <c r="E26" s="1378"/>
      <c r="F26" s="1378"/>
      <c r="G26" s="1378"/>
      <c r="H26" s="1378"/>
      <c r="I26" s="1378"/>
    </row>
    <row r="27" spans="1:9" s="42" customFormat="1" ht="21" customHeight="1" outlineLevel="1" thickBot="1" x14ac:dyDescent="0.3">
      <c r="A27" s="291"/>
      <c r="B27" s="78"/>
      <c r="C27" s="314" t="str">
        <f ca="1">dms_y1</f>
        <v>2024-25</v>
      </c>
      <c r="D27" s="314" t="str">
        <f ca="1">dms_y2</f>
        <v>2025-26</v>
      </c>
      <c r="E27" s="314" t="str">
        <f ca="1">dms_y3</f>
        <v>2026-27</v>
      </c>
      <c r="F27" s="314" t="str">
        <f ca="1">dms_y4</f>
        <v>2027-28</v>
      </c>
      <c r="G27" s="314" t="str">
        <f ca="1">dms_y5</f>
        <v>2028-29</v>
      </c>
      <c r="H27" s="314" t="str">
        <f ca="1">dms_y6</f>
        <v>2029-30</v>
      </c>
      <c r="I27" s="314" t="str">
        <f ca="1">dms_y7</f>
        <v>2030-31</v>
      </c>
    </row>
    <row r="28" spans="1:9" ht="21.75" customHeight="1" outlineLevel="1" thickBot="1" x14ac:dyDescent="0.3">
      <c r="B28" s="250" t="s">
        <v>136</v>
      </c>
      <c r="C28" s="251"/>
      <c r="D28" s="251"/>
      <c r="E28" s="251"/>
      <c r="F28" s="251"/>
      <c r="G28" s="251"/>
      <c r="H28" s="251"/>
      <c r="I28" s="252"/>
    </row>
    <row r="29" spans="1:9" ht="15.75" customHeight="1" outlineLevel="2" x14ac:dyDescent="0.25">
      <c r="B29" s="558" t="str">
        <f>IF(ISBLANK(dms_E13_Projects_01),"",dms_E13_Projects_01)</f>
        <v>Replacement of Valves</v>
      </c>
      <c r="C29" s="276"/>
      <c r="D29" s="278"/>
      <c r="E29" s="310"/>
      <c r="F29" s="277"/>
      <c r="G29" s="277"/>
      <c r="H29" s="277"/>
      <c r="I29" s="280"/>
    </row>
    <row r="30" spans="1:9" ht="15.75" customHeight="1" outlineLevel="2" x14ac:dyDescent="0.25">
      <c r="B30" s="536" t="str">
        <f>IF(ISBLANK(dms_E13_Projects_02),"",dms_E13_Projects_02)</f>
        <v>TP Modifications for ILI</v>
      </c>
      <c r="C30" s="285"/>
      <c r="D30" s="286"/>
      <c r="E30" s="311"/>
      <c r="F30" s="271"/>
      <c r="G30" s="271"/>
      <c r="H30" s="271"/>
      <c r="I30" s="272"/>
    </row>
    <row r="31" spans="1:9" ht="15.75" customHeight="1" outlineLevel="2" x14ac:dyDescent="0.25">
      <c r="B31" s="536" t="str">
        <f>IF(ISBLANK(dms_E13_Projects_03),"",dms_E13_Projects_03)</f>
        <v>I&amp;C Overpressure risk reduction</v>
      </c>
      <c r="C31" s="285"/>
      <c r="D31" s="286"/>
      <c r="E31" s="311"/>
      <c r="F31" s="271"/>
      <c r="G31" s="271"/>
      <c r="H31" s="271"/>
      <c r="I31" s="272"/>
    </row>
    <row r="32" spans="1:9" ht="15.75" customHeight="1" outlineLevel="2" x14ac:dyDescent="0.25">
      <c r="B32" s="536" t="str">
        <f>IF(ISBLANK(dms_E13_Projects_04),"",dms_E13_Projects_04)</f>
        <v>DRS Overpressure risk reduction</v>
      </c>
      <c r="C32" s="285"/>
      <c r="D32" s="286"/>
      <c r="E32" s="311"/>
      <c r="F32" s="271"/>
      <c r="G32" s="271"/>
      <c r="H32" s="271"/>
      <c r="I32" s="272"/>
    </row>
    <row r="33" spans="2:9" ht="15.75" customHeight="1" outlineLevel="2" x14ac:dyDescent="0.25">
      <c r="B33" s="536" t="str">
        <f>IF(ISBLANK(dms_E13_Projects_05),"",dms_E13_Projects_05)</f>
        <v>DRS Operability Risk Reduction</v>
      </c>
      <c r="C33" s="285"/>
      <c r="D33" s="286"/>
      <c r="E33" s="311"/>
      <c r="F33" s="271"/>
      <c r="G33" s="271"/>
      <c r="H33" s="271"/>
      <c r="I33" s="272"/>
    </row>
    <row r="34" spans="2:9" ht="15.75" customHeight="1" outlineLevel="2" x14ac:dyDescent="0.25">
      <c r="B34" s="536" t="str">
        <f>IF(ISBLANK(dms_E13_Projects_06),"",dms_E13_Projects_06)</f>
        <v>CP Assets Replacement</v>
      </c>
      <c r="C34" s="285"/>
      <c r="D34" s="286"/>
      <c r="E34" s="311"/>
      <c r="F34" s="271"/>
      <c r="G34" s="271"/>
      <c r="H34" s="271"/>
      <c r="I34" s="272"/>
    </row>
    <row r="35" spans="2:9" ht="15.75" customHeight="1" outlineLevel="2" x14ac:dyDescent="0.25">
      <c r="B35" s="536" t="str">
        <f>IF(ISBLANK(dms_E13_Projects_07),"",dms_E13_Projects_07)</f>
        <v>Isolated Steel Sections from CP</v>
      </c>
      <c r="C35" s="285"/>
      <c r="D35" s="286"/>
      <c r="E35" s="311"/>
      <c r="F35" s="271"/>
      <c r="G35" s="271"/>
      <c r="H35" s="271"/>
      <c r="I35" s="272"/>
    </row>
    <row r="36" spans="2:9" ht="15.75" customHeight="1" outlineLevel="2" x14ac:dyDescent="0.25">
      <c r="B36" s="536" t="str">
        <f>IF(ISBLANK(dms_E13_Projects_08),"",dms_E13_Projects_08)</f>
        <v>Small Plant and Equipment</v>
      </c>
      <c r="C36" s="285"/>
      <c r="D36" s="286"/>
      <c r="E36" s="311"/>
      <c r="F36" s="271"/>
      <c r="G36" s="271"/>
      <c r="H36" s="271"/>
      <c r="I36" s="272"/>
    </row>
    <row r="37" spans="2:9" ht="15.75" customHeight="1" outlineLevel="2" x14ac:dyDescent="0.25">
      <c r="B37" s="536" t="str">
        <f>IF(ISBLANK(dms_E13_Projects_09),"",dms_E13_Projects_09)</f>
        <v>Corrosion Management of Steel Pipework</v>
      </c>
      <c r="C37" s="285"/>
      <c r="D37" s="286"/>
      <c r="E37" s="311"/>
      <c r="F37" s="271"/>
      <c r="G37" s="271"/>
      <c r="H37" s="271"/>
      <c r="I37" s="272"/>
    </row>
    <row r="38" spans="2:9" ht="15.75" customHeight="1" outlineLevel="2" x14ac:dyDescent="0.25">
      <c r="B38" s="536" t="str">
        <f>IF(ISBLANK(dms_E13_Projects_10),"",dms_E13_Projects_10)</f>
        <v>Asset Protection</v>
      </c>
      <c r="C38" s="285"/>
      <c r="D38" s="286"/>
      <c r="E38" s="311"/>
      <c r="F38" s="271"/>
      <c r="G38" s="271"/>
      <c r="H38" s="271"/>
      <c r="I38" s="272"/>
    </row>
    <row r="39" spans="2:9" ht="15.75" customHeight="1" outlineLevel="2" x14ac:dyDescent="0.25">
      <c r="B39" s="536" t="str">
        <f>IF(ISBLANK(dms_E13_Projects_11),"",dms_E13_Projects_11)</f>
        <v>End of life I&amp;C meter sets</v>
      </c>
      <c r="C39" s="285"/>
      <c r="D39" s="286"/>
      <c r="E39" s="311"/>
      <c r="F39" s="271"/>
      <c r="G39" s="271"/>
      <c r="H39" s="271"/>
      <c r="I39" s="272"/>
    </row>
    <row r="40" spans="2:9" ht="15.75" customHeight="1" outlineLevel="2" x14ac:dyDescent="0.25">
      <c r="B40" s="536" t="str">
        <f>IF(ISBLANK(dms_E13_Projects_12),"",dms_E13_Projects_12)</f>
        <v>Non-compliant domestic meter sets</v>
      </c>
      <c r="C40" s="285"/>
      <c r="D40" s="286"/>
      <c r="E40" s="311"/>
      <c r="F40" s="271"/>
      <c r="G40" s="271"/>
      <c r="H40" s="271"/>
      <c r="I40" s="272"/>
    </row>
    <row r="41" spans="2:9" ht="15.75" customHeight="1" outlineLevel="2" x14ac:dyDescent="0.25">
      <c r="B41" s="536" t="str">
        <f>IF(ISBLANK(dms_E13_Projects_13),"",dms_E13_Projects_13)</f>
        <v/>
      </c>
      <c r="C41" s="285"/>
      <c r="D41" s="286"/>
      <c r="E41" s="311"/>
      <c r="F41" s="271"/>
      <c r="G41" s="271"/>
      <c r="H41" s="271"/>
      <c r="I41" s="272"/>
    </row>
    <row r="42" spans="2:9" ht="15.75" customHeight="1" outlineLevel="2" x14ac:dyDescent="0.25">
      <c r="B42" s="536" t="str">
        <f>IF(ISBLANK(dms_E13_Projects_14),"",dms_E13_Projects_14)</f>
        <v/>
      </c>
      <c r="C42" s="285"/>
      <c r="D42" s="286"/>
      <c r="E42" s="311"/>
      <c r="F42" s="271"/>
      <c r="G42" s="271"/>
      <c r="H42" s="271"/>
      <c r="I42" s="272"/>
    </row>
    <row r="43" spans="2:9" ht="15.75" customHeight="1" outlineLevel="2" x14ac:dyDescent="0.25">
      <c r="B43" s="536" t="str">
        <f>IF(ISBLANK(dms_E13_Projects_15),"",dms_E13_Projects_15)</f>
        <v/>
      </c>
      <c r="C43" s="285"/>
      <c r="D43" s="286"/>
      <c r="E43" s="311"/>
      <c r="F43" s="271"/>
      <c r="G43" s="271"/>
      <c r="H43" s="271"/>
      <c r="I43" s="272"/>
    </row>
    <row r="44" spans="2:9" ht="15.75" customHeight="1" outlineLevel="2" thickBot="1" x14ac:dyDescent="0.3">
      <c r="B44" s="542" t="s">
        <v>152</v>
      </c>
      <c r="C44" s="287"/>
      <c r="D44" s="577"/>
      <c r="E44" s="312"/>
      <c r="F44" s="274"/>
      <c r="G44" s="274"/>
      <c r="H44" s="274"/>
      <c r="I44" s="275"/>
    </row>
    <row r="45" spans="2:9" ht="15.75" customHeight="1" outlineLevel="2" collapsed="1" thickBot="1" x14ac:dyDescent="0.3">
      <c r="B45" s="2" t="s">
        <v>120</v>
      </c>
      <c r="C45" s="2">
        <f>SUM(C29:C44)</f>
        <v>0</v>
      </c>
      <c r="D45" s="2">
        <f t="shared" ref="D45:I45" si="0">SUM(D29:D44)</f>
        <v>0</v>
      </c>
      <c r="E45" s="2">
        <f t="shared" si="0"/>
        <v>0</v>
      </c>
      <c r="F45" s="2">
        <f t="shared" si="0"/>
        <v>0</v>
      </c>
      <c r="G45" s="2">
        <f t="shared" si="0"/>
        <v>0</v>
      </c>
      <c r="H45" s="2">
        <f t="shared" si="0"/>
        <v>0</v>
      </c>
      <c r="I45" s="563">
        <f t="shared" si="0"/>
        <v>0</v>
      </c>
    </row>
    <row r="46" spans="2:9" ht="15.75" customHeight="1" outlineLevel="1" thickBot="1" x14ac:dyDescent="0.3">
      <c r="B46" s="75"/>
    </row>
    <row r="47" spans="2:9" ht="21.75" customHeight="1" outlineLevel="1" thickBot="1" x14ac:dyDescent="0.3">
      <c r="B47" s="250" t="s">
        <v>138</v>
      </c>
      <c r="C47" s="251"/>
      <c r="D47" s="251"/>
      <c r="E47" s="251"/>
      <c r="F47" s="251"/>
      <c r="G47" s="251"/>
      <c r="H47" s="251"/>
      <c r="I47" s="252"/>
    </row>
    <row r="48" spans="2:9" ht="15.75" customHeight="1" outlineLevel="2" x14ac:dyDescent="0.25">
      <c r="B48" s="558" t="str">
        <f>IF(ISBLANK(dms_E13_Projects_01),"",dms_E13_Projects_01)</f>
        <v>Replacement of Valves</v>
      </c>
      <c r="C48" s="276">
        <v>2387981.9193881773</v>
      </c>
      <c r="D48" s="278">
        <v>2000218.4346735144</v>
      </c>
      <c r="E48" s="310">
        <v>1999939.7540282852</v>
      </c>
      <c r="F48" s="277">
        <v>2480083.0436565783</v>
      </c>
      <c r="G48" s="277">
        <v>2719031.875629189</v>
      </c>
      <c r="H48" s="277">
        <v>3646237.1164967674</v>
      </c>
      <c r="I48" s="280">
        <v>2549853.9239978022</v>
      </c>
    </row>
    <row r="49" spans="2:9" ht="15.75" customHeight="1" outlineLevel="2" x14ac:dyDescent="0.25">
      <c r="B49" s="536" t="str">
        <f>IF(ISBLANK(dms_E13_Projects_02),"",dms_E13_Projects_02)</f>
        <v>TP Modifications for ILI</v>
      </c>
      <c r="C49" s="285">
        <v>3658684.4357503816</v>
      </c>
      <c r="D49" s="286">
        <v>7954034.7319955304</v>
      </c>
      <c r="E49" s="311">
        <v>7555615.1761874631</v>
      </c>
      <c r="F49" s="271">
        <v>7992695.5968114054</v>
      </c>
      <c r="G49" s="271">
        <v>7395087.0765074128</v>
      </c>
      <c r="H49" s="271">
        <v>7570035.2997833146</v>
      </c>
      <c r="I49" s="272">
        <v>7007909.8089023065</v>
      </c>
    </row>
    <row r="50" spans="2:9" ht="15.75" customHeight="1" outlineLevel="2" x14ac:dyDescent="0.25">
      <c r="B50" s="536" t="str">
        <f>IF(ISBLANK(dms_E13_Projects_03),"",dms_E13_Projects_03)</f>
        <v>I&amp;C Overpressure risk reduction</v>
      </c>
      <c r="C50" s="285">
        <v>171926.51425286874</v>
      </c>
      <c r="D50" s="286">
        <v>405530.49302016082</v>
      </c>
      <c r="E50" s="311">
        <v>0</v>
      </c>
      <c r="F50" s="271">
        <v>0</v>
      </c>
      <c r="G50" s="271">
        <v>0</v>
      </c>
      <c r="H50" s="271">
        <v>0</v>
      </c>
      <c r="I50" s="272">
        <v>0</v>
      </c>
    </row>
    <row r="51" spans="2:9" ht="15.75" customHeight="1" outlineLevel="2" x14ac:dyDescent="0.25">
      <c r="B51" s="536" t="str">
        <f>IF(ISBLANK(dms_E13_Projects_04),"",dms_E13_Projects_04)</f>
        <v>DRS Overpressure risk reduction</v>
      </c>
      <c r="C51" s="285">
        <v>1829994.0960821877</v>
      </c>
      <c r="D51" s="286">
        <v>787451.33581761562</v>
      </c>
      <c r="E51" s="311">
        <v>1661549.6544093604</v>
      </c>
      <c r="F51" s="271">
        <v>2223735.8692472898</v>
      </c>
      <c r="G51" s="271">
        <v>2577980.3037923845</v>
      </c>
      <c r="H51" s="271">
        <v>2497947.1052098223</v>
      </c>
      <c r="I51" s="272">
        <v>2698647.0553477318</v>
      </c>
    </row>
    <row r="52" spans="2:9" ht="15.75" customHeight="1" outlineLevel="2" x14ac:dyDescent="0.25">
      <c r="B52" s="536" t="str">
        <f>IF(ISBLANK(dms_E13_Projects_05),"",dms_E13_Projects_05)</f>
        <v>DRS Operability Risk Reduction</v>
      </c>
      <c r="C52" s="285">
        <v>180301.38429023416</v>
      </c>
      <c r="D52" s="286">
        <v>156077.04445757435</v>
      </c>
      <c r="E52" s="311">
        <v>0</v>
      </c>
      <c r="F52" s="271">
        <v>0</v>
      </c>
      <c r="G52" s="271">
        <v>0</v>
      </c>
      <c r="H52" s="271">
        <v>0</v>
      </c>
      <c r="I52" s="272">
        <v>0</v>
      </c>
    </row>
    <row r="53" spans="2:9" ht="15.75" customHeight="1" outlineLevel="2" x14ac:dyDescent="0.25">
      <c r="B53" s="536" t="str">
        <f>IF(ISBLANK(dms_E13_Projects_06),"",dms_E13_Projects_06)</f>
        <v>CP Assets Replacement</v>
      </c>
      <c r="C53" s="285">
        <v>508778.0824816993</v>
      </c>
      <c r="D53" s="286">
        <v>152822.20625301424</v>
      </c>
      <c r="E53" s="311">
        <v>0</v>
      </c>
      <c r="F53" s="271">
        <v>0</v>
      </c>
      <c r="G53" s="271">
        <v>0</v>
      </c>
      <c r="H53" s="271">
        <v>0</v>
      </c>
      <c r="I53" s="272">
        <v>0</v>
      </c>
    </row>
    <row r="54" spans="2:9" ht="15.75" customHeight="1" outlineLevel="2" x14ac:dyDescent="0.25">
      <c r="B54" s="536" t="str">
        <f>IF(ISBLANK(dms_E13_Projects_07),"",dms_E13_Projects_07)</f>
        <v>Isolated Steel Sections from CP</v>
      </c>
      <c r="C54" s="285">
        <v>50493.474453890623</v>
      </c>
      <c r="D54" s="286">
        <v>0</v>
      </c>
      <c r="E54" s="311">
        <v>0</v>
      </c>
      <c r="F54" s="271">
        <v>0</v>
      </c>
      <c r="G54" s="271">
        <v>0</v>
      </c>
      <c r="H54" s="271">
        <v>0</v>
      </c>
      <c r="I54" s="272">
        <v>0</v>
      </c>
    </row>
    <row r="55" spans="2:9" ht="15.75" customHeight="1" outlineLevel="2" x14ac:dyDescent="0.25">
      <c r="B55" s="536" t="str">
        <f>IF(ISBLANK(dms_E13_Projects_08),"",dms_E13_Projects_08)</f>
        <v>Small Plant and Equipment</v>
      </c>
      <c r="C55" s="285">
        <v>1468344.8635891136</v>
      </c>
      <c r="D55" s="286">
        <v>917138.44219355599</v>
      </c>
      <c r="E55" s="311">
        <v>910487.50897911831</v>
      </c>
      <c r="F55" s="271">
        <v>1039063.8162172716</v>
      </c>
      <c r="G55" s="271">
        <v>1298307.1023559873</v>
      </c>
      <c r="H55" s="271">
        <v>1520963.6344025456</v>
      </c>
      <c r="I55" s="272">
        <v>451585.07908034348</v>
      </c>
    </row>
    <row r="56" spans="2:9" ht="15.75" customHeight="1" outlineLevel="2" x14ac:dyDescent="0.25">
      <c r="B56" s="536" t="str">
        <f>IF(ISBLANK(dms_E13_Projects_09),"",dms_E13_Projects_09)</f>
        <v>Corrosion Management of Steel Pipework</v>
      </c>
      <c r="C56" s="285">
        <v>0</v>
      </c>
      <c r="D56" s="286">
        <v>0</v>
      </c>
      <c r="E56" s="311">
        <v>2813176.7854456166</v>
      </c>
      <c r="F56" s="271">
        <v>3546019.3535686675</v>
      </c>
      <c r="G56" s="271">
        <v>3176564.9140526196</v>
      </c>
      <c r="H56" s="271">
        <v>3119238.4993120106</v>
      </c>
      <c r="I56" s="272">
        <v>3267532.9023706173</v>
      </c>
    </row>
    <row r="57" spans="2:9" ht="15.75" customHeight="1" outlineLevel="2" x14ac:dyDescent="0.25">
      <c r="B57" s="536" t="str">
        <f>IF(ISBLANK(dms_E13_Projects_10),"",dms_E13_Projects_10)</f>
        <v>Asset Protection</v>
      </c>
      <c r="C57" s="285">
        <v>0</v>
      </c>
      <c r="D57" s="286">
        <v>0</v>
      </c>
      <c r="E57" s="311">
        <v>318667.76615980855</v>
      </c>
      <c r="F57" s="271">
        <v>321070.85498096701</v>
      </c>
      <c r="G57" s="271">
        <v>322493.80142785615</v>
      </c>
      <c r="H57" s="271">
        <v>324307.60538484447</v>
      </c>
      <c r="I57" s="272">
        <v>325023.56947501964</v>
      </c>
    </row>
    <row r="58" spans="2:9" ht="15.75" customHeight="1" outlineLevel="2" x14ac:dyDescent="0.25">
      <c r="B58" s="536" t="str">
        <f>IF(ISBLANK(dms_E13_Projects_11),"",dms_E13_Projects_11)</f>
        <v>End of life I&amp;C meter sets</v>
      </c>
      <c r="C58" s="285">
        <v>0</v>
      </c>
      <c r="D58" s="286">
        <v>0</v>
      </c>
      <c r="E58" s="311">
        <v>232925.47043265827</v>
      </c>
      <c r="F58" s="271">
        <v>234210.56062059416</v>
      </c>
      <c r="G58" s="271">
        <v>235567.2026940608</v>
      </c>
      <c r="H58" s="271">
        <v>237296.48967211277</v>
      </c>
      <c r="I58" s="272">
        <v>239005.18038779841</v>
      </c>
    </row>
    <row r="59" spans="2:9" ht="15.75" customHeight="1" outlineLevel="2" x14ac:dyDescent="0.25">
      <c r="B59" s="536" t="str">
        <f>IF(ISBLANK(dms_E13_Projects_12),"",dms_E13_Projects_12)</f>
        <v>Non-compliant domestic meter sets</v>
      </c>
      <c r="C59" s="285">
        <v>0</v>
      </c>
      <c r="D59" s="286">
        <v>0</v>
      </c>
      <c r="E59" s="311">
        <v>1105516.9015980461</v>
      </c>
      <c r="F59" s="271">
        <v>626312.98672763177</v>
      </c>
      <c r="G59" s="271">
        <v>631512.45496013155</v>
      </c>
      <c r="H59" s="271">
        <v>634862.00548642536</v>
      </c>
      <c r="I59" s="272">
        <v>644688.85288574907</v>
      </c>
    </row>
    <row r="60" spans="2:9" ht="15.75" customHeight="1" outlineLevel="2" x14ac:dyDescent="0.25">
      <c r="B60" s="536" t="str">
        <f>IF(ISBLANK(dms_E13_Projects_13),"",dms_E13_Projects_13)</f>
        <v/>
      </c>
      <c r="C60" s="285"/>
      <c r="D60" s="286"/>
      <c r="E60" s="311"/>
      <c r="F60" s="271"/>
      <c r="G60" s="271"/>
      <c r="H60" s="271"/>
      <c r="I60" s="272"/>
    </row>
    <row r="61" spans="2:9" ht="15.75" customHeight="1" outlineLevel="2" x14ac:dyDescent="0.25">
      <c r="B61" s="536" t="str">
        <f>IF(ISBLANK(dms_E13_Projects_14),"",dms_E13_Projects_14)</f>
        <v/>
      </c>
      <c r="C61" s="285"/>
      <c r="D61" s="286"/>
      <c r="E61" s="311"/>
      <c r="F61" s="271"/>
      <c r="G61" s="271"/>
      <c r="H61" s="271"/>
      <c r="I61" s="272"/>
    </row>
    <row r="62" spans="2:9" ht="15.75" customHeight="1" outlineLevel="2" x14ac:dyDescent="0.25">
      <c r="B62" s="536" t="str">
        <f>IF(ISBLANK(dms_E13_Projects_15),"",dms_E13_Projects_15)</f>
        <v/>
      </c>
      <c r="C62" s="285"/>
      <c r="D62" s="286"/>
      <c r="E62" s="311"/>
      <c r="F62" s="271"/>
      <c r="G62" s="271"/>
      <c r="H62" s="271"/>
      <c r="I62" s="272"/>
    </row>
    <row r="63" spans="2:9" ht="15.75" customHeight="1" outlineLevel="2" thickBot="1" x14ac:dyDescent="0.3">
      <c r="B63" s="542" t="s">
        <v>152</v>
      </c>
      <c r="C63" s="287">
        <v>2438106.7341253078</v>
      </c>
      <c r="D63" s="577">
        <v>2903132.0785751524</v>
      </c>
      <c r="E63" s="312">
        <v>3940959.4147414812</v>
      </c>
      <c r="F63" s="274">
        <v>1420796.857866979</v>
      </c>
      <c r="G63" s="274">
        <v>1342845.9583810645</v>
      </c>
      <c r="H63" s="274">
        <v>1357536.972279114</v>
      </c>
      <c r="I63" s="275">
        <v>1383117.9559887394</v>
      </c>
    </row>
    <row r="64" spans="2:9" ht="15.75" customHeight="1" outlineLevel="2" collapsed="1" thickBot="1" x14ac:dyDescent="0.3">
      <c r="B64" s="2" t="s">
        <v>120</v>
      </c>
      <c r="C64" s="2">
        <f>SUM(C48:C63)</f>
        <v>12694611.504413862</v>
      </c>
      <c r="D64" s="2">
        <f t="shared" ref="D64:I64" si="1">SUM(D48:D63)</f>
        <v>15276404.766986119</v>
      </c>
      <c r="E64" s="2">
        <f t="shared" si="1"/>
        <v>20538838.431981836</v>
      </c>
      <c r="F64" s="2">
        <f t="shared" si="1"/>
        <v>19883988.939697389</v>
      </c>
      <c r="G64" s="2">
        <f t="shared" si="1"/>
        <v>19699390.689800706</v>
      </c>
      <c r="H64" s="2">
        <f t="shared" si="1"/>
        <v>20908424.728026956</v>
      </c>
      <c r="I64" s="563">
        <f t="shared" si="1"/>
        <v>18567364.328436106</v>
      </c>
    </row>
    <row r="65" spans="2:9" ht="15.75" customHeight="1" outlineLevel="1" thickBot="1" x14ac:dyDescent="0.3"/>
    <row r="66" spans="2:9" ht="21.75" customHeight="1" outlineLevel="1" thickBot="1" x14ac:dyDescent="0.3">
      <c r="B66" s="250" t="s">
        <v>139</v>
      </c>
      <c r="C66" s="251"/>
      <c r="D66" s="251"/>
      <c r="E66" s="251"/>
      <c r="F66" s="251"/>
      <c r="G66" s="251"/>
      <c r="H66" s="251"/>
      <c r="I66" s="252"/>
    </row>
    <row r="67" spans="2:9" ht="15.75" customHeight="1" outlineLevel="2" x14ac:dyDescent="0.25">
      <c r="B67" s="558" t="str">
        <f>IF(ISBLANK(dms_E13_Projects_01),"",dms_E13_Projects_01)</f>
        <v>Replacement of Valves</v>
      </c>
      <c r="C67" s="276"/>
      <c r="D67" s="278"/>
      <c r="E67" s="310"/>
      <c r="F67" s="277"/>
      <c r="G67" s="277"/>
      <c r="H67" s="277"/>
      <c r="I67" s="280"/>
    </row>
    <row r="68" spans="2:9" ht="15.75" customHeight="1" outlineLevel="2" x14ac:dyDescent="0.25">
      <c r="B68" s="536" t="str">
        <f>IF(ISBLANK(dms_E13_Projects_02),"",dms_E13_Projects_02)</f>
        <v>TP Modifications for ILI</v>
      </c>
      <c r="C68" s="285"/>
      <c r="D68" s="286"/>
      <c r="E68" s="311"/>
      <c r="F68" s="271"/>
      <c r="G68" s="271"/>
      <c r="H68" s="271"/>
      <c r="I68" s="272"/>
    </row>
    <row r="69" spans="2:9" ht="15.75" customHeight="1" outlineLevel="2" x14ac:dyDescent="0.25">
      <c r="B69" s="536" t="str">
        <f>IF(ISBLANK(dms_E13_Projects_03),"",dms_E13_Projects_03)</f>
        <v>I&amp;C Overpressure risk reduction</v>
      </c>
      <c r="C69" s="285"/>
      <c r="D69" s="286"/>
      <c r="E69" s="311"/>
      <c r="F69" s="271"/>
      <c r="G69" s="271"/>
      <c r="H69" s="271"/>
      <c r="I69" s="272"/>
    </row>
    <row r="70" spans="2:9" ht="15.75" customHeight="1" outlineLevel="2" x14ac:dyDescent="0.25">
      <c r="B70" s="536" t="str">
        <f>IF(ISBLANK(dms_E13_Projects_04),"",dms_E13_Projects_04)</f>
        <v>DRS Overpressure risk reduction</v>
      </c>
      <c r="C70" s="285"/>
      <c r="D70" s="286"/>
      <c r="E70" s="311"/>
      <c r="F70" s="271"/>
      <c r="G70" s="271"/>
      <c r="H70" s="271"/>
      <c r="I70" s="272"/>
    </row>
    <row r="71" spans="2:9" ht="15.75" customHeight="1" outlineLevel="2" x14ac:dyDescent="0.25">
      <c r="B71" s="536" t="str">
        <f>IF(ISBLANK(dms_E13_Projects_05),"",dms_E13_Projects_05)</f>
        <v>DRS Operability Risk Reduction</v>
      </c>
      <c r="C71" s="285"/>
      <c r="D71" s="286"/>
      <c r="E71" s="311"/>
      <c r="F71" s="271"/>
      <c r="G71" s="271"/>
      <c r="H71" s="271"/>
      <c r="I71" s="272"/>
    </row>
    <row r="72" spans="2:9" ht="15.75" customHeight="1" outlineLevel="2" x14ac:dyDescent="0.25">
      <c r="B72" s="536" t="str">
        <f>IF(ISBLANK(dms_E13_Projects_06),"",dms_E13_Projects_06)</f>
        <v>CP Assets Replacement</v>
      </c>
      <c r="C72" s="285"/>
      <c r="D72" s="286"/>
      <c r="E72" s="311"/>
      <c r="F72" s="271"/>
      <c r="G72" s="271"/>
      <c r="H72" s="271"/>
      <c r="I72" s="272"/>
    </row>
    <row r="73" spans="2:9" ht="15.75" customHeight="1" outlineLevel="2" x14ac:dyDescent="0.25">
      <c r="B73" s="536" t="str">
        <f>IF(ISBLANK(dms_E13_Projects_07),"",dms_E13_Projects_07)</f>
        <v>Isolated Steel Sections from CP</v>
      </c>
      <c r="C73" s="285"/>
      <c r="D73" s="286"/>
      <c r="E73" s="311"/>
      <c r="F73" s="271"/>
      <c r="G73" s="271"/>
      <c r="H73" s="271"/>
      <c r="I73" s="272"/>
    </row>
    <row r="74" spans="2:9" ht="15.75" customHeight="1" outlineLevel="2" x14ac:dyDescent="0.25">
      <c r="B74" s="536" t="str">
        <f>IF(ISBLANK(dms_E13_Projects_08),"",dms_E13_Projects_08)</f>
        <v>Small Plant and Equipment</v>
      </c>
      <c r="C74" s="285"/>
      <c r="D74" s="286"/>
      <c r="E74" s="311"/>
      <c r="F74" s="271"/>
      <c r="G74" s="271"/>
      <c r="H74" s="271"/>
      <c r="I74" s="272"/>
    </row>
    <row r="75" spans="2:9" ht="15.75" customHeight="1" outlineLevel="2" x14ac:dyDescent="0.25">
      <c r="B75" s="536" t="str">
        <f>IF(ISBLANK(dms_E13_Projects_09),"",dms_E13_Projects_09)</f>
        <v>Corrosion Management of Steel Pipework</v>
      </c>
      <c r="C75" s="285"/>
      <c r="D75" s="286"/>
      <c r="E75" s="311"/>
      <c r="F75" s="271"/>
      <c r="G75" s="271"/>
      <c r="H75" s="271"/>
      <c r="I75" s="272"/>
    </row>
    <row r="76" spans="2:9" ht="15.75" customHeight="1" outlineLevel="2" x14ac:dyDescent="0.25">
      <c r="B76" s="536" t="str">
        <f>IF(ISBLANK(dms_E13_Projects_10),"",dms_E13_Projects_10)</f>
        <v>Asset Protection</v>
      </c>
      <c r="C76" s="285"/>
      <c r="D76" s="286"/>
      <c r="E76" s="311"/>
      <c r="F76" s="271"/>
      <c r="G76" s="271"/>
      <c r="H76" s="271"/>
      <c r="I76" s="272"/>
    </row>
    <row r="77" spans="2:9" ht="15.75" customHeight="1" outlineLevel="2" x14ac:dyDescent="0.25">
      <c r="B77" s="536" t="str">
        <f>IF(ISBLANK(dms_E13_Projects_11),"",dms_E13_Projects_11)</f>
        <v>End of life I&amp;C meter sets</v>
      </c>
      <c r="C77" s="285"/>
      <c r="D77" s="286"/>
      <c r="E77" s="311"/>
      <c r="F77" s="271"/>
      <c r="G77" s="271"/>
      <c r="H77" s="271"/>
      <c r="I77" s="272"/>
    </row>
    <row r="78" spans="2:9" ht="15.75" customHeight="1" outlineLevel="2" x14ac:dyDescent="0.25">
      <c r="B78" s="536" t="str">
        <f>IF(ISBLANK(dms_E13_Projects_12),"",dms_E13_Projects_12)</f>
        <v>Non-compliant domestic meter sets</v>
      </c>
      <c r="C78" s="285"/>
      <c r="D78" s="286"/>
      <c r="E78" s="311"/>
      <c r="F78" s="271"/>
      <c r="G78" s="271"/>
      <c r="H78" s="271"/>
      <c r="I78" s="272"/>
    </row>
    <row r="79" spans="2:9" ht="15.75" customHeight="1" outlineLevel="2" x14ac:dyDescent="0.25">
      <c r="B79" s="536" t="str">
        <f>IF(ISBLANK(dms_E13_Projects_13),"",dms_E13_Projects_13)</f>
        <v/>
      </c>
      <c r="C79" s="285"/>
      <c r="D79" s="286"/>
      <c r="E79" s="311"/>
      <c r="F79" s="271"/>
      <c r="G79" s="271"/>
      <c r="H79" s="271"/>
      <c r="I79" s="272"/>
    </row>
    <row r="80" spans="2:9" ht="15.75" customHeight="1" outlineLevel="2" x14ac:dyDescent="0.25">
      <c r="B80" s="536" t="str">
        <f>IF(ISBLANK(dms_E13_Projects_14),"",dms_E13_Projects_14)</f>
        <v/>
      </c>
      <c r="C80" s="285"/>
      <c r="D80" s="286"/>
      <c r="E80" s="311"/>
      <c r="F80" s="271"/>
      <c r="G80" s="271"/>
      <c r="H80" s="271"/>
      <c r="I80" s="272"/>
    </row>
    <row r="81" spans="2:9" ht="15.75" customHeight="1" outlineLevel="2" x14ac:dyDescent="0.25">
      <c r="B81" s="536" t="str">
        <f>IF(ISBLANK(dms_E13_Projects_15),"",dms_E13_Projects_15)</f>
        <v/>
      </c>
      <c r="C81" s="285"/>
      <c r="D81" s="286"/>
      <c r="E81" s="311"/>
      <c r="F81" s="271"/>
      <c r="G81" s="271"/>
      <c r="H81" s="271"/>
      <c r="I81" s="272"/>
    </row>
    <row r="82" spans="2:9" ht="15.75" customHeight="1" outlineLevel="2" thickBot="1" x14ac:dyDescent="0.3">
      <c r="B82" s="542" t="s">
        <v>152</v>
      </c>
      <c r="C82" s="287"/>
      <c r="D82" s="577"/>
      <c r="E82" s="312"/>
      <c r="F82" s="274"/>
      <c r="G82" s="274"/>
      <c r="H82" s="274"/>
      <c r="I82" s="275"/>
    </row>
    <row r="83" spans="2:9" ht="15.75" customHeight="1" outlineLevel="2" collapsed="1" thickBot="1" x14ac:dyDescent="0.3">
      <c r="B83" s="2" t="s">
        <v>120</v>
      </c>
      <c r="C83" s="2">
        <f>SUM(C67:C82)</f>
        <v>0</v>
      </c>
      <c r="D83" s="2">
        <f t="shared" ref="D83:I83" si="2">SUM(D67:D82)</f>
        <v>0</v>
      </c>
      <c r="E83" s="2">
        <f t="shared" si="2"/>
        <v>0</v>
      </c>
      <c r="F83" s="2">
        <f t="shared" si="2"/>
        <v>0</v>
      </c>
      <c r="G83" s="2">
        <f t="shared" si="2"/>
        <v>0</v>
      </c>
      <c r="H83" s="2">
        <f t="shared" si="2"/>
        <v>0</v>
      </c>
      <c r="I83" s="563">
        <f t="shared" si="2"/>
        <v>0</v>
      </c>
    </row>
    <row r="84" spans="2:9" ht="15.75" customHeight="1" outlineLevel="1" thickBot="1" x14ac:dyDescent="0.3">
      <c r="B84" s="75"/>
    </row>
    <row r="85" spans="2:9" ht="21.75" customHeight="1" outlineLevel="1" thickBot="1" x14ac:dyDescent="0.3">
      <c r="B85" s="250" t="s">
        <v>140</v>
      </c>
      <c r="C85" s="251"/>
      <c r="D85" s="251"/>
      <c r="E85" s="251"/>
      <c r="F85" s="251"/>
      <c r="G85" s="251"/>
      <c r="H85" s="251"/>
      <c r="I85" s="252"/>
    </row>
    <row r="86" spans="2:9" ht="15.75" customHeight="1" outlineLevel="2" x14ac:dyDescent="0.25">
      <c r="B86" s="558" t="str">
        <f>IF(ISBLANK(dms_E13_Projects_01),"",dms_E13_Projects_01)</f>
        <v>Replacement of Valves</v>
      </c>
      <c r="C86" s="276"/>
      <c r="D86" s="278"/>
      <c r="E86" s="310"/>
      <c r="F86" s="277"/>
      <c r="G86" s="277"/>
      <c r="H86" s="277"/>
      <c r="I86" s="280"/>
    </row>
    <row r="87" spans="2:9" ht="15.75" customHeight="1" outlineLevel="2" x14ac:dyDescent="0.25">
      <c r="B87" s="536" t="str">
        <f>IF(ISBLANK(dms_E13_Projects_02),"",dms_E13_Projects_02)</f>
        <v>TP Modifications for ILI</v>
      </c>
      <c r="C87" s="285"/>
      <c r="D87" s="286"/>
      <c r="E87" s="311"/>
      <c r="F87" s="271"/>
      <c r="G87" s="271"/>
      <c r="H87" s="271"/>
      <c r="I87" s="272"/>
    </row>
    <row r="88" spans="2:9" ht="15.75" customHeight="1" outlineLevel="2" x14ac:dyDescent="0.25">
      <c r="B88" s="536" t="str">
        <f>IF(ISBLANK(dms_E13_Projects_03),"",dms_E13_Projects_03)</f>
        <v>I&amp;C Overpressure risk reduction</v>
      </c>
      <c r="C88" s="285"/>
      <c r="D88" s="286"/>
      <c r="E88" s="311"/>
      <c r="F88" s="271"/>
      <c r="G88" s="271"/>
      <c r="H88" s="271"/>
      <c r="I88" s="272"/>
    </row>
    <row r="89" spans="2:9" ht="15.75" customHeight="1" outlineLevel="2" x14ac:dyDescent="0.25">
      <c r="B89" s="536" t="str">
        <f>IF(ISBLANK(dms_E13_Projects_04),"",dms_E13_Projects_04)</f>
        <v>DRS Overpressure risk reduction</v>
      </c>
      <c r="C89" s="285"/>
      <c r="D89" s="286"/>
      <c r="E89" s="311"/>
      <c r="F89" s="271"/>
      <c r="G89" s="271"/>
      <c r="H89" s="271"/>
      <c r="I89" s="272"/>
    </row>
    <row r="90" spans="2:9" ht="15.75" customHeight="1" outlineLevel="2" x14ac:dyDescent="0.25">
      <c r="B90" s="536" t="str">
        <f>IF(ISBLANK(dms_E13_Projects_05),"",dms_E13_Projects_05)</f>
        <v>DRS Operability Risk Reduction</v>
      </c>
      <c r="C90" s="285"/>
      <c r="D90" s="286"/>
      <c r="E90" s="311"/>
      <c r="F90" s="271"/>
      <c r="G90" s="271"/>
      <c r="H90" s="271"/>
      <c r="I90" s="272"/>
    </row>
    <row r="91" spans="2:9" ht="15.75" customHeight="1" outlineLevel="2" x14ac:dyDescent="0.25">
      <c r="B91" s="536" t="str">
        <f>IF(ISBLANK(dms_E13_Projects_06),"",dms_E13_Projects_06)</f>
        <v>CP Assets Replacement</v>
      </c>
      <c r="C91" s="285"/>
      <c r="D91" s="286"/>
      <c r="E91" s="311"/>
      <c r="F91" s="271"/>
      <c r="G91" s="271"/>
      <c r="H91" s="271"/>
      <c r="I91" s="272"/>
    </row>
    <row r="92" spans="2:9" ht="15.75" customHeight="1" outlineLevel="2" x14ac:dyDescent="0.25">
      <c r="B92" s="536" t="str">
        <f>IF(ISBLANK(dms_E13_Projects_07),"",dms_E13_Projects_07)</f>
        <v>Isolated Steel Sections from CP</v>
      </c>
      <c r="C92" s="285"/>
      <c r="D92" s="286"/>
      <c r="E92" s="311"/>
      <c r="F92" s="271"/>
      <c r="G92" s="271"/>
      <c r="H92" s="271"/>
      <c r="I92" s="272"/>
    </row>
    <row r="93" spans="2:9" ht="15.75" customHeight="1" outlineLevel="2" x14ac:dyDescent="0.25">
      <c r="B93" s="536" t="str">
        <f>IF(ISBLANK(dms_E13_Projects_08),"",dms_E13_Projects_08)</f>
        <v>Small Plant and Equipment</v>
      </c>
      <c r="C93" s="285"/>
      <c r="D93" s="286"/>
      <c r="E93" s="311"/>
      <c r="F93" s="271"/>
      <c r="G93" s="271"/>
      <c r="H93" s="271"/>
      <c r="I93" s="272"/>
    </row>
    <row r="94" spans="2:9" ht="15.75" customHeight="1" outlineLevel="2" x14ac:dyDescent="0.25">
      <c r="B94" s="536" t="str">
        <f>IF(ISBLANK(dms_E13_Projects_09),"",dms_E13_Projects_09)</f>
        <v>Corrosion Management of Steel Pipework</v>
      </c>
      <c r="C94" s="285"/>
      <c r="D94" s="286"/>
      <c r="E94" s="311"/>
      <c r="F94" s="271"/>
      <c r="G94" s="271"/>
      <c r="H94" s="271"/>
      <c r="I94" s="272"/>
    </row>
    <row r="95" spans="2:9" ht="15.75" customHeight="1" outlineLevel="2" x14ac:dyDescent="0.25">
      <c r="B95" s="536" t="str">
        <f>IF(ISBLANK(dms_E13_Projects_10),"",dms_E13_Projects_10)</f>
        <v>Asset Protection</v>
      </c>
      <c r="C95" s="285"/>
      <c r="D95" s="286"/>
      <c r="E95" s="311"/>
      <c r="F95" s="271"/>
      <c r="G95" s="271"/>
      <c r="H95" s="271"/>
      <c r="I95" s="272"/>
    </row>
    <row r="96" spans="2:9" ht="15.75" customHeight="1" outlineLevel="2" x14ac:dyDescent="0.25">
      <c r="B96" s="536" t="str">
        <f>IF(ISBLANK(dms_E13_Projects_11),"",dms_E13_Projects_11)</f>
        <v>End of life I&amp;C meter sets</v>
      </c>
      <c r="C96" s="285"/>
      <c r="D96" s="286"/>
      <c r="E96" s="311"/>
      <c r="F96" s="271"/>
      <c r="G96" s="271"/>
      <c r="H96" s="271"/>
      <c r="I96" s="272"/>
    </row>
    <row r="97" spans="2:9" ht="15.75" customHeight="1" outlineLevel="2" x14ac:dyDescent="0.25">
      <c r="B97" s="536" t="str">
        <f>IF(ISBLANK(dms_E13_Projects_12),"",dms_E13_Projects_12)</f>
        <v>Non-compliant domestic meter sets</v>
      </c>
      <c r="C97" s="285"/>
      <c r="D97" s="286"/>
      <c r="E97" s="311"/>
      <c r="F97" s="271"/>
      <c r="G97" s="271"/>
      <c r="H97" s="271"/>
      <c r="I97" s="272"/>
    </row>
    <row r="98" spans="2:9" ht="15.75" customHeight="1" outlineLevel="2" x14ac:dyDescent="0.25">
      <c r="B98" s="536" t="str">
        <f>IF(ISBLANK(dms_E13_Projects_13),"",dms_E13_Projects_13)</f>
        <v/>
      </c>
      <c r="C98" s="285"/>
      <c r="D98" s="286"/>
      <c r="E98" s="311"/>
      <c r="F98" s="271"/>
      <c r="G98" s="271"/>
      <c r="H98" s="271"/>
      <c r="I98" s="272"/>
    </row>
    <row r="99" spans="2:9" ht="15.75" customHeight="1" outlineLevel="2" x14ac:dyDescent="0.25">
      <c r="B99" s="536" t="str">
        <f>IF(ISBLANK(dms_E13_Projects_14),"",dms_E13_Projects_14)</f>
        <v/>
      </c>
      <c r="C99" s="285"/>
      <c r="D99" s="286"/>
      <c r="E99" s="311"/>
      <c r="F99" s="271"/>
      <c r="G99" s="271"/>
      <c r="H99" s="271"/>
      <c r="I99" s="272"/>
    </row>
    <row r="100" spans="2:9" ht="15.75" customHeight="1" outlineLevel="2" x14ac:dyDescent="0.25">
      <c r="B100" s="536" t="str">
        <f>IF(ISBLANK(dms_E13_Projects_15),"",dms_E13_Projects_15)</f>
        <v/>
      </c>
      <c r="C100" s="285"/>
      <c r="D100" s="286"/>
      <c r="E100" s="311"/>
      <c r="F100" s="271"/>
      <c r="G100" s="271"/>
      <c r="H100" s="271"/>
      <c r="I100" s="272"/>
    </row>
    <row r="101" spans="2:9" ht="15.75" customHeight="1" outlineLevel="2" thickBot="1" x14ac:dyDescent="0.3">
      <c r="B101" s="542" t="s">
        <v>152</v>
      </c>
      <c r="C101" s="287"/>
      <c r="D101" s="577"/>
      <c r="E101" s="312"/>
      <c r="F101" s="274"/>
      <c r="G101" s="274"/>
      <c r="H101" s="274"/>
      <c r="I101" s="275"/>
    </row>
    <row r="102" spans="2:9" ht="15.75" customHeight="1" outlineLevel="2" collapsed="1" thickBot="1" x14ac:dyDescent="0.3">
      <c r="B102" s="2" t="s">
        <v>120</v>
      </c>
      <c r="C102" s="2">
        <f>SUM(C86:C101)</f>
        <v>0</v>
      </c>
      <c r="D102" s="2">
        <f t="shared" ref="D102:I102" si="3">SUM(D86:D101)</f>
        <v>0</v>
      </c>
      <c r="E102" s="2">
        <f t="shared" si="3"/>
        <v>0</v>
      </c>
      <c r="F102" s="2">
        <f t="shared" si="3"/>
        <v>0</v>
      </c>
      <c r="G102" s="2">
        <f t="shared" si="3"/>
        <v>0</v>
      </c>
      <c r="H102" s="2">
        <f t="shared" si="3"/>
        <v>0</v>
      </c>
      <c r="I102" s="563">
        <f t="shared" si="3"/>
        <v>0</v>
      </c>
    </row>
    <row r="103" spans="2:9" ht="15.75" customHeight="1" outlineLevel="1" thickBot="1" x14ac:dyDescent="0.3">
      <c r="B103" s="75"/>
    </row>
    <row r="104" spans="2:9" ht="21.75" customHeight="1" outlineLevel="1" thickBot="1" x14ac:dyDescent="0.3">
      <c r="B104" s="250" t="s">
        <v>141</v>
      </c>
      <c r="C104" s="251"/>
      <c r="D104" s="251"/>
      <c r="E104" s="251"/>
      <c r="F104" s="251"/>
      <c r="G104" s="251"/>
      <c r="H104" s="251"/>
      <c r="I104" s="252"/>
    </row>
    <row r="105" spans="2:9" ht="15.75" customHeight="1" outlineLevel="2" thickBot="1" x14ac:dyDescent="0.3">
      <c r="B105" s="542" t="s">
        <v>120</v>
      </c>
      <c r="C105" s="287"/>
      <c r="D105" s="577"/>
      <c r="E105" s="312"/>
      <c r="F105" s="274"/>
      <c r="G105" s="274"/>
      <c r="H105" s="274"/>
      <c r="I105" s="275"/>
    </row>
    <row r="106" spans="2:9" ht="15.75" customHeight="1" outlineLevel="2" collapsed="1" thickBot="1" x14ac:dyDescent="0.3">
      <c r="B106" s="2" t="s">
        <v>120</v>
      </c>
      <c r="C106" s="2">
        <f t="shared" ref="C106:I106" si="4">SUM(C105:C105)</f>
        <v>0</v>
      </c>
      <c r="D106" s="2">
        <f t="shared" si="4"/>
        <v>0</v>
      </c>
      <c r="E106" s="2">
        <f t="shared" si="4"/>
        <v>0</v>
      </c>
      <c r="F106" s="2">
        <f t="shared" si="4"/>
        <v>0</v>
      </c>
      <c r="G106" s="2">
        <f t="shared" si="4"/>
        <v>0</v>
      </c>
      <c r="H106" s="2">
        <f t="shared" si="4"/>
        <v>0</v>
      </c>
      <c r="I106" s="563">
        <f t="shared" si="4"/>
        <v>0</v>
      </c>
    </row>
    <row r="107" spans="2:9" ht="15.75" customHeight="1" outlineLevel="1" thickBot="1" x14ac:dyDescent="0.3">
      <c r="B107" s="75"/>
    </row>
    <row r="108" spans="2:9" ht="21.75" customHeight="1" outlineLevel="1" thickBot="1" x14ac:dyDescent="0.3">
      <c r="B108" s="250" t="s">
        <v>142</v>
      </c>
      <c r="C108" s="251"/>
      <c r="D108" s="251"/>
      <c r="E108" s="251"/>
      <c r="F108" s="251"/>
      <c r="G108" s="251"/>
      <c r="H108" s="251"/>
      <c r="I108" s="252"/>
    </row>
    <row r="109" spans="2:9" ht="15.75" customHeight="1" outlineLevel="2" x14ac:dyDescent="0.25">
      <c r="B109" s="558" t="str">
        <f>IF(ISBLANK(dms_E13_Projects_01),"",dms_E13_Projects_01)</f>
        <v>Replacement of Valves</v>
      </c>
      <c r="C109" s="276"/>
      <c r="D109" s="278"/>
      <c r="E109" s="310"/>
      <c r="F109" s="277"/>
      <c r="G109" s="277"/>
      <c r="H109" s="277"/>
      <c r="I109" s="280"/>
    </row>
    <row r="110" spans="2:9" ht="15.75" customHeight="1" outlineLevel="2" x14ac:dyDescent="0.25">
      <c r="B110" s="536" t="str">
        <f>IF(ISBLANK(dms_E13_Projects_02),"",dms_E13_Projects_02)</f>
        <v>TP Modifications for ILI</v>
      </c>
      <c r="C110" s="285"/>
      <c r="D110" s="286"/>
      <c r="E110" s="311"/>
      <c r="F110" s="271"/>
      <c r="G110" s="271"/>
      <c r="H110" s="271"/>
      <c r="I110" s="272"/>
    </row>
    <row r="111" spans="2:9" ht="15.75" customHeight="1" outlineLevel="2" x14ac:dyDescent="0.25">
      <c r="B111" s="536" t="str">
        <f>IF(ISBLANK(dms_E13_Projects_03),"",dms_E13_Projects_03)</f>
        <v>I&amp;C Overpressure risk reduction</v>
      </c>
      <c r="C111" s="285"/>
      <c r="D111" s="286"/>
      <c r="E111" s="311"/>
      <c r="F111" s="271"/>
      <c r="G111" s="271"/>
      <c r="H111" s="271"/>
      <c r="I111" s="272"/>
    </row>
    <row r="112" spans="2:9" ht="15.75" customHeight="1" outlineLevel="2" x14ac:dyDescent="0.25">
      <c r="B112" s="536" t="str">
        <f>IF(ISBLANK(dms_E13_Projects_04),"",dms_E13_Projects_04)</f>
        <v>DRS Overpressure risk reduction</v>
      </c>
      <c r="C112" s="285"/>
      <c r="D112" s="286"/>
      <c r="E112" s="311"/>
      <c r="F112" s="271"/>
      <c r="G112" s="271"/>
      <c r="H112" s="271"/>
      <c r="I112" s="272"/>
    </row>
    <row r="113" spans="2:9" ht="15.75" customHeight="1" outlineLevel="2" x14ac:dyDescent="0.25">
      <c r="B113" s="536" t="str">
        <f>IF(ISBLANK(dms_E13_Projects_05),"",dms_E13_Projects_05)</f>
        <v>DRS Operability Risk Reduction</v>
      </c>
      <c r="C113" s="285"/>
      <c r="D113" s="286"/>
      <c r="E113" s="311"/>
      <c r="F113" s="271"/>
      <c r="G113" s="271"/>
      <c r="H113" s="271"/>
      <c r="I113" s="272"/>
    </row>
    <row r="114" spans="2:9" ht="15.75" customHeight="1" outlineLevel="2" x14ac:dyDescent="0.25">
      <c r="B114" s="536" t="str">
        <f>IF(ISBLANK(dms_E13_Projects_06),"",dms_E13_Projects_06)</f>
        <v>CP Assets Replacement</v>
      </c>
      <c r="C114" s="285"/>
      <c r="D114" s="286"/>
      <c r="E114" s="311"/>
      <c r="F114" s="271"/>
      <c r="G114" s="271"/>
      <c r="H114" s="271"/>
      <c r="I114" s="272"/>
    </row>
    <row r="115" spans="2:9" ht="15.75" customHeight="1" outlineLevel="2" x14ac:dyDescent="0.25">
      <c r="B115" s="536" t="str">
        <f>IF(ISBLANK(dms_E13_Projects_07),"",dms_E13_Projects_07)</f>
        <v>Isolated Steel Sections from CP</v>
      </c>
      <c r="C115" s="285"/>
      <c r="D115" s="286"/>
      <c r="E115" s="311"/>
      <c r="F115" s="271"/>
      <c r="G115" s="271"/>
      <c r="H115" s="271"/>
      <c r="I115" s="272"/>
    </row>
    <row r="116" spans="2:9" ht="15.75" customHeight="1" outlineLevel="2" x14ac:dyDescent="0.25">
      <c r="B116" s="536" t="str">
        <f>IF(ISBLANK(dms_E13_Projects_08),"",dms_E13_Projects_08)</f>
        <v>Small Plant and Equipment</v>
      </c>
      <c r="C116" s="285"/>
      <c r="D116" s="286"/>
      <c r="E116" s="311"/>
      <c r="F116" s="271"/>
      <c r="G116" s="271"/>
      <c r="H116" s="271"/>
      <c r="I116" s="272"/>
    </row>
    <row r="117" spans="2:9" ht="15.75" customHeight="1" outlineLevel="2" x14ac:dyDescent="0.25">
      <c r="B117" s="536" t="str">
        <f>IF(ISBLANK(dms_E13_Projects_09),"",dms_E13_Projects_09)</f>
        <v>Corrosion Management of Steel Pipework</v>
      </c>
      <c r="C117" s="285"/>
      <c r="D117" s="286"/>
      <c r="E117" s="311"/>
      <c r="F117" s="271"/>
      <c r="G117" s="271"/>
      <c r="H117" s="271"/>
      <c r="I117" s="272"/>
    </row>
    <row r="118" spans="2:9" ht="15.75" customHeight="1" outlineLevel="2" x14ac:dyDescent="0.25">
      <c r="B118" s="536" t="str">
        <f>IF(ISBLANK(dms_E13_Projects_10),"",dms_E13_Projects_10)</f>
        <v>Asset Protection</v>
      </c>
      <c r="C118" s="285"/>
      <c r="D118" s="286"/>
      <c r="E118" s="311"/>
      <c r="F118" s="271"/>
      <c r="G118" s="271"/>
      <c r="H118" s="271"/>
      <c r="I118" s="272"/>
    </row>
    <row r="119" spans="2:9" ht="15.75" customHeight="1" outlineLevel="2" x14ac:dyDescent="0.25">
      <c r="B119" s="536" t="str">
        <f>IF(ISBLANK(dms_E13_Projects_11),"",dms_E13_Projects_11)</f>
        <v>End of life I&amp;C meter sets</v>
      </c>
      <c r="C119" s="285"/>
      <c r="D119" s="286"/>
      <c r="E119" s="311"/>
      <c r="F119" s="271"/>
      <c r="G119" s="271"/>
      <c r="H119" s="271"/>
      <c r="I119" s="272"/>
    </row>
    <row r="120" spans="2:9" ht="15.75" customHeight="1" outlineLevel="2" x14ac:dyDescent="0.25">
      <c r="B120" s="536" t="str">
        <f>IF(ISBLANK(dms_E13_Projects_12),"",dms_E13_Projects_12)</f>
        <v>Non-compliant domestic meter sets</v>
      </c>
      <c r="C120" s="285"/>
      <c r="D120" s="286"/>
      <c r="E120" s="311"/>
      <c r="F120" s="271"/>
      <c r="G120" s="271"/>
      <c r="H120" s="271"/>
      <c r="I120" s="272"/>
    </row>
    <row r="121" spans="2:9" ht="15.75" customHeight="1" outlineLevel="2" x14ac:dyDescent="0.25">
      <c r="B121" s="536" t="str">
        <f>IF(ISBLANK(dms_E13_Projects_13),"",dms_E13_Projects_13)</f>
        <v/>
      </c>
      <c r="C121" s="285"/>
      <c r="D121" s="286"/>
      <c r="E121" s="311"/>
      <c r="F121" s="271"/>
      <c r="G121" s="271"/>
      <c r="H121" s="271"/>
      <c r="I121" s="272"/>
    </row>
    <row r="122" spans="2:9" ht="15.75" customHeight="1" outlineLevel="2" x14ac:dyDescent="0.25">
      <c r="B122" s="536" t="str">
        <f>IF(ISBLANK(dms_E13_Projects_14),"",dms_E13_Projects_14)</f>
        <v/>
      </c>
      <c r="C122" s="285"/>
      <c r="D122" s="286"/>
      <c r="E122" s="311"/>
      <c r="F122" s="271"/>
      <c r="G122" s="271"/>
      <c r="H122" s="271"/>
      <c r="I122" s="272"/>
    </row>
    <row r="123" spans="2:9" ht="15.75" customHeight="1" outlineLevel="2" x14ac:dyDescent="0.25">
      <c r="B123" s="536" t="str">
        <f>IF(ISBLANK(dms_E13_Projects_15),"",dms_E13_Projects_15)</f>
        <v/>
      </c>
      <c r="C123" s="285"/>
      <c r="D123" s="286"/>
      <c r="E123" s="311"/>
      <c r="F123" s="271"/>
      <c r="G123" s="271"/>
      <c r="H123" s="271"/>
      <c r="I123" s="272"/>
    </row>
    <row r="124" spans="2:9" ht="15.75" customHeight="1" outlineLevel="2" thickBot="1" x14ac:dyDescent="0.3">
      <c r="B124" s="542" t="s">
        <v>152</v>
      </c>
      <c r="C124" s="287"/>
      <c r="D124" s="577"/>
      <c r="E124" s="312"/>
      <c r="F124" s="274"/>
      <c r="G124" s="274"/>
      <c r="H124" s="274"/>
      <c r="I124" s="275"/>
    </row>
    <row r="125" spans="2:9" ht="15.75" customHeight="1" outlineLevel="2" collapsed="1" thickBot="1" x14ac:dyDescent="0.3">
      <c r="B125" s="2" t="s">
        <v>120</v>
      </c>
      <c r="C125" s="2">
        <f>SUM(C109:C124)</f>
        <v>0</v>
      </c>
      <c r="D125" s="2">
        <f t="shared" ref="D125:I125" si="5">SUM(D109:D124)</f>
        <v>0</v>
      </c>
      <c r="E125" s="2">
        <f t="shared" si="5"/>
        <v>0</v>
      </c>
      <c r="F125" s="2">
        <f t="shared" si="5"/>
        <v>0</v>
      </c>
      <c r="G125" s="2">
        <f t="shared" si="5"/>
        <v>0</v>
      </c>
      <c r="H125" s="2">
        <f t="shared" si="5"/>
        <v>0</v>
      </c>
      <c r="I125" s="563">
        <f t="shared" si="5"/>
        <v>0</v>
      </c>
    </row>
    <row r="126" spans="2:9" ht="15.75" customHeight="1" outlineLevel="1" x14ac:dyDescent="0.25">
      <c r="B126" s="7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3" tint="-0.249977111117893"/>
  </sheetPr>
  <dimension ref="A1:K71"/>
  <sheetViews>
    <sheetView showGridLines="0" topLeftCell="B12" zoomScaleNormal="100" workbookViewId="0">
      <selection activeCell="J61" sqref="J61"/>
    </sheetView>
  </sheetViews>
  <sheetFormatPr defaultColWidth="9.140625" defaultRowHeight="15" outlineLevelRow="1" x14ac:dyDescent="0.25"/>
  <cols>
    <col min="1" max="1" width="22.7109375" customWidth="1"/>
    <col min="2" max="2" width="67.5703125" customWidth="1"/>
    <col min="3" max="3" width="63.7109375" customWidth="1"/>
    <col min="4" max="10" width="20.7109375" customWidth="1"/>
  </cols>
  <sheetData>
    <row r="1" spans="1:11" ht="30" customHeight="1" x14ac:dyDescent="0.25">
      <c r="A1" s="1112"/>
      <c r="B1" s="1112" t="str">
        <f>INDEX(dms_Worksheet_List,MATCH(dms_Model,dms_Model_List))</f>
        <v>REGULATORY REPORTING STATEMENT</v>
      </c>
      <c r="C1" s="26"/>
      <c r="D1" s="26"/>
      <c r="E1" s="26"/>
      <c r="F1" s="26"/>
      <c r="G1" s="1502" t="s">
        <v>96</v>
      </c>
      <c r="H1" s="1503" t="s">
        <v>97</v>
      </c>
      <c r="I1" s="26"/>
      <c r="J1" s="26"/>
    </row>
    <row r="2" spans="1:11" ht="30" customHeight="1" x14ac:dyDescent="0.25">
      <c r="A2" s="1113"/>
      <c r="B2" s="1113" t="str">
        <f>dms_TradingNameFull</f>
        <v>Australian Gas Networks Limited (reporting data for SA)</v>
      </c>
      <c r="C2" s="26"/>
      <c r="D2" s="26"/>
      <c r="E2" s="26"/>
      <c r="F2" s="26"/>
      <c r="G2" s="1504" t="s">
        <v>98</v>
      </c>
      <c r="H2" s="1505" t="s">
        <v>92</v>
      </c>
      <c r="I2" s="26"/>
      <c r="J2" s="26"/>
    </row>
    <row r="3" spans="1:11" ht="30" customHeight="1" x14ac:dyDescent="0.25">
      <c r="A3" s="1115"/>
      <c r="B3" s="1115" t="str">
        <f ca="1">dms_Header_Span</f>
        <v>2024-25 to 2030-31</v>
      </c>
      <c r="C3" s="26"/>
      <c r="D3" s="26"/>
      <c r="E3" s="26"/>
      <c r="F3" s="26"/>
      <c r="G3" s="1506" t="s">
        <v>99</v>
      </c>
      <c r="H3" s="1507" t="s">
        <v>100</v>
      </c>
      <c r="I3" s="26"/>
      <c r="J3" s="26"/>
    </row>
    <row r="4" spans="1:11" ht="30" customHeight="1" x14ac:dyDescent="0.25">
      <c r="A4" s="621"/>
      <c r="B4" s="621" t="s">
        <v>251</v>
      </c>
      <c r="C4" s="621"/>
      <c r="D4" s="621"/>
      <c r="E4" s="621"/>
      <c r="F4" s="621"/>
      <c r="G4" s="1508" t="s">
        <v>102</v>
      </c>
      <c r="H4" s="1509" t="s">
        <v>103</v>
      </c>
      <c r="I4" s="621"/>
      <c r="J4" s="621"/>
    </row>
    <row r="5" spans="1:11" ht="30" customHeight="1" x14ac:dyDescent="0.25">
      <c r="B5" s="1492" t="s">
        <v>104</v>
      </c>
      <c r="C5" s="1492"/>
      <c r="D5" s="1492"/>
      <c r="E5" s="1492"/>
      <c r="F5" s="1492"/>
      <c r="G5" s="1492"/>
      <c r="H5" s="1492"/>
      <c r="I5" s="1492"/>
      <c r="J5" s="1492"/>
    </row>
    <row r="6" spans="1:11" ht="15.75" thickBot="1" x14ac:dyDescent="0.3"/>
    <row r="7" spans="1:11" s="412" customFormat="1" ht="24.95" customHeight="1" thickBot="1" x14ac:dyDescent="0.3">
      <c r="A7" s="411"/>
      <c r="B7" s="32" t="s">
        <v>252</v>
      </c>
      <c r="C7" s="32"/>
      <c r="D7" s="32"/>
      <c r="E7" s="32"/>
      <c r="F7" s="32"/>
      <c r="G7" s="32"/>
      <c r="H7" s="32"/>
      <c r="I7" s="32"/>
      <c r="J7" s="32"/>
      <c r="K7"/>
    </row>
    <row r="8" spans="1:11" s="416" customFormat="1" ht="29.25" customHeight="1" thickBot="1" x14ac:dyDescent="0.35">
      <c r="A8" s="413"/>
      <c r="B8" s="414" t="s">
        <v>253</v>
      </c>
      <c r="C8" s="263"/>
      <c r="D8" s="263"/>
      <c r="E8" s="263"/>
      <c r="F8" s="263"/>
      <c r="G8" s="263"/>
      <c r="H8" s="263"/>
      <c r="I8" s="263"/>
      <c r="J8" s="415"/>
      <c r="K8"/>
    </row>
    <row r="9" spans="1:11" s="418" customFormat="1" ht="21.75" customHeight="1" outlineLevel="1" x14ac:dyDescent="0.25">
      <c r="A9" s="43"/>
      <c r="B9" s="417"/>
      <c r="C9" s="417"/>
      <c r="D9" s="1379" t="s">
        <v>24</v>
      </c>
      <c r="E9" s="1379"/>
      <c r="F9" s="1379"/>
      <c r="G9" s="1379"/>
      <c r="H9" s="1379"/>
      <c r="I9" s="1379"/>
      <c r="J9" s="1380"/>
    </row>
    <row r="10" spans="1:11" s="418" customFormat="1" ht="29.25" customHeight="1" outlineLevel="1" x14ac:dyDescent="0.25">
      <c r="A10" s="43"/>
      <c r="B10" s="417"/>
      <c r="C10" s="419"/>
      <c r="D10" s="1378" t="str">
        <f ca="1">CONCATENATE("$, real ",dms_DollarReal)</f>
        <v>$, real June 2026</v>
      </c>
      <c r="E10" s="1378"/>
      <c r="F10" s="1378"/>
      <c r="G10" s="1378"/>
      <c r="H10" s="1378"/>
      <c r="I10" s="1378"/>
      <c r="J10" s="1381"/>
    </row>
    <row r="11" spans="1:11" s="418" customFormat="1" ht="22.5" customHeight="1" outlineLevel="1" thickBot="1" x14ac:dyDescent="0.3">
      <c r="A11" s="43"/>
      <c r="B11" s="507" t="s">
        <v>254</v>
      </c>
      <c r="C11" s="508" t="s">
        <v>255</v>
      </c>
      <c r="D11" s="314" t="str">
        <f ca="1">dms_y1</f>
        <v>2024-25</v>
      </c>
      <c r="E11" s="314" t="str">
        <f ca="1">dms_y2</f>
        <v>2025-26</v>
      </c>
      <c r="F11" s="314" t="str">
        <f ca="1">dms_y3</f>
        <v>2026-27</v>
      </c>
      <c r="G11" s="314" t="str">
        <f ca="1">dms_y4</f>
        <v>2027-28</v>
      </c>
      <c r="H11" s="314" t="str">
        <f ca="1">dms_y5</f>
        <v>2028-29</v>
      </c>
      <c r="I11" s="314" t="str">
        <f ca="1">dms_y6</f>
        <v>2029-30</v>
      </c>
      <c r="J11" s="314" t="str">
        <f ca="1">dms_y7</f>
        <v>2030-31</v>
      </c>
    </row>
    <row r="12" spans="1:11" s="419" customFormat="1" ht="38.25" outlineLevel="1" x14ac:dyDescent="0.25">
      <c r="A12" s="43"/>
      <c r="B12" s="650" t="s">
        <v>1470</v>
      </c>
      <c r="C12" s="432" t="s">
        <v>1471</v>
      </c>
      <c r="D12" s="420"/>
      <c r="E12" s="421"/>
      <c r="F12" s="420">
        <v>0</v>
      </c>
      <c r="G12" s="422">
        <v>0</v>
      </c>
      <c r="H12" s="422">
        <v>8655083.9999999981</v>
      </c>
      <c r="I12" s="422">
        <v>8655083.9999999981</v>
      </c>
      <c r="J12" s="423">
        <v>8738707.9999999981</v>
      </c>
    </row>
    <row r="13" spans="1:11" s="419" customFormat="1" ht="63.75" outlineLevel="1" x14ac:dyDescent="0.25">
      <c r="A13" s="43"/>
      <c r="B13" s="651" t="s">
        <v>1472</v>
      </c>
      <c r="C13" s="433" t="s">
        <v>1473</v>
      </c>
      <c r="D13" s="424"/>
      <c r="E13" s="425"/>
      <c r="F13" s="424">
        <v>6416351.7710000006</v>
      </c>
      <c r="G13" s="426">
        <v>6389903.398</v>
      </c>
      <c r="H13" s="426">
        <v>6363478.6380000003</v>
      </c>
      <c r="I13" s="426">
        <v>6532993.2189999996</v>
      </c>
      <c r="J13" s="427">
        <v>6342806.8430000003</v>
      </c>
    </row>
    <row r="14" spans="1:11" s="419" customFormat="1" ht="76.5" outlineLevel="1" x14ac:dyDescent="0.25">
      <c r="A14" s="43"/>
      <c r="B14" s="651" t="s">
        <v>1474</v>
      </c>
      <c r="C14" s="433" t="s">
        <v>1475</v>
      </c>
      <c r="D14" s="424"/>
      <c r="E14" s="425"/>
      <c r="F14" s="424">
        <v>0</v>
      </c>
      <c r="G14" s="426">
        <v>6285058.4800000004</v>
      </c>
      <c r="H14" s="426">
        <v>8860826.3999999985</v>
      </c>
      <c r="I14" s="426">
        <v>3522926.9999999995</v>
      </c>
      <c r="J14" s="427">
        <v>-120626.99999999907</v>
      </c>
    </row>
    <row r="15" spans="1:11" s="419" customFormat="1" ht="63.75" outlineLevel="1" x14ac:dyDescent="0.25">
      <c r="A15" s="43"/>
      <c r="B15" s="651" t="s">
        <v>1476</v>
      </c>
      <c r="C15" s="433" t="s">
        <v>1526</v>
      </c>
      <c r="D15" s="424"/>
      <c r="E15" s="425"/>
      <c r="F15" s="424">
        <v>26132.5</v>
      </c>
      <c r="G15" s="426">
        <v>280140.40000000002</v>
      </c>
      <c r="H15" s="426">
        <v>289548.09999999998</v>
      </c>
      <c r="I15" s="426">
        <v>289548.09999999998</v>
      </c>
      <c r="J15" s="427">
        <v>289548.09999999998</v>
      </c>
    </row>
    <row r="16" spans="1:11" s="419" customFormat="1" ht="114.75" outlineLevel="1" x14ac:dyDescent="0.25">
      <c r="A16" s="43"/>
      <c r="B16" s="651" t="s">
        <v>1477</v>
      </c>
      <c r="C16" s="433" t="s">
        <v>1478</v>
      </c>
      <c r="D16" s="424"/>
      <c r="E16" s="425"/>
      <c r="F16" s="424">
        <v>736342.39401795703</v>
      </c>
      <c r="G16" s="426">
        <v>814340.33525839972</v>
      </c>
      <c r="H16" s="426">
        <v>901023.35387077497</v>
      </c>
      <c r="I16" s="426">
        <v>856456.87237988948</v>
      </c>
      <c r="J16" s="427">
        <v>780373.53401136014</v>
      </c>
    </row>
    <row r="17" spans="1:11" s="419" customFormat="1" ht="38.25" outlineLevel="1" x14ac:dyDescent="0.25">
      <c r="A17" s="43"/>
      <c r="B17" s="651" t="s">
        <v>1479</v>
      </c>
      <c r="C17" s="433" t="s">
        <v>1480</v>
      </c>
      <c r="D17" s="424"/>
      <c r="E17" s="425"/>
      <c r="F17" s="424">
        <v>914637.49999999988</v>
      </c>
      <c r="G17" s="426">
        <v>914637.49999999988</v>
      </c>
      <c r="H17" s="426">
        <v>914637.49999999988</v>
      </c>
      <c r="I17" s="426">
        <v>914637.49999999988</v>
      </c>
      <c r="J17" s="427">
        <v>914637.49999999988</v>
      </c>
    </row>
    <row r="18" spans="1:11" s="419" customFormat="1" outlineLevel="1" x14ac:dyDescent="0.25">
      <c r="A18" s="43"/>
      <c r="B18" s="651"/>
      <c r="C18" s="433"/>
      <c r="D18" s="424"/>
      <c r="E18" s="425"/>
      <c r="F18" s="424"/>
      <c r="G18" s="426"/>
      <c r="H18" s="426"/>
      <c r="I18" s="426"/>
      <c r="J18" s="427"/>
    </row>
    <row r="19" spans="1:11" s="419" customFormat="1" outlineLevel="1" x14ac:dyDescent="0.25">
      <c r="A19" s="43"/>
      <c r="B19" s="651"/>
      <c r="C19" s="433"/>
      <c r="D19" s="424"/>
      <c r="E19" s="425"/>
      <c r="F19" s="424"/>
      <c r="G19" s="426"/>
      <c r="H19" s="426"/>
      <c r="I19" s="426"/>
      <c r="J19" s="427"/>
    </row>
    <row r="20" spans="1:11" s="419" customFormat="1" outlineLevel="1" x14ac:dyDescent="0.25">
      <c r="A20" s="43"/>
      <c r="B20" s="651"/>
      <c r="C20" s="433"/>
      <c r="D20" s="424"/>
      <c r="E20" s="425"/>
      <c r="F20" s="424"/>
      <c r="G20" s="426"/>
      <c r="H20" s="426"/>
      <c r="I20" s="426"/>
      <c r="J20" s="427"/>
    </row>
    <row r="21" spans="1:11" s="419" customFormat="1" ht="15.75" outlineLevel="1" thickBot="1" x14ac:dyDescent="0.3">
      <c r="A21" s="43"/>
      <c r="B21" s="652"/>
      <c r="C21" s="434"/>
      <c r="D21" s="428"/>
      <c r="E21" s="429"/>
      <c r="F21" s="428"/>
      <c r="G21" s="430"/>
      <c r="H21" s="430"/>
      <c r="I21" s="430"/>
      <c r="J21" s="431"/>
    </row>
    <row r="22" spans="1:11" s="419" customFormat="1" ht="15.75" outlineLevel="1" thickBot="1" x14ac:dyDescent="0.3">
      <c r="A22" s="43"/>
      <c r="B22" s="1659" t="s">
        <v>120</v>
      </c>
      <c r="C22" s="1660"/>
      <c r="D22" s="296">
        <f t="shared" ref="D22:J22" si="0">SUM(D12:D21)</f>
        <v>0</v>
      </c>
      <c r="E22" s="296">
        <f t="shared" si="0"/>
        <v>0</v>
      </c>
      <c r="F22" s="296">
        <f t="shared" si="0"/>
        <v>8093464.1650179578</v>
      </c>
      <c r="G22" s="296">
        <f t="shared" si="0"/>
        <v>14684080.113258401</v>
      </c>
      <c r="H22" s="296">
        <f t="shared" si="0"/>
        <v>25984597.991870772</v>
      </c>
      <c r="I22" s="296">
        <f t="shared" si="0"/>
        <v>20771646.691379886</v>
      </c>
      <c r="J22" s="297">
        <f t="shared" si="0"/>
        <v>16945446.977011357</v>
      </c>
    </row>
    <row r="23" spans="1:11" ht="15.75" thickBot="1" x14ac:dyDescent="0.3">
      <c r="B23" s="332"/>
    </row>
    <row r="24" spans="1:11" s="416" customFormat="1" ht="29.25" customHeight="1" thickBot="1" x14ac:dyDescent="0.35">
      <c r="A24" s="413"/>
      <c r="B24" s="250" t="s">
        <v>256</v>
      </c>
      <c r="C24" s="251"/>
      <c r="D24" s="251"/>
      <c r="E24" s="251"/>
      <c r="F24" s="251"/>
      <c r="G24" s="251"/>
      <c r="H24" s="251"/>
      <c r="I24" s="251"/>
      <c r="J24" s="252"/>
      <c r="K24"/>
    </row>
    <row r="25" spans="1:11" s="418" customFormat="1" ht="22.5" customHeight="1" outlineLevel="1" x14ac:dyDescent="0.25">
      <c r="A25" s="43"/>
      <c r="B25" s="417"/>
      <c r="C25" s="417"/>
      <c r="D25" s="1378" t="s">
        <v>24</v>
      </c>
      <c r="E25" s="1378"/>
      <c r="F25" s="1378"/>
      <c r="G25" s="1378"/>
      <c r="H25" s="1378"/>
      <c r="I25" s="1378"/>
      <c r="J25" s="1378"/>
    </row>
    <row r="26" spans="1:11" s="418" customFormat="1" ht="29.25" customHeight="1" outlineLevel="1" x14ac:dyDescent="0.25">
      <c r="A26" s="43"/>
      <c r="B26" s="417"/>
      <c r="C26" s="419"/>
      <c r="D26" s="1378" t="str">
        <f ca="1">CONCATENATE("$, real ", dms_DollarReal)</f>
        <v>$, real June 2026</v>
      </c>
      <c r="E26" s="1378"/>
      <c r="F26" s="1378"/>
      <c r="G26" s="1378"/>
      <c r="H26" s="1378"/>
      <c r="I26" s="1378"/>
      <c r="J26" s="1378"/>
    </row>
    <row r="27" spans="1:11" s="418" customFormat="1" ht="22.5" customHeight="1" outlineLevel="1" thickBot="1" x14ac:dyDescent="0.3">
      <c r="A27" s="43"/>
      <c r="B27" s="507" t="s">
        <v>254</v>
      </c>
      <c r="C27" s="508" t="s">
        <v>255</v>
      </c>
      <c r="D27" s="314" t="str">
        <f ca="1">dms_y1</f>
        <v>2024-25</v>
      </c>
      <c r="E27" s="314" t="str">
        <f ca="1">dms_y2</f>
        <v>2025-26</v>
      </c>
      <c r="F27" s="314" t="str">
        <f ca="1">dms_y3</f>
        <v>2026-27</v>
      </c>
      <c r="G27" s="314" t="str">
        <f ca="1">dms_y4</f>
        <v>2027-28</v>
      </c>
      <c r="H27" s="314" t="str">
        <f ca="1">dms_y5</f>
        <v>2028-29</v>
      </c>
      <c r="I27" s="314" t="str">
        <f ca="1">dms_y6</f>
        <v>2029-30</v>
      </c>
      <c r="J27" s="314" t="str">
        <f ca="1">dms_y7</f>
        <v>2030-31</v>
      </c>
    </row>
    <row r="28" spans="1:11" s="419" customFormat="1" outlineLevel="1" x14ac:dyDescent="0.25">
      <c r="A28" s="43"/>
      <c r="B28" s="650" t="s">
        <v>1481</v>
      </c>
      <c r="C28" s="432"/>
      <c r="D28" s="420"/>
      <c r="E28" s="421"/>
      <c r="F28" s="420"/>
      <c r="G28" s="422"/>
      <c r="H28" s="422"/>
      <c r="I28" s="422"/>
      <c r="J28" s="423"/>
    </row>
    <row r="29" spans="1:11" s="419" customFormat="1" outlineLevel="1" x14ac:dyDescent="0.25">
      <c r="A29" s="43"/>
      <c r="B29" s="651"/>
      <c r="C29" s="433"/>
      <c r="D29" s="424"/>
      <c r="E29" s="425"/>
      <c r="F29" s="424"/>
      <c r="G29" s="426"/>
      <c r="H29" s="426"/>
      <c r="I29" s="426"/>
      <c r="J29" s="427"/>
    </row>
    <row r="30" spans="1:11" s="419" customFormat="1" outlineLevel="1" x14ac:dyDescent="0.25">
      <c r="A30" s="43"/>
      <c r="B30" s="651"/>
      <c r="C30" s="433"/>
      <c r="D30" s="424"/>
      <c r="E30" s="425"/>
      <c r="F30" s="424"/>
      <c r="G30" s="426"/>
      <c r="H30" s="426"/>
      <c r="I30" s="426"/>
      <c r="J30" s="427"/>
    </row>
    <row r="31" spans="1:11" s="419" customFormat="1" outlineLevel="1" x14ac:dyDescent="0.25">
      <c r="A31" s="43"/>
      <c r="B31" s="651"/>
      <c r="C31" s="433"/>
      <c r="D31" s="424"/>
      <c r="E31" s="425"/>
      <c r="F31" s="424"/>
      <c r="G31" s="426"/>
      <c r="H31" s="426"/>
      <c r="I31" s="426"/>
      <c r="J31" s="427"/>
    </row>
    <row r="32" spans="1:11" s="419" customFormat="1" outlineLevel="1" x14ac:dyDescent="0.25">
      <c r="A32" s="43"/>
      <c r="B32" s="651"/>
      <c r="C32" s="433"/>
      <c r="D32" s="424"/>
      <c r="E32" s="425"/>
      <c r="F32" s="424"/>
      <c r="G32" s="426"/>
      <c r="H32" s="426"/>
      <c r="I32" s="426"/>
      <c r="J32" s="427"/>
    </row>
    <row r="33" spans="1:11" s="419" customFormat="1" outlineLevel="1" x14ac:dyDescent="0.25">
      <c r="A33" s="43"/>
      <c r="B33" s="651"/>
      <c r="C33" s="433"/>
      <c r="D33" s="424"/>
      <c r="E33" s="425"/>
      <c r="F33" s="424"/>
      <c r="G33" s="426"/>
      <c r="H33" s="426"/>
      <c r="I33" s="426"/>
      <c r="J33" s="427"/>
    </row>
    <row r="34" spans="1:11" s="419" customFormat="1" outlineLevel="1" x14ac:dyDescent="0.25">
      <c r="A34" s="43"/>
      <c r="B34" s="651"/>
      <c r="C34" s="433"/>
      <c r="D34" s="424"/>
      <c r="E34" s="425"/>
      <c r="F34" s="424"/>
      <c r="G34" s="426"/>
      <c r="H34" s="426"/>
      <c r="I34" s="426"/>
      <c r="J34" s="427"/>
    </row>
    <row r="35" spans="1:11" s="419" customFormat="1" outlineLevel="1" x14ac:dyDescent="0.25">
      <c r="A35" s="43"/>
      <c r="B35" s="651"/>
      <c r="C35" s="433"/>
      <c r="D35" s="424"/>
      <c r="E35" s="425"/>
      <c r="F35" s="424"/>
      <c r="G35" s="426"/>
      <c r="H35" s="426"/>
      <c r="I35" s="426"/>
      <c r="J35" s="427"/>
    </row>
    <row r="36" spans="1:11" s="419" customFormat="1" outlineLevel="1" x14ac:dyDescent="0.25">
      <c r="A36" s="43"/>
      <c r="B36" s="651"/>
      <c r="C36" s="433"/>
      <c r="D36" s="424"/>
      <c r="E36" s="425"/>
      <c r="F36" s="424"/>
      <c r="G36" s="426"/>
      <c r="H36" s="426"/>
      <c r="I36" s="426"/>
      <c r="J36" s="427"/>
    </row>
    <row r="37" spans="1:11" s="419" customFormat="1" ht="15.75" outlineLevel="1" thickBot="1" x14ac:dyDescent="0.3">
      <c r="A37" s="43"/>
      <c r="B37" s="652"/>
      <c r="C37" s="434"/>
      <c r="D37" s="428"/>
      <c r="E37" s="429"/>
      <c r="F37" s="428"/>
      <c r="G37" s="430"/>
      <c r="H37" s="430"/>
      <c r="I37" s="430"/>
      <c r="J37" s="431"/>
    </row>
    <row r="38" spans="1:11" s="419" customFormat="1" ht="15.75" outlineLevel="1" thickBot="1" x14ac:dyDescent="0.3">
      <c r="A38" s="43"/>
      <c r="B38" s="1659" t="s">
        <v>120</v>
      </c>
      <c r="C38" s="1660"/>
      <c r="D38" s="296">
        <f t="shared" ref="D38:J38" si="1">SUM(D28:D37)</f>
        <v>0</v>
      </c>
      <c r="E38" s="296">
        <f t="shared" si="1"/>
        <v>0</v>
      </c>
      <c r="F38" s="296">
        <f t="shared" si="1"/>
        <v>0</v>
      </c>
      <c r="G38" s="296">
        <f t="shared" si="1"/>
        <v>0</v>
      </c>
      <c r="H38" s="296">
        <f t="shared" si="1"/>
        <v>0</v>
      </c>
      <c r="I38" s="296">
        <f t="shared" si="1"/>
        <v>0</v>
      </c>
      <c r="J38" s="297">
        <f t="shared" si="1"/>
        <v>0</v>
      </c>
    </row>
    <row r="39" spans="1:11" x14ac:dyDescent="0.25">
      <c r="B39" s="332"/>
    </row>
    <row r="41" spans="1:11" ht="15.75" thickBot="1" x14ac:dyDescent="0.3"/>
    <row r="42" spans="1:11" s="412" customFormat="1" ht="24.95" customHeight="1" thickBot="1" x14ac:dyDescent="0.3">
      <c r="A42" s="411"/>
      <c r="B42" s="32" t="s">
        <v>257</v>
      </c>
      <c r="C42" s="32"/>
      <c r="D42" s="32"/>
      <c r="E42" s="32"/>
      <c r="F42" s="32"/>
      <c r="G42" s="32"/>
      <c r="H42" s="32"/>
      <c r="I42" s="32"/>
      <c r="J42" s="32"/>
      <c r="K42"/>
    </row>
    <row r="43" spans="1:11" s="418" customFormat="1" ht="20.25" customHeight="1" outlineLevel="1" x14ac:dyDescent="0.25">
      <c r="A43" s="43"/>
      <c r="B43" s="417"/>
      <c r="C43" s="417"/>
      <c r="D43" s="1378" t="s">
        <v>24</v>
      </c>
      <c r="E43" s="1378"/>
      <c r="F43" s="1378"/>
      <c r="G43" s="1378"/>
      <c r="H43" s="1378"/>
      <c r="I43" s="1378"/>
      <c r="J43" s="1378"/>
    </row>
    <row r="44" spans="1:11" s="418" customFormat="1" ht="29.25" customHeight="1" outlineLevel="1" x14ac:dyDescent="0.25">
      <c r="A44" s="43"/>
      <c r="B44" s="417"/>
      <c r="C44" s="419"/>
      <c r="D44" s="1378" t="str">
        <f ca="1">CONCATENATE("$, real ",dms_DollarReal)</f>
        <v>$, real June 2026</v>
      </c>
      <c r="E44" s="1378"/>
      <c r="F44" s="1378"/>
      <c r="G44" s="1378"/>
      <c r="H44" s="1378"/>
      <c r="I44" s="1378"/>
      <c r="J44" s="1378"/>
    </row>
    <row r="45" spans="1:11" s="418" customFormat="1" ht="22.5" customHeight="1" outlineLevel="1" thickBot="1" x14ac:dyDescent="0.3">
      <c r="A45" s="43"/>
      <c r="B45" s="509" t="s">
        <v>258</v>
      </c>
      <c r="C45" s="510"/>
      <c r="D45" s="314" t="str">
        <f ca="1">dms_y1</f>
        <v>2024-25</v>
      </c>
      <c r="E45" s="314" t="str">
        <f ca="1">dms_y2</f>
        <v>2025-26</v>
      </c>
      <c r="F45" s="314" t="str">
        <f ca="1">dms_y3</f>
        <v>2026-27</v>
      </c>
      <c r="G45" s="314" t="str">
        <f ca="1">dms_y4</f>
        <v>2027-28</v>
      </c>
      <c r="H45" s="314" t="str">
        <f ca="1">dms_y5</f>
        <v>2028-29</v>
      </c>
      <c r="I45" s="314" t="str">
        <f ca="1">dms_y6</f>
        <v>2029-30</v>
      </c>
      <c r="J45" s="314" t="str">
        <f ca="1">dms_y7</f>
        <v>2030-31</v>
      </c>
    </row>
    <row r="46" spans="1:11" s="419" customFormat="1" outlineLevel="1" x14ac:dyDescent="0.25">
      <c r="A46" s="43"/>
      <c r="B46" s="514" t="s">
        <v>1482</v>
      </c>
      <c r="C46" s="511"/>
      <c r="D46" s="420">
        <v>4298186.99</v>
      </c>
      <c r="E46" s="421">
        <v>5570926.3499999996</v>
      </c>
      <c r="F46" s="420">
        <v>5570926.3499999996</v>
      </c>
      <c r="G46" s="422">
        <v>5570926.3499999996</v>
      </c>
      <c r="H46" s="422">
        <v>5570926.3499999996</v>
      </c>
      <c r="I46" s="422">
        <v>5570926.3499999996</v>
      </c>
      <c r="J46" s="423">
        <v>5570926.3499999996</v>
      </c>
    </row>
    <row r="47" spans="1:11" s="419" customFormat="1" outlineLevel="1" x14ac:dyDescent="0.25">
      <c r="A47" s="43"/>
      <c r="B47" s="515" t="s">
        <v>1483</v>
      </c>
      <c r="C47" s="512"/>
      <c r="D47" s="424">
        <v>2191830.7437133901</v>
      </c>
      <c r="E47" s="425">
        <v>2191830.7437133901</v>
      </c>
      <c r="F47" s="424">
        <v>997139.1988874505</v>
      </c>
      <c r="G47" s="426">
        <v>1012562.9958423945</v>
      </c>
      <c r="H47" s="426">
        <v>1029222.2128809195</v>
      </c>
      <c r="I47" s="426">
        <v>1042275.5788450999</v>
      </c>
      <c r="J47" s="427">
        <v>1058072.0061261943</v>
      </c>
    </row>
    <row r="48" spans="1:11" s="419" customFormat="1" outlineLevel="1" x14ac:dyDescent="0.25">
      <c r="A48" s="43"/>
      <c r="B48" s="515" t="s">
        <v>1484</v>
      </c>
      <c r="C48" s="512"/>
      <c r="D48" s="424">
        <v>656201.54669917375</v>
      </c>
      <c r="E48" s="425">
        <v>905734.05941296276</v>
      </c>
      <c r="F48" s="424"/>
      <c r="G48" s="426"/>
      <c r="H48" s="426"/>
      <c r="I48" s="426"/>
      <c r="J48" s="427"/>
    </row>
    <row r="49" spans="1:10" s="419" customFormat="1" outlineLevel="1" x14ac:dyDescent="0.25">
      <c r="A49" s="43"/>
      <c r="B49" s="515" t="s">
        <v>1485</v>
      </c>
      <c r="C49" s="512"/>
      <c r="D49" s="424">
        <v>2871706.3543999996</v>
      </c>
      <c r="E49" s="425">
        <v>2965735.8339046231</v>
      </c>
      <c r="F49" s="424">
        <v>2863371.0095806327</v>
      </c>
      <c r="G49" s="426">
        <v>3031072.4996563615</v>
      </c>
      <c r="H49" s="426">
        <v>3055213.4012529999</v>
      </c>
      <c r="I49" s="426">
        <v>3145046.1897578603</v>
      </c>
      <c r="J49" s="427">
        <v>3231270.9098495543</v>
      </c>
    </row>
    <row r="50" spans="1:10" s="419" customFormat="1" outlineLevel="1" x14ac:dyDescent="0.25">
      <c r="A50" s="43"/>
      <c r="B50" s="515"/>
      <c r="C50" s="512"/>
      <c r="D50" s="424"/>
      <c r="E50" s="425"/>
      <c r="F50" s="424"/>
      <c r="G50" s="426"/>
      <c r="H50" s="426"/>
      <c r="I50" s="426"/>
      <c r="J50" s="427"/>
    </row>
    <row r="51" spans="1:10" s="419" customFormat="1" outlineLevel="1" x14ac:dyDescent="0.25">
      <c r="A51" s="43"/>
      <c r="B51" s="515"/>
      <c r="C51" s="512"/>
      <c r="D51" s="424"/>
      <c r="E51" s="425"/>
      <c r="F51" s="424"/>
      <c r="G51" s="426"/>
      <c r="H51" s="426"/>
      <c r="I51" s="426"/>
      <c r="J51" s="427"/>
    </row>
    <row r="52" spans="1:10" s="419" customFormat="1" outlineLevel="1" x14ac:dyDescent="0.25">
      <c r="A52" s="43"/>
      <c r="B52" s="515"/>
      <c r="C52" s="512"/>
      <c r="D52" s="424"/>
      <c r="E52" s="425"/>
      <c r="F52" s="424"/>
      <c r="G52" s="426"/>
      <c r="H52" s="426"/>
      <c r="I52" s="426"/>
      <c r="J52" s="427"/>
    </row>
    <row r="53" spans="1:10" s="419" customFormat="1" outlineLevel="1" x14ac:dyDescent="0.25">
      <c r="A53" s="43"/>
      <c r="B53" s="515"/>
      <c r="C53" s="512"/>
      <c r="D53" s="424"/>
      <c r="E53" s="425"/>
      <c r="F53" s="424"/>
      <c r="G53" s="426"/>
      <c r="H53" s="426"/>
      <c r="I53" s="426"/>
      <c r="J53" s="427"/>
    </row>
    <row r="54" spans="1:10" s="419" customFormat="1" outlineLevel="1" x14ac:dyDescent="0.25">
      <c r="A54" s="43"/>
      <c r="B54" s="515"/>
      <c r="C54" s="512"/>
      <c r="D54" s="424"/>
      <c r="E54" s="425"/>
      <c r="F54" s="424"/>
      <c r="G54" s="426"/>
      <c r="H54" s="426"/>
      <c r="I54" s="426"/>
      <c r="J54" s="427"/>
    </row>
    <row r="55" spans="1:10" s="419" customFormat="1" outlineLevel="1" x14ac:dyDescent="0.25">
      <c r="A55" s="43"/>
      <c r="B55" s="515"/>
      <c r="C55" s="512"/>
      <c r="D55" s="424"/>
      <c r="E55" s="425"/>
      <c r="F55" s="424"/>
      <c r="G55" s="426"/>
      <c r="H55" s="426"/>
      <c r="I55" s="426"/>
      <c r="J55" s="427"/>
    </row>
    <row r="56" spans="1:10" s="419" customFormat="1" outlineLevel="1" x14ac:dyDescent="0.25">
      <c r="A56" s="43"/>
      <c r="B56" s="515"/>
      <c r="C56" s="512"/>
      <c r="D56" s="424"/>
      <c r="E56" s="425"/>
      <c r="F56" s="424"/>
      <c r="G56" s="426"/>
      <c r="H56" s="426"/>
      <c r="I56" s="426"/>
      <c r="J56" s="427"/>
    </row>
    <row r="57" spans="1:10" s="419" customFormat="1" outlineLevel="1" x14ac:dyDescent="0.25">
      <c r="A57" s="43"/>
      <c r="B57" s="515"/>
      <c r="C57" s="512"/>
      <c r="D57" s="424"/>
      <c r="E57" s="425"/>
      <c r="F57" s="424"/>
      <c r="G57" s="426"/>
      <c r="H57" s="426"/>
      <c r="I57" s="426"/>
      <c r="J57" s="427"/>
    </row>
    <row r="58" spans="1:10" s="419" customFormat="1" outlineLevel="1" x14ac:dyDescent="0.25">
      <c r="A58" s="43"/>
      <c r="B58" s="515"/>
      <c r="C58" s="512"/>
      <c r="D58" s="424"/>
      <c r="E58" s="425"/>
      <c r="F58" s="424"/>
      <c r="G58" s="426"/>
      <c r="H58" s="426"/>
      <c r="I58" s="426"/>
      <c r="J58" s="427"/>
    </row>
    <row r="59" spans="1:10" s="419" customFormat="1" outlineLevel="1" x14ac:dyDescent="0.25">
      <c r="A59" s="43"/>
      <c r="B59" s="515"/>
      <c r="C59" s="512"/>
      <c r="D59" s="424"/>
      <c r="E59" s="425"/>
      <c r="F59" s="424"/>
      <c r="G59" s="426"/>
      <c r="H59" s="426"/>
      <c r="I59" s="426"/>
      <c r="J59" s="427"/>
    </row>
    <row r="60" spans="1:10" s="419" customFormat="1" outlineLevel="1" x14ac:dyDescent="0.25">
      <c r="A60" s="43"/>
      <c r="B60" s="515"/>
      <c r="C60" s="512"/>
      <c r="D60" s="424"/>
      <c r="E60" s="425"/>
      <c r="F60" s="424"/>
      <c r="G60" s="426"/>
      <c r="H60" s="426"/>
      <c r="I60" s="426"/>
      <c r="J60" s="427"/>
    </row>
    <row r="61" spans="1:10" s="419" customFormat="1" outlineLevel="1" x14ac:dyDescent="0.25">
      <c r="A61" s="43"/>
      <c r="B61" s="515"/>
      <c r="C61" s="512"/>
      <c r="D61" s="424"/>
      <c r="E61" s="425"/>
      <c r="F61" s="424"/>
      <c r="G61" s="426"/>
      <c r="H61" s="426"/>
      <c r="I61" s="426"/>
      <c r="J61" s="427"/>
    </row>
    <row r="62" spans="1:10" s="419" customFormat="1" outlineLevel="1" x14ac:dyDescent="0.25">
      <c r="A62" s="43"/>
      <c r="B62" s="515"/>
      <c r="C62" s="512"/>
      <c r="D62" s="424"/>
      <c r="E62" s="425"/>
      <c r="F62" s="424"/>
      <c r="G62" s="426"/>
      <c r="H62" s="426"/>
      <c r="I62" s="426"/>
      <c r="J62" s="427"/>
    </row>
    <row r="63" spans="1:10" s="419" customFormat="1" outlineLevel="1" x14ac:dyDescent="0.25">
      <c r="A63" s="43"/>
      <c r="B63" s="515"/>
      <c r="C63" s="512"/>
      <c r="D63" s="424"/>
      <c r="E63" s="425"/>
      <c r="F63" s="424"/>
      <c r="G63" s="426"/>
      <c r="H63" s="426"/>
      <c r="I63" s="426"/>
      <c r="J63" s="427"/>
    </row>
    <row r="64" spans="1:10" s="419" customFormat="1" outlineLevel="1" x14ac:dyDescent="0.25">
      <c r="A64" s="43"/>
      <c r="B64" s="515"/>
      <c r="C64" s="512"/>
      <c r="D64" s="424"/>
      <c r="E64" s="425"/>
      <c r="F64" s="424"/>
      <c r="G64" s="426"/>
      <c r="H64" s="426"/>
      <c r="I64" s="426"/>
      <c r="J64" s="427"/>
    </row>
    <row r="65" spans="1:10" s="419" customFormat="1" outlineLevel="1" x14ac:dyDescent="0.25">
      <c r="A65" s="43"/>
      <c r="B65" s="515"/>
      <c r="C65" s="512"/>
      <c r="D65" s="424"/>
      <c r="E65" s="425"/>
      <c r="F65" s="424"/>
      <c r="G65" s="426"/>
      <c r="H65" s="426"/>
      <c r="I65" s="426"/>
      <c r="J65" s="427"/>
    </row>
    <row r="66" spans="1:10" s="419" customFormat="1" outlineLevel="1" x14ac:dyDescent="0.25">
      <c r="A66" s="43"/>
      <c r="B66" s="515"/>
      <c r="C66" s="512"/>
      <c r="D66" s="424"/>
      <c r="E66" s="425"/>
      <c r="F66" s="424"/>
      <c r="G66" s="426"/>
      <c r="H66" s="426"/>
      <c r="I66" s="426"/>
      <c r="J66" s="427"/>
    </row>
    <row r="67" spans="1:10" s="419" customFormat="1" outlineLevel="1" x14ac:dyDescent="0.25">
      <c r="A67" s="43"/>
      <c r="B67" s="515"/>
      <c r="C67" s="512"/>
      <c r="D67" s="424"/>
      <c r="E67" s="425"/>
      <c r="F67" s="424"/>
      <c r="G67" s="426"/>
      <c r="H67" s="426"/>
      <c r="I67" s="426"/>
      <c r="J67" s="427"/>
    </row>
    <row r="68" spans="1:10" s="419" customFormat="1" outlineLevel="1" x14ac:dyDescent="0.25">
      <c r="A68" s="43"/>
      <c r="B68" s="515"/>
      <c r="C68" s="512"/>
      <c r="D68" s="424"/>
      <c r="E68" s="425"/>
      <c r="F68" s="424"/>
      <c r="G68" s="426"/>
      <c r="H68" s="426"/>
      <c r="I68" s="426"/>
      <c r="J68" s="427"/>
    </row>
    <row r="69" spans="1:10" s="419" customFormat="1" outlineLevel="1" x14ac:dyDescent="0.25">
      <c r="A69" s="43"/>
      <c r="B69" s="515"/>
      <c r="C69" s="512"/>
      <c r="D69" s="424"/>
      <c r="E69" s="425"/>
      <c r="F69" s="424"/>
      <c r="G69" s="426"/>
      <c r="H69" s="426"/>
      <c r="I69" s="426"/>
      <c r="J69" s="427"/>
    </row>
    <row r="70" spans="1:10" s="419" customFormat="1" ht="15.75" outlineLevel="1" thickBot="1" x14ac:dyDescent="0.3">
      <c r="A70" s="43"/>
      <c r="B70" s="516"/>
      <c r="C70" s="513"/>
      <c r="D70" s="428"/>
      <c r="E70" s="429"/>
      <c r="F70" s="428"/>
      <c r="G70" s="430"/>
      <c r="H70" s="430"/>
      <c r="I70" s="430"/>
      <c r="J70" s="431"/>
    </row>
    <row r="71" spans="1:10" s="419" customFormat="1" ht="15.75" outlineLevel="1" thickBot="1" x14ac:dyDescent="0.3">
      <c r="A71" s="43"/>
      <c r="B71" s="1659" t="s">
        <v>120</v>
      </c>
      <c r="C71" s="1660"/>
      <c r="D71" s="296">
        <f t="shared" ref="D71:J71" si="2">SUM(D46:D70)</f>
        <v>10017925.634812564</v>
      </c>
      <c r="E71" s="296">
        <f t="shared" si="2"/>
        <v>11634226.987030976</v>
      </c>
      <c r="F71" s="296">
        <f t="shared" si="2"/>
        <v>9431436.5584680829</v>
      </c>
      <c r="G71" s="296">
        <f t="shared" si="2"/>
        <v>9614561.8454987556</v>
      </c>
      <c r="H71" s="296">
        <f t="shared" si="2"/>
        <v>9655361.9641339183</v>
      </c>
      <c r="I71" s="296">
        <f t="shared" si="2"/>
        <v>9758248.1186029594</v>
      </c>
      <c r="J71" s="297">
        <f t="shared" si="2"/>
        <v>9860269.2659757473</v>
      </c>
    </row>
  </sheetData>
  <mergeCells count="3">
    <mergeCell ref="B71:C71"/>
    <mergeCell ref="B38:C38"/>
    <mergeCell ref="B22:C22"/>
  </mergeCells>
  <conditionalFormatting sqref="H12:H21">
    <cfRule type="expression" dxfId="35" priority="16">
      <formula>(dms_FRCPlength_Num)&lt;3</formula>
    </cfRule>
  </conditionalFormatting>
  <conditionalFormatting sqref="H28:H37">
    <cfRule type="expression" dxfId="34" priority="8">
      <formula>(dms_FRCPlength_Num)&lt;3</formula>
    </cfRule>
  </conditionalFormatting>
  <conditionalFormatting sqref="H46:H70">
    <cfRule type="expression" dxfId="33" priority="4">
      <formula>(dms_FRCPlength_Num)&lt;3</formula>
    </cfRule>
  </conditionalFormatting>
  <conditionalFormatting sqref="I12:I21">
    <cfRule type="expression" dxfId="32" priority="15">
      <formula>(dms_FRCPlength_Num)&lt;4</formula>
    </cfRule>
  </conditionalFormatting>
  <conditionalFormatting sqref="I28:I37">
    <cfRule type="expression" dxfId="31" priority="7">
      <formula>(dms_FRCPlength_Num)&lt;4</formula>
    </cfRule>
  </conditionalFormatting>
  <conditionalFormatting sqref="I46:I70">
    <cfRule type="expression" dxfId="30" priority="3">
      <formula>(dms_FRCPlength_Num)&lt;4</formula>
    </cfRule>
  </conditionalFormatting>
  <conditionalFormatting sqref="J12:J21">
    <cfRule type="expression" dxfId="29" priority="14">
      <formula>(dms_FRCPlength_Num)&lt;5</formula>
    </cfRule>
  </conditionalFormatting>
  <conditionalFormatting sqref="J22">
    <cfRule type="expression" dxfId="28" priority="13">
      <formula>(dms_FRCPlength_Num)&lt;5</formula>
    </cfRule>
  </conditionalFormatting>
  <conditionalFormatting sqref="J28:J37">
    <cfRule type="expression" dxfId="27" priority="6">
      <formula>(dms_FRCPlength_Num)&lt;5</formula>
    </cfRule>
  </conditionalFormatting>
  <conditionalFormatting sqref="J38">
    <cfRule type="expression" dxfId="26" priority="5">
      <formula>(dms_FRCPlength_Num)&lt;5</formula>
    </cfRule>
  </conditionalFormatting>
  <conditionalFormatting sqref="J46:J70">
    <cfRule type="expression" dxfId="25" priority="2">
      <formula>(dms_FRCPlength_Num)&lt;5</formula>
    </cfRule>
  </conditionalFormatting>
  <conditionalFormatting sqref="J71">
    <cfRule type="expression" dxfId="24" priority="1">
      <formula>(dms_FRCPlength_Num)&lt;5</formula>
    </cfRule>
  </conditionalFormatting>
  <dataValidations count="3">
    <dataValidation type="textLength" operator="greaterThanOrEqual" allowBlank="1" showInputMessage="1" showErrorMessage="1" promptTitle="Step change" prompt="Enter description of step change" sqref="C14:C21 C30:C37 C63:C70" xr:uid="{00000000-0002-0000-1000-000000000000}">
      <formula1>0</formula1>
    </dataValidation>
    <dataValidation type="textLength" operator="greaterThanOrEqual" allowBlank="1" showInputMessage="1" showErrorMessage="1" promptTitle="Step change" prompt="Enter step change" sqref="B12:B21 B28:B37 B46:B70" xr:uid="{00000000-0002-0000-1000-000001000000}">
      <formula1>0</formula1>
    </dataValidation>
    <dataValidation allowBlank="1" showInputMessage="1" showErrorMessage="1" sqref="D28:J38 D12:J22 D46:J71" xr:uid="{00000000-0002-0000-1000-000002000000}"/>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theme="3" tint="-0.249977111117893"/>
  </sheetPr>
  <dimension ref="A1:L135"/>
  <sheetViews>
    <sheetView showGridLines="0" zoomScaleNormal="100" workbookViewId="0"/>
  </sheetViews>
  <sheetFormatPr defaultColWidth="9.140625" defaultRowHeight="15" outlineLevelRow="2" x14ac:dyDescent="0.25"/>
  <cols>
    <col min="1" max="1" width="22.5703125" customWidth="1"/>
    <col min="2" max="2" width="52" customWidth="1"/>
    <col min="3" max="12" width="18.7109375" customWidth="1"/>
  </cols>
  <sheetData>
    <row r="1" spans="1:12" ht="30" customHeight="1" x14ac:dyDescent="0.25">
      <c r="A1" s="1112"/>
      <c r="B1" s="1112" t="str">
        <f>INDEX(dms_Worksheet_List,MATCH(dms_Model,dms_Model_List))</f>
        <v>REGULATORY REPORTING STATEMENT</v>
      </c>
      <c r="C1" s="26"/>
      <c r="D1" s="26"/>
      <c r="E1" s="26"/>
      <c r="F1" s="26"/>
      <c r="G1" s="1502" t="s">
        <v>96</v>
      </c>
      <c r="H1" s="1503" t="s">
        <v>97</v>
      </c>
      <c r="I1" s="26"/>
      <c r="J1" s="26"/>
      <c r="K1" s="26"/>
      <c r="L1" s="26"/>
    </row>
    <row r="2" spans="1:12" ht="30" customHeight="1" x14ac:dyDescent="0.25">
      <c r="A2" s="1113"/>
      <c r="B2" s="1113" t="str">
        <f>dms_TradingNameFull</f>
        <v>Australian Gas Networks Limited (reporting data for SA)</v>
      </c>
      <c r="C2" s="26"/>
      <c r="D2" s="26"/>
      <c r="E2" s="26"/>
      <c r="F2" s="26"/>
      <c r="G2" s="1504" t="s">
        <v>98</v>
      </c>
      <c r="H2" s="1505" t="s">
        <v>92</v>
      </c>
      <c r="I2" s="26"/>
      <c r="J2" s="26"/>
      <c r="K2" s="26"/>
      <c r="L2" s="26"/>
    </row>
    <row r="3" spans="1:12" ht="30" customHeight="1" x14ac:dyDescent="0.25">
      <c r="A3" s="1115"/>
      <c r="B3" s="1115" t="str">
        <f ca="1">dms_Header_Span</f>
        <v>2024-25 to 2030-31</v>
      </c>
      <c r="C3" s="26"/>
      <c r="D3" s="26"/>
      <c r="E3" s="26"/>
      <c r="F3" s="26"/>
      <c r="G3" s="1506" t="s">
        <v>99</v>
      </c>
      <c r="H3" s="1507" t="s">
        <v>100</v>
      </c>
      <c r="I3" s="26"/>
      <c r="J3" s="26"/>
      <c r="K3" s="26"/>
      <c r="L3" s="26"/>
    </row>
    <row r="4" spans="1:12" ht="30" customHeight="1" x14ac:dyDescent="0.25">
      <c r="A4" s="621"/>
      <c r="B4" s="621" t="s">
        <v>259</v>
      </c>
      <c r="C4" s="621"/>
      <c r="D4" s="621"/>
      <c r="E4" s="621"/>
      <c r="F4" s="621"/>
      <c r="G4" s="1508" t="s">
        <v>102</v>
      </c>
      <c r="H4" s="1509" t="s">
        <v>103</v>
      </c>
      <c r="I4" s="621"/>
      <c r="J4" s="621"/>
      <c r="K4" s="621"/>
      <c r="L4" s="621"/>
    </row>
    <row r="5" spans="1:12" ht="30" customHeight="1" x14ac:dyDescent="0.25">
      <c r="B5" s="1492" t="s">
        <v>104</v>
      </c>
      <c r="C5" s="1492"/>
      <c r="D5" s="1492"/>
      <c r="E5" s="1492"/>
      <c r="F5" s="1492"/>
      <c r="G5" s="1492"/>
      <c r="H5" s="1492"/>
      <c r="I5" s="1492"/>
      <c r="J5" s="1492"/>
      <c r="K5" s="1492"/>
      <c r="L5" s="1492"/>
    </row>
    <row r="6" spans="1:12" ht="22.5" customHeight="1" x14ac:dyDescent="0.25">
      <c r="A6" s="253"/>
      <c r="C6" s="1393"/>
      <c r="D6" s="1393"/>
      <c r="E6" s="1393"/>
      <c r="F6" s="1393"/>
      <c r="G6" s="1393"/>
      <c r="H6" s="1393"/>
      <c r="I6" s="1393"/>
      <c r="J6" s="1393"/>
      <c r="K6" s="1393"/>
      <c r="L6" s="1393"/>
    </row>
    <row r="7" spans="1:12" ht="12.75" customHeight="1" thickBot="1" x14ac:dyDescent="0.3"/>
    <row r="8" spans="1:12" ht="34.5" customHeight="1" thickBot="1" x14ac:dyDescent="0.3">
      <c r="A8" s="253"/>
      <c r="B8" s="1661" t="s">
        <v>260</v>
      </c>
      <c r="C8" s="1662"/>
      <c r="D8" s="1663"/>
      <c r="E8" s="374"/>
    </row>
    <row r="9" spans="1:12" s="69" customFormat="1" ht="51" customHeight="1" x14ac:dyDescent="0.25">
      <c r="A9" s="375"/>
      <c r="B9" s="1664" t="str">
        <f>CONCATENATE("Has ",dms_TradingName," used a base-step-trend model to derive its opex forecast? ")</f>
        <v xml:space="preserve">Has AGN (SA) used a base-step-trend model to derive its opex forecast? </v>
      </c>
      <c r="C9" s="1665"/>
      <c r="D9" s="1666" t="s">
        <v>261</v>
      </c>
      <c r="E9" s="376"/>
    </row>
    <row r="10" spans="1:12" s="69" customFormat="1" ht="26.25" thickBot="1" x14ac:dyDescent="0.3">
      <c r="A10" s="375"/>
      <c r="B10" s="1668" t="s">
        <v>262</v>
      </c>
      <c r="C10" s="1669"/>
      <c r="D10" s="1667"/>
      <c r="E10" s="376"/>
    </row>
    <row r="11" spans="1:12" s="69" customFormat="1" ht="28.5" customHeight="1" thickBot="1" x14ac:dyDescent="0.3">
      <c r="A11" s="375"/>
      <c r="B11" s="1670" t="s">
        <v>263</v>
      </c>
      <c r="C11" s="1671"/>
      <c r="D11" s="435" t="s">
        <v>264</v>
      </c>
      <c r="E11" s="376"/>
    </row>
    <row r="12" spans="1:12" ht="37.5" customHeight="1" thickBot="1" x14ac:dyDescent="0.3">
      <c r="A12" s="253"/>
      <c r="B12" s="253"/>
      <c r="C12" s="253"/>
      <c r="D12" s="253"/>
      <c r="E12" s="436" t="s">
        <v>265</v>
      </c>
      <c r="F12" s="436" t="s">
        <v>266</v>
      </c>
      <c r="G12" s="436" t="s">
        <v>267</v>
      </c>
      <c r="H12" s="436" t="s">
        <v>268</v>
      </c>
      <c r="I12" s="74" t="s">
        <v>269</v>
      </c>
    </row>
    <row r="13" spans="1:12" ht="25.5" customHeight="1" thickBot="1" x14ac:dyDescent="0.3">
      <c r="A13" s="253"/>
      <c r="B13" s="288" t="s">
        <v>270</v>
      </c>
      <c r="C13" s="288"/>
      <c r="D13" s="288"/>
      <c r="E13" s="288"/>
      <c r="F13" s="288"/>
      <c r="G13" s="288"/>
      <c r="H13" s="288"/>
      <c r="I13" s="288"/>
      <c r="J13" s="288"/>
      <c r="K13" s="288"/>
      <c r="L13" s="288"/>
    </row>
    <row r="14" spans="1:12" ht="25.5" customHeight="1" outlineLevel="1" thickBot="1" x14ac:dyDescent="0.3">
      <c r="A14" s="253"/>
      <c r="B14" s="247" t="s">
        <v>271</v>
      </c>
      <c r="C14" s="248"/>
      <c r="D14" s="248"/>
      <c r="E14" s="248"/>
      <c r="F14" s="248"/>
      <c r="G14" s="248"/>
      <c r="H14" s="248"/>
      <c r="I14" s="248"/>
      <c r="J14" s="248"/>
      <c r="K14" s="248"/>
      <c r="L14" s="249"/>
    </row>
    <row r="15" spans="1:12" ht="24.75" customHeight="1" outlineLevel="2" x14ac:dyDescent="0.25">
      <c r="C15" s="1379" t="s">
        <v>24</v>
      </c>
      <c r="D15" s="1379"/>
      <c r="E15" s="1379"/>
      <c r="F15" s="1379"/>
      <c r="G15" s="1379"/>
      <c r="H15" s="1379"/>
      <c r="I15" s="1379"/>
      <c r="J15" s="1379"/>
      <c r="K15" s="1379"/>
      <c r="L15" s="1380"/>
    </row>
    <row r="16" spans="1:12" ht="24.75" customHeight="1" outlineLevel="2" x14ac:dyDescent="0.25">
      <c r="A16" s="253"/>
      <c r="C16" s="1378" t="str">
        <f ca="1">CONCATENATE("$, real ",dms_DollarReal)</f>
        <v>$, real June 2026</v>
      </c>
      <c r="D16" s="1378"/>
      <c r="E16" s="1378"/>
      <c r="F16" s="1378"/>
      <c r="G16" s="1378"/>
      <c r="H16" s="1378"/>
      <c r="I16" s="1378"/>
      <c r="J16" s="1378"/>
      <c r="K16" s="1378"/>
      <c r="L16" s="1381"/>
    </row>
    <row r="17" spans="1:12" ht="27.75" customHeight="1" outlineLevel="2" thickBot="1" x14ac:dyDescent="0.3">
      <c r="A17" s="253"/>
      <c r="B17" s="78"/>
      <c r="C17" s="314" t="str">
        <f ca="1">CRCP_y1</f>
        <v>2021-22</v>
      </c>
      <c r="D17" s="314" t="str">
        <f ca="1">CRCP_y2</f>
        <v>2022-23</v>
      </c>
      <c r="E17" s="314" t="str">
        <f ca="1">CRCP_y3</f>
        <v>2023-24</v>
      </c>
      <c r="F17" s="314" t="str">
        <f ca="1">dms_y1</f>
        <v>2024-25</v>
      </c>
      <c r="G17" s="314" t="str">
        <f ca="1">dms_y2</f>
        <v>2025-26</v>
      </c>
      <c r="H17" s="314" t="str">
        <f ca="1">dms_y3</f>
        <v>2026-27</v>
      </c>
      <c r="I17" s="314" t="str">
        <f ca="1">dms_y4</f>
        <v>2027-28</v>
      </c>
      <c r="J17" s="314" t="str">
        <f ca="1">dms_y5</f>
        <v>2028-29</v>
      </c>
      <c r="K17" s="314" t="str">
        <f ca="1">dms_y6</f>
        <v>2029-30</v>
      </c>
      <c r="L17" s="314" t="str">
        <f ca="1">dms_y7</f>
        <v>2030-31</v>
      </c>
    </row>
    <row r="18" spans="1:12" outlineLevel="2" x14ac:dyDescent="0.25">
      <c r="A18" s="253"/>
      <c r="B18" s="437" t="s">
        <v>272</v>
      </c>
      <c r="C18" s="438"/>
      <c r="D18" s="1373"/>
      <c r="E18" s="1373"/>
      <c r="F18" s="1373">
        <v>66291515.219941251</v>
      </c>
      <c r="G18" s="1374">
        <v>66041982.707227461</v>
      </c>
      <c r="H18" s="1190">
        <v>66947716.766640425</v>
      </c>
      <c r="I18" s="1189">
        <v>66947716.766640425</v>
      </c>
      <c r="J18" s="1189">
        <v>66947716.766640425</v>
      </c>
      <c r="K18" s="1189">
        <v>66947716.766640425</v>
      </c>
      <c r="L18" s="1191">
        <v>66947716.766640425</v>
      </c>
    </row>
    <row r="19" spans="1:12" outlineLevel="2" x14ac:dyDescent="0.25">
      <c r="A19" s="253"/>
      <c r="B19" s="437" t="s">
        <v>273</v>
      </c>
      <c r="C19" s="439"/>
      <c r="D19" s="440"/>
      <c r="E19" s="440"/>
      <c r="F19" s="440"/>
      <c r="G19" s="1192">
        <v>656201.54669917375</v>
      </c>
      <c r="H19" s="441"/>
      <c r="I19" s="440"/>
      <c r="J19" s="440"/>
      <c r="K19" s="440"/>
      <c r="L19" s="442"/>
    </row>
    <row r="20" spans="1:12" outlineLevel="2" x14ac:dyDescent="0.25">
      <c r="A20" s="253"/>
      <c r="B20" s="437" t="s">
        <v>274</v>
      </c>
      <c r="C20" s="439"/>
      <c r="D20" s="440"/>
      <c r="E20" s="440"/>
      <c r="F20" s="440"/>
      <c r="G20" s="443"/>
      <c r="H20" s="1193">
        <v>1288660.5716865147</v>
      </c>
      <c r="I20" s="1194">
        <v>1715001.4572963826</v>
      </c>
      <c r="J20" s="1194">
        <v>2241507.1806375324</v>
      </c>
      <c r="K20" s="1194">
        <v>2880123.7176709194</v>
      </c>
      <c r="L20" s="1195">
        <v>3494888.0252948045</v>
      </c>
    </row>
    <row r="21" spans="1:12" outlineLevel="2" x14ac:dyDescent="0.25">
      <c r="A21" s="253"/>
      <c r="B21" s="437" t="s">
        <v>275</v>
      </c>
      <c r="C21" s="439"/>
      <c r="D21" s="440"/>
      <c r="E21" s="440"/>
      <c r="F21" s="440"/>
      <c r="G21" s="443"/>
      <c r="H21" s="1193">
        <v>300892.94330580812</v>
      </c>
      <c r="I21" s="1194">
        <v>391018.42621008173</v>
      </c>
      <c r="J21" s="1194">
        <v>727818.01049355301</v>
      </c>
      <c r="K21" s="1194">
        <v>1012693.4778984418</v>
      </c>
      <c r="L21" s="1195">
        <v>1244837.3934234276</v>
      </c>
    </row>
    <row r="22" spans="1:12" outlineLevel="2" x14ac:dyDescent="0.25">
      <c r="A22" s="253"/>
      <c r="B22" s="437" t="s">
        <v>276</v>
      </c>
      <c r="C22" s="439"/>
      <c r="D22" s="440"/>
      <c r="E22" s="440"/>
      <c r="F22" s="440"/>
      <c r="G22" s="443"/>
      <c r="H22" s="1193">
        <v>-536652.89760139119</v>
      </c>
      <c r="I22" s="1194">
        <v>-806590.37625835859</v>
      </c>
      <c r="J22" s="1194">
        <v>-1077607.6048299577</v>
      </c>
      <c r="K22" s="1194">
        <v>-1349708.9023158345</v>
      </c>
      <c r="L22" s="1195">
        <v>-1622898.6049916588</v>
      </c>
    </row>
    <row r="23" spans="1:12" outlineLevel="2" x14ac:dyDescent="0.25">
      <c r="A23" s="253"/>
      <c r="B23" s="444" t="s">
        <v>277</v>
      </c>
      <c r="C23" s="439"/>
      <c r="D23" s="440"/>
      <c r="E23" s="440"/>
      <c r="F23" s="440"/>
      <c r="G23" s="443"/>
      <c r="H23" s="1193">
        <v>8093464.1650179578</v>
      </c>
      <c r="I23" s="1194">
        <v>14684080.113258401</v>
      </c>
      <c r="J23" s="1194">
        <v>25984597.99187078</v>
      </c>
      <c r="K23" s="1194">
        <v>20771646.691379894</v>
      </c>
      <c r="L23" s="1195">
        <v>16945446.97701136</v>
      </c>
    </row>
    <row r="24" spans="1:12" ht="15.75" outlineLevel="2" thickBot="1" x14ac:dyDescent="0.3">
      <c r="A24" s="253"/>
      <c r="B24" s="445" t="s">
        <v>278</v>
      </c>
      <c r="C24" s="446"/>
      <c r="D24" s="519"/>
      <c r="E24" s="519"/>
      <c r="F24" s="1247">
        <f>IF(ISBLANK('E17. Step changes'!D71),"",'E17. Step changes'!D71)</f>
        <v>10017925.634812564</v>
      </c>
      <c r="G24" s="1248">
        <f>IF(ISBLANK('E17. Step changes'!E71),"",'E17. Step changes'!E71)</f>
        <v>11634226.987030976</v>
      </c>
      <c r="H24" s="1249">
        <f>IF(ISBLANK('E17. Step changes'!F71),"",'E17. Step changes'!F71)</f>
        <v>9431436.5584680829</v>
      </c>
      <c r="I24" s="1247">
        <f>IF(ISBLANK('E17. Step changes'!G71),"",'E17. Step changes'!G71)</f>
        <v>9614561.8454987556</v>
      </c>
      <c r="J24" s="1247">
        <f>IF(ISBLANK('E17. Step changes'!H71),"",'E17. Step changes'!H71)</f>
        <v>9655361.9641339183</v>
      </c>
      <c r="K24" s="1247">
        <f>IF(ISBLANK('E17. Step changes'!I71),"",'E17. Step changes'!I71)</f>
        <v>9758248.1186029594</v>
      </c>
      <c r="L24" s="1250">
        <f>IF(ISBLANK('E17. Step changes'!J71),"",'E17. Step changes'!J71)</f>
        <v>9860269.2659757473</v>
      </c>
    </row>
    <row r="25" spans="1:12" ht="15.75" outlineLevel="1" thickBot="1" x14ac:dyDescent="0.3">
      <c r="B25" s="332"/>
    </row>
    <row r="26" spans="1:12" ht="25.5" customHeight="1" outlineLevel="1" thickBot="1" x14ac:dyDescent="0.3">
      <c r="A26" s="253"/>
      <c r="B26" s="247" t="s">
        <v>279</v>
      </c>
      <c r="C26" s="248"/>
      <c r="D26" s="248"/>
      <c r="E26" s="248"/>
      <c r="F26" s="248"/>
      <c r="G26" s="248"/>
      <c r="H26" s="248"/>
      <c r="I26" s="248"/>
      <c r="J26" s="248"/>
      <c r="K26" s="248"/>
      <c r="L26" s="249"/>
    </row>
    <row r="27" spans="1:12" ht="24.75" customHeight="1" outlineLevel="2" x14ac:dyDescent="0.25">
      <c r="C27" s="1379" t="s">
        <v>24</v>
      </c>
      <c r="D27" s="1379"/>
      <c r="E27" s="1379"/>
      <c r="F27" s="1379"/>
      <c r="G27" s="1379"/>
      <c r="H27" s="1379"/>
      <c r="I27" s="1379"/>
      <c r="J27" s="1379"/>
      <c r="K27" s="1379"/>
      <c r="L27" s="1380"/>
    </row>
    <row r="28" spans="1:12" ht="24.75" customHeight="1" outlineLevel="2" x14ac:dyDescent="0.25">
      <c r="A28" s="253"/>
      <c r="C28" s="1378" t="str">
        <f ca="1">CONCATENATE("$, real ",dms_DollarReal)</f>
        <v>$, real June 2026</v>
      </c>
      <c r="D28" s="1378"/>
      <c r="E28" s="1378"/>
      <c r="F28" s="1378"/>
      <c r="G28" s="1378"/>
      <c r="H28" s="1378"/>
      <c r="I28" s="1378"/>
      <c r="J28" s="1378"/>
      <c r="K28" s="1378"/>
      <c r="L28" s="1381"/>
    </row>
    <row r="29" spans="1:12" ht="27.75" customHeight="1" outlineLevel="2" thickBot="1" x14ac:dyDescent="0.3">
      <c r="A29" s="253"/>
      <c r="B29" s="78"/>
      <c r="C29" s="314" t="str">
        <f ca="1">CRCP_y1</f>
        <v>2021-22</v>
      </c>
      <c r="D29" s="314" t="str">
        <f ca="1">CRCP_y2</f>
        <v>2022-23</v>
      </c>
      <c r="E29" s="314" t="str">
        <f ca="1">CRCP_y3</f>
        <v>2023-24</v>
      </c>
      <c r="F29" s="314" t="str">
        <f ca="1">dms_y1</f>
        <v>2024-25</v>
      </c>
      <c r="G29" s="314" t="str">
        <f ca="1">dms_y2</f>
        <v>2025-26</v>
      </c>
      <c r="H29" s="314" t="str">
        <f ca="1">dms_y3</f>
        <v>2026-27</v>
      </c>
      <c r="I29" s="314" t="str">
        <f ca="1">dms_y4</f>
        <v>2027-28</v>
      </c>
      <c r="J29" s="314" t="str">
        <f ca="1">dms_y5</f>
        <v>2028-29</v>
      </c>
      <c r="K29" s="314" t="str">
        <f ca="1">dms_y6</f>
        <v>2029-30</v>
      </c>
      <c r="L29" s="314" t="str">
        <f ca="1">dms_y7</f>
        <v>2030-31</v>
      </c>
    </row>
    <row r="30" spans="1:12" outlineLevel="2" x14ac:dyDescent="0.25">
      <c r="A30" s="253"/>
      <c r="B30" s="437" t="s">
        <v>272</v>
      </c>
      <c r="C30" s="438"/>
      <c r="D30" s="1373"/>
      <c r="E30" s="1373"/>
      <c r="F30" s="1373"/>
      <c r="G30" s="1374"/>
      <c r="H30" s="1190"/>
      <c r="I30" s="1189"/>
      <c r="J30" s="1189"/>
      <c r="K30" s="1189"/>
      <c r="L30" s="1191"/>
    </row>
    <row r="31" spans="1:12" outlineLevel="2" x14ac:dyDescent="0.25">
      <c r="A31" s="253"/>
      <c r="B31" s="437" t="s">
        <v>273</v>
      </c>
      <c r="C31" s="439"/>
      <c r="D31" s="440"/>
      <c r="E31" s="440"/>
      <c r="F31" s="440"/>
      <c r="G31" s="1192"/>
      <c r="H31" s="441"/>
      <c r="I31" s="440"/>
      <c r="J31" s="440"/>
      <c r="K31" s="440"/>
      <c r="L31" s="442"/>
    </row>
    <row r="32" spans="1:12" outlineLevel="2" x14ac:dyDescent="0.25">
      <c r="A32" s="253"/>
      <c r="B32" s="437" t="s">
        <v>274</v>
      </c>
      <c r="C32" s="439"/>
      <c r="D32" s="440"/>
      <c r="E32" s="440"/>
      <c r="F32" s="440"/>
      <c r="G32" s="443"/>
      <c r="H32" s="1193"/>
      <c r="I32" s="1194"/>
      <c r="J32" s="1194"/>
      <c r="K32" s="1194"/>
      <c r="L32" s="1195"/>
    </row>
    <row r="33" spans="1:12" outlineLevel="2" x14ac:dyDescent="0.25">
      <c r="A33" s="253"/>
      <c r="B33" s="437" t="s">
        <v>275</v>
      </c>
      <c r="C33" s="439"/>
      <c r="D33" s="440"/>
      <c r="E33" s="440"/>
      <c r="F33" s="440"/>
      <c r="G33" s="443"/>
      <c r="H33" s="1193"/>
      <c r="I33" s="1194"/>
      <c r="J33" s="1194"/>
      <c r="K33" s="1194"/>
      <c r="L33" s="1195"/>
    </row>
    <row r="34" spans="1:12" outlineLevel="2" x14ac:dyDescent="0.25">
      <c r="A34" s="253"/>
      <c r="B34" s="437" t="s">
        <v>276</v>
      </c>
      <c r="C34" s="439"/>
      <c r="D34" s="440"/>
      <c r="E34" s="440"/>
      <c r="F34" s="440"/>
      <c r="G34" s="443"/>
      <c r="H34" s="1193"/>
      <c r="I34" s="1194"/>
      <c r="J34" s="1194"/>
      <c r="K34" s="1194"/>
      <c r="L34" s="1195"/>
    </row>
    <row r="35" spans="1:12" outlineLevel="2" x14ac:dyDescent="0.25">
      <c r="A35" s="253"/>
      <c r="B35" s="444" t="s">
        <v>277</v>
      </c>
      <c r="C35" s="439"/>
      <c r="D35" s="440"/>
      <c r="E35" s="440"/>
      <c r="F35" s="440"/>
      <c r="G35" s="443"/>
      <c r="H35" s="1193"/>
      <c r="I35" s="1194"/>
      <c r="J35" s="1194"/>
      <c r="K35" s="1194"/>
      <c r="L35" s="1195"/>
    </row>
    <row r="36" spans="1:12" ht="15.75" outlineLevel="2" thickBot="1" x14ac:dyDescent="0.3">
      <c r="A36" s="253"/>
      <c r="B36" s="445" t="s">
        <v>278</v>
      </c>
      <c r="C36" s="446"/>
      <c r="D36" s="519"/>
      <c r="E36" s="519"/>
      <c r="F36" s="519"/>
      <c r="G36" s="520"/>
      <c r="H36" s="521"/>
      <c r="I36" s="519"/>
      <c r="J36" s="519"/>
      <c r="K36" s="519"/>
      <c r="L36" s="522"/>
    </row>
    <row r="37" spans="1:12" outlineLevel="1" x14ac:dyDescent="0.25">
      <c r="B37" s="332"/>
    </row>
    <row r="38" spans="1:12" x14ac:dyDescent="0.25">
      <c r="A38" s="253"/>
    </row>
    <row r="39" spans="1:12" ht="15.75" thickBot="1" x14ac:dyDescent="0.3">
      <c r="A39" s="253"/>
    </row>
    <row r="40" spans="1:12" ht="25.5" customHeight="1" thickBot="1" x14ac:dyDescent="0.3">
      <c r="A40" s="253"/>
      <c r="B40" s="32" t="s">
        <v>280</v>
      </c>
      <c r="C40" s="32"/>
      <c r="D40" s="32"/>
      <c r="E40" s="32"/>
      <c r="F40" s="32"/>
      <c r="G40" s="32"/>
      <c r="H40" s="32"/>
      <c r="I40" s="32"/>
      <c r="J40" s="32"/>
      <c r="K40" s="32"/>
      <c r="L40" s="32"/>
    </row>
    <row r="41" spans="1:12" ht="25.5" customHeight="1" outlineLevel="1" thickBot="1" x14ac:dyDescent="0.3">
      <c r="A41" s="253"/>
      <c r="B41" s="247" t="s">
        <v>281</v>
      </c>
      <c r="C41" s="248"/>
      <c r="D41" s="248"/>
      <c r="E41" s="248"/>
      <c r="F41" s="248"/>
      <c r="G41" s="248"/>
      <c r="H41" s="248"/>
      <c r="I41" s="248"/>
      <c r="J41" s="248"/>
      <c r="K41" s="248"/>
      <c r="L41" s="249"/>
    </row>
    <row r="42" spans="1:12" ht="24.75" customHeight="1" outlineLevel="2" x14ac:dyDescent="0.25">
      <c r="C42" s="1379" t="s">
        <v>24</v>
      </c>
      <c r="D42" s="1379"/>
      <c r="E42" s="1379"/>
      <c r="F42" s="1379"/>
      <c r="G42" s="1379"/>
      <c r="H42" s="1379"/>
      <c r="I42" s="1379"/>
      <c r="J42" s="1379"/>
      <c r="K42" s="1379"/>
      <c r="L42" s="1380"/>
    </row>
    <row r="43" spans="1:12" ht="24.75" customHeight="1" outlineLevel="2" x14ac:dyDescent="0.25">
      <c r="A43" s="253"/>
      <c r="C43" s="1378" t="str">
        <f ca="1">CONCATENATE("$, real ",dms_DollarReal)</f>
        <v>$, real June 2026</v>
      </c>
      <c r="D43" s="1378"/>
      <c r="E43" s="1378"/>
      <c r="F43" s="1378"/>
      <c r="G43" s="1378"/>
      <c r="H43" s="1378"/>
      <c r="I43" s="1378"/>
      <c r="J43" s="1378"/>
      <c r="K43" s="1378"/>
      <c r="L43" s="1381"/>
    </row>
    <row r="44" spans="1:12" ht="22.5" customHeight="1" outlineLevel="2" thickBot="1" x14ac:dyDescent="0.3">
      <c r="A44" s="77"/>
      <c r="B44" s="319"/>
      <c r="C44" s="314" t="str">
        <f ca="1">CRCP_y1</f>
        <v>2021-22</v>
      </c>
      <c r="D44" s="314" t="str">
        <f ca="1">CRCP_y2</f>
        <v>2022-23</v>
      </c>
      <c r="E44" s="314" t="str">
        <f ca="1">CRCP_y3</f>
        <v>2023-24</v>
      </c>
      <c r="F44" s="314" t="str">
        <f ca="1">dms_y1</f>
        <v>2024-25</v>
      </c>
      <c r="G44" s="314" t="str">
        <f ca="1">dms_y2</f>
        <v>2025-26</v>
      </c>
      <c r="H44" s="314" t="str">
        <f ca="1">dms_y3</f>
        <v>2026-27</v>
      </c>
      <c r="I44" s="314" t="str">
        <f ca="1">dms_y4</f>
        <v>2027-28</v>
      </c>
      <c r="J44" s="314" t="str">
        <f ca="1">dms_y5</f>
        <v>2028-29</v>
      </c>
      <c r="K44" s="314" t="str">
        <f ca="1">dms_y6</f>
        <v>2029-30</v>
      </c>
      <c r="L44" s="314" t="str">
        <f ca="1">dms_y7</f>
        <v>2030-31</v>
      </c>
    </row>
    <row r="45" spans="1:12" outlineLevel="2" x14ac:dyDescent="0.25">
      <c r="B45" s="1179" t="s">
        <v>282</v>
      </c>
      <c r="C45" s="1178"/>
      <c r="D45" s="583"/>
      <c r="E45" s="583"/>
      <c r="F45" s="379"/>
      <c r="G45" s="396"/>
      <c r="H45" s="502"/>
      <c r="I45" s="379"/>
      <c r="J45" s="379"/>
      <c r="K45" s="379"/>
      <c r="L45" s="495"/>
    </row>
    <row r="46" spans="1:12" outlineLevel="2" x14ac:dyDescent="0.25">
      <c r="B46" s="1204" t="s">
        <v>283</v>
      </c>
      <c r="C46" s="1178"/>
      <c r="D46" s="583"/>
      <c r="E46" s="583"/>
      <c r="F46" s="379"/>
      <c r="G46" s="396"/>
      <c r="H46" s="502"/>
      <c r="I46" s="379"/>
      <c r="J46" s="379"/>
      <c r="K46" s="379"/>
      <c r="L46" s="495"/>
    </row>
    <row r="47" spans="1:12" outlineLevel="2" x14ac:dyDescent="0.25">
      <c r="B47" s="1180" t="s">
        <v>284</v>
      </c>
      <c r="C47" s="596"/>
      <c r="D47" s="586"/>
      <c r="E47" s="586"/>
      <c r="F47" s="260"/>
      <c r="G47" s="384"/>
      <c r="H47" s="259"/>
      <c r="I47" s="260"/>
      <c r="J47" s="260"/>
      <c r="K47" s="260"/>
      <c r="L47" s="245"/>
    </row>
    <row r="48" spans="1:12" outlineLevel="2" x14ac:dyDescent="0.25">
      <c r="B48" s="1180" t="s">
        <v>285</v>
      </c>
      <c r="C48" s="596"/>
      <c r="D48" s="586"/>
      <c r="E48" s="586"/>
      <c r="F48" s="260"/>
      <c r="G48" s="384"/>
      <c r="H48" s="259"/>
      <c r="I48" s="260"/>
      <c r="J48" s="260"/>
      <c r="K48" s="260"/>
      <c r="L48" s="245"/>
    </row>
    <row r="49" spans="1:12" outlineLevel="2" x14ac:dyDescent="0.25">
      <c r="B49" s="1180" t="s">
        <v>286</v>
      </c>
      <c r="C49" s="596"/>
      <c r="D49" s="586"/>
      <c r="E49" s="586"/>
      <c r="F49" s="260"/>
      <c r="G49" s="384"/>
      <c r="H49" s="259"/>
      <c r="I49" s="260"/>
      <c r="J49" s="260"/>
      <c r="K49" s="260"/>
      <c r="L49" s="245"/>
    </row>
    <row r="50" spans="1:12" outlineLevel="2" x14ac:dyDescent="0.25">
      <c r="B50" s="1180" t="s">
        <v>287</v>
      </c>
      <c r="C50" s="596"/>
      <c r="D50" s="586"/>
      <c r="E50" s="586"/>
      <c r="F50" s="260"/>
      <c r="G50" s="384"/>
      <c r="H50" s="259"/>
      <c r="I50" s="260"/>
      <c r="J50" s="260"/>
      <c r="K50" s="260"/>
      <c r="L50" s="245"/>
    </row>
    <row r="51" spans="1:12" outlineLevel="2" x14ac:dyDescent="0.25">
      <c r="B51" s="1180" t="s">
        <v>288</v>
      </c>
      <c r="C51" s="596"/>
      <c r="D51" s="586"/>
      <c r="E51" s="586"/>
      <c r="F51" s="260"/>
      <c r="G51" s="384"/>
      <c r="H51" s="259"/>
      <c r="I51" s="260"/>
      <c r="J51" s="260"/>
      <c r="K51" s="260"/>
      <c r="L51" s="245"/>
    </row>
    <row r="52" spans="1:12" outlineLevel="2" x14ac:dyDescent="0.25">
      <c r="B52" s="1181" t="s">
        <v>289</v>
      </c>
      <c r="C52" s="596"/>
      <c r="D52" s="586"/>
      <c r="E52" s="586"/>
      <c r="F52" s="260"/>
      <c r="G52" s="384"/>
      <c r="H52" s="259"/>
      <c r="I52" s="260"/>
      <c r="J52" s="260"/>
      <c r="K52" s="260"/>
      <c r="L52" s="245"/>
    </row>
    <row r="53" spans="1:12" ht="15.75" outlineLevel="2" thickBot="1" x14ac:dyDescent="0.3">
      <c r="B53" s="323" t="s">
        <v>146</v>
      </c>
      <c r="C53" s="598"/>
      <c r="D53" s="598"/>
      <c r="E53" s="598"/>
      <c r="F53" s="598">
        <f t="shared" ref="F53:L53" si="0">SUM(F45:F52)</f>
        <v>0</v>
      </c>
      <c r="G53" s="598">
        <f t="shared" si="0"/>
        <v>0</v>
      </c>
      <c r="H53" s="598">
        <f t="shared" si="0"/>
        <v>0</v>
      </c>
      <c r="I53" s="598">
        <f t="shared" si="0"/>
        <v>0</v>
      </c>
      <c r="J53" s="598">
        <f t="shared" si="0"/>
        <v>0</v>
      </c>
      <c r="K53" s="598">
        <f t="shared" si="0"/>
        <v>0</v>
      </c>
      <c r="L53" s="598">
        <f t="shared" si="0"/>
        <v>0</v>
      </c>
    </row>
    <row r="54" spans="1:12" ht="15.75" outlineLevel="1" thickBot="1" x14ac:dyDescent="0.3"/>
    <row r="55" spans="1:12" ht="25.5" customHeight="1" outlineLevel="1" thickBot="1" x14ac:dyDescent="0.3">
      <c r="A55" s="253"/>
      <c r="B55" s="247" t="s">
        <v>290</v>
      </c>
      <c r="C55" s="248"/>
      <c r="D55" s="248"/>
      <c r="E55" s="248"/>
      <c r="F55" s="248"/>
      <c r="G55" s="248"/>
      <c r="H55" s="248"/>
      <c r="I55" s="248"/>
      <c r="J55" s="248"/>
      <c r="K55" s="248"/>
      <c r="L55" s="249"/>
    </row>
    <row r="56" spans="1:12" ht="24.75" customHeight="1" outlineLevel="2" x14ac:dyDescent="0.25">
      <c r="C56" s="1379" t="s">
        <v>24</v>
      </c>
      <c r="D56" s="1379"/>
      <c r="E56" s="1379"/>
      <c r="F56" s="1379"/>
      <c r="G56" s="1379"/>
      <c r="H56" s="1379"/>
      <c r="I56" s="1379"/>
      <c r="J56" s="1379"/>
      <c r="K56" s="1379"/>
      <c r="L56" s="1380"/>
    </row>
    <row r="57" spans="1:12" ht="24.75" customHeight="1" outlineLevel="2" x14ac:dyDescent="0.25">
      <c r="A57" s="253"/>
      <c r="C57" s="1378" t="str">
        <f ca="1">CONCATENATE("$, real ",dms_DollarReal)</f>
        <v>$, real June 2026</v>
      </c>
      <c r="D57" s="1378"/>
      <c r="E57" s="1378"/>
      <c r="F57" s="1378"/>
      <c r="G57" s="1378"/>
      <c r="H57" s="1378"/>
      <c r="I57" s="1378"/>
      <c r="J57" s="1378"/>
      <c r="K57" s="1378"/>
      <c r="L57" s="1381"/>
    </row>
    <row r="58" spans="1:12" ht="22.5" customHeight="1" outlineLevel="2" thickBot="1" x14ac:dyDescent="0.3">
      <c r="A58" s="77"/>
      <c r="B58" s="63"/>
      <c r="C58" s="314" t="str">
        <f ca="1">CRCP_y1</f>
        <v>2021-22</v>
      </c>
      <c r="D58" s="314" t="str">
        <f ca="1">CRCP_y2</f>
        <v>2022-23</v>
      </c>
      <c r="E58" s="314" t="str">
        <f ca="1">CRCP_y3</f>
        <v>2023-24</v>
      </c>
      <c r="F58" s="314" t="str">
        <f ca="1">dms_y1</f>
        <v>2024-25</v>
      </c>
      <c r="G58" s="314" t="str">
        <f ca="1">dms_y2</f>
        <v>2025-26</v>
      </c>
      <c r="H58" s="314" t="str">
        <f ca="1">dms_y3</f>
        <v>2026-27</v>
      </c>
      <c r="I58" s="314" t="str">
        <f ca="1">dms_y4</f>
        <v>2027-28</v>
      </c>
      <c r="J58" s="314" t="str">
        <f ca="1">dms_y5</f>
        <v>2028-29</v>
      </c>
      <c r="K58" s="314" t="str">
        <f ca="1">dms_y6</f>
        <v>2029-30</v>
      </c>
      <c r="L58" s="314" t="str">
        <f ca="1">dms_y7</f>
        <v>2030-31</v>
      </c>
    </row>
    <row r="59" spans="1:12" outlineLevel="2" x14ac:dyDescent="0.25">
      <c r="A59" s="377"/>
      <c r="B59" s="1182"/>
      <c r="C59" s="595"/>
      <c r="D59" s="581"/>
      <c r="E59" s="581"/>
      <c r="F59" s="257"/>
      <c r="G59" s="369"/>
      <c r="H59" s="256"/>
      <c r="I59" s="257"/>
      <c r="J59" s="257"/>
      <c r="K59" s="257"/>
      <c r="L59" s="258"/>
    </row>
    <row r="60" spans="1:12" outlineLevel="2" x14ac:dyDescent="0.25">
      <c r="A60" s="377"/>
      <c r="B60" s="1183"/>
      <c r="C60" s="596"/>
      <c r="D60" s="586"/>
      <c r="E60" s="586"/>
      <c r="F60" s="260"/>
      <c r="G60" s="384"/>
      <c r="H60" s="259"/>
      <c r="I60" s="260"/>
      <c r="J60" s="260"/>
      <c r="K60" s="260"/>
      <c r="L60" s="245"/>
    </row>
    <row r="61" spans="1:12" outlineLevel="2" x14ac:dyDescent="0.25">
      <c r="A61" s="377"/>
      <c r="B61" s="1183"/>
      <c r="C61" s="596"/>
      <c r="D61" s="586"/>
      <c r="E61" s="586"/>
      <c r="F61" s="260"/>
      <c r="G61" s="384"/>
      <c r="H61" s="259"/>
      <c r="I61" s="260"/>
      <c r="J61" s="260"/>
      <c r="K61" s="260"/>
      <c r="L61" s="245"/>
    </row>
    <row r="62" spans="1:12" outlineLevel="2" x14ac:dyDescent="0.25">
      <c r="A62" s="377"/>
      <c r="B62" s="1183"/>
      <c r="C62" s="596"/>
      <c r="D62" s="586"/>
      <c r="E62" s="586"/>
      <c r="F62" s="260"/>
      <c r="G62" s="384"/>
      <c r="H62" s="259"/>
      <c r="I62" s="260"/>
      <c r="J62" s="260"/>
      <c r="K62" s="260"/>
      <c r="L62" s="245"/>
    </row>
    <row r="63" spans="1:12" outlineLevel="2" x14ac:dyDescent="0.25">
      <c r="A63" s="377"/>
      <c r="B63" s="1183"/>
      <c r="C63" s="596"/>
      <c r="D63" s="586"/>
      <c r="E63" s="586"/>
      <c r="F63" s="260"/>
      <c r="G63" s="384"/>
      <c r="H63" s="259"/>
      <c r="I63" s="260"/>
      <c r="J63" s="260"/>
      <c r="K63" s="260"/>
      <c r="L63" s="245"/>
    </row>
    <row r="64" spans="1:12" outlineLevel="2" x14ac:dyDescent="0.25">
      <c r="A64" s="377"/>
      <c r="B64" s="1183"/>
      <c r="C64" s="596"/>
      <c r="D64" s="586"/>
      <c r="E64" s="586"/>
      <c r="F64" s="260"/>
      <c r="G64" s="384"/>
      <c r="H64" s="259"/>
      <c r="I64" s="260"/>
      <c r="J64" s="260"/>
      <c r="K64" s="260"/>
      <c r="L64" s="245"/>
    </row>
    <row r="65" spans="1:12" outlineLevel="2" x14ac:dyDescent="0.25">
      <c r="A65" s="377"/>
      <c r="B65" s="1183"/>
      <c r="C65" s="596"/>
      <c r="D65" s="586"/>
      <c r="E65" s="586"/>
      <c r="F65" s="260"/>
      <c r="G65" s="384"/>
      <c r="H65" s="259"/>
      <c r="I65" s="260"/>
      <c r="J65" s="260"/>
      <c r="K65" s="260"/>
      <c r="L65" s="245"/>
    </row>
    <row r="66" spans="1:12" outlineLevel="2" x14ac:dyDescent="0.25">
      <c r="A66" s="377"/>
      <c r="B66" s="1183"/>
      <c r="C66" s="596"/>
      <c r="D66" s="586"/>
      <c r="E66" s="586"/>
      <c r="F66" s="260"/>
      <c r="G66" s="384"/>
      <c r="H66" s="259"/>
      <c r="I66" s="260"/>
      <c r="J66" s="260"/>
      <c r="K66" s="260"/>
      <c r="L66" s="245"/>
    </row>
    <row r="67" spans="1:12" outlineLevel="2" x14ac:dyDescent="0.25">
      <c r="A67" s="377"/>
      <c r="B67" s="1183"/>
      <c r="C67" s="596"/>
      <c r="D67" s="586"/>
      <c r="E67" s="586"/>
      <c r="F67" s="260"/>
      <c r="G67" s="384"/>
      <c r="H67" s="259"/>
      <c r="I67" s="260"/>
      <c r="J67" s="260"/>
      <c r="K67" s="260"/>
      <c r="L67" s="245"/>
    </row>
    <row r="68" spans="1:12" outlineLevel="2" x14ac:dyDescent="0.25">
      <c r="A68" s="377"/>
      <c r="B68" s="1183"/>
      <c r="C68" s="596"/>
      <c r="D68" s="586"/>
      <c r="E68" s="586"/>
      <c r="F68" s="260"/>
      <c r="G68" s="384"/>
      <c r="H68" s="259"/>
      <c r="I68" s="260"/>
      <c r="J68" s="260"/>
      <c r="K68" s="260"/>
      <c r="L68" s="245"/>
    </row>
    <row r="69" spans="1:12" outlineLevel="2" x14ac:dyDescent="0.25">
      <c r="A69" s="377"/>
      <c r="B69" s="1183"/>
      <c r="C69" s="596"/>
      <c r="D69" s="586"/>
      <c r="E69" s="586"/>
      <c r="F69" s="260"/>
      <c r="G69" s="384"/>
      <c r="H69" s="259"/>
      <c r="I69" s="260"/>
      <c r="J69" s="260"/>
      <c r="K69" s="260"/>
      <c r="L69" s="245"/>
    </row>
    <row r="70" spans="1:12" outlineLevel="2" x14ac:dyDescent="0.25">
      <c r="A70" s="377"/>
      <c r="B70" s="1183"/>
      <c r="C70" s="596"/>
      <c r="D70" s="586"/>
      <c r="E70" s="586"/>
      <c r="F70" s="260"/>
      <c r="G70" s="384"/>
      <c r="H70" s="259"/>
      <c r="I70" s="260"/>
      <c r="J70" s="260"/>
      <c r="K70" s="260"/>
      <c r="L70" s="245"/>
    </row>
    <row r="71" spans="1:12" outlineLevel="2" x14ac:dyDescent="0.25">
      <c r="A71" s="377"/>
      <c r="B71" s="1183"/>
      <c r="C71" s="596"/>
      <c r="D71" s="586"/>
      <c r="E71" s="586"/>
      <c r="F71" s="260"/>
      <c r="G71" s="384"/>
      <c r="H71" s="259"/>
      <c r="I71" s="260"/>
      <c r="J71" s="260"/>
      <c r="K71" s="260"/>
      <c r="L71" s="245"/>
    </row>
    <row r="72" spans="1:12" outlineLevel="2" x14ac:dyDescent="0.25">
      <c r="A72" s="377"/>
      <c r="B72" s="1183"/>
      <c r="C72" s="596"/>
      <c r="D72" s="586"/>
      <c r="E72" s="586"/>
      <c r="F72" s="260"/>
      <c r="G72" s="384"/>
      <c r="H72" s="259"/>
      <c r="I72" s="260"/>
      <c r="J72" s="260"/>
      <c r="K72" s="260"/>
      <c r="L72" s="245"/>
    </row>
    <row r="73" spans="1:12" outlineLevel="2" x14ac:dyDescent="0.25">
      <c r="A73" s="377"/>
      <c r="B73" s="1183"/>
      <c r="C73" s="596"/>
      <c r="D73" s="586"/>
      <c r="E73" s="586"/>
      <c r="F73" s="260"/>
      <c r="G73" s="384"/>
      <c r="H73" s="259"/>
      <c r="I73" s="260"/>
      <c r="J73" s="260"/>
      <c r="K73" s="260"/>
      <c r="L73" s="245"/>
    </row>
    <row r="74" spans="1:12" outlineLevel="2" x14ac:dyDescent="0.25">
      <c r="A74" s="377"/>
      <c r="B74" s="1183"/>
      <c r="C74" s="596"/>
      <c r="D74" s="586"/>
      <c r="E74" s="586"/>
      <c r="F74" s="260"/>
      <c r="G74" s="384"/>
      <c r="H74" s="259"/>
      <c r="I74" s="260"/>
      <c r="J74" s="260"/>
      <c r="K74" s="260"/>
      <c r="L74" s="245"/>
    </row>
    <row r="75" spans="1:12" outlineLevel="2" x14ac:dyDescent="0.25">
      <c r="A75" s="377"/>
      <c r="B75" s="1183"/>
      <c r="C75" s="596"/>
      <c r="D75" s="586"/>
      <c r="E75" s="586"/>
      <c r="F75" s="260"/>
      <c r="G75" s="384"/>
      <c r="H75" s="259"/>
      <c r="I75" s="260"/>
      <c r="J75" s="260"/>
      <c r="K75" s="260"/>
      <c r="L75" s="245"/>
    </row>
    <row r="76" spans="1:12" outlineLevel="2" x14ac:dyDescent="0.25">
      <c r="A76" s="377"/>
      <c r="B76" s="1183"/>
      <c r="C76" s="596"/>
      <c r="D76" s="586"/>
      <c r="E76" s="586"/>
      <c r="F76" s="260"/>
      <c r="G76" s="384"/>
      <c r="H76" s="259"/>
      <c r="I76" s="260"/>
      <c r="J76" s="260"/>
      <c r="K76" s="260"/>
      <c r="L76" s="245"/>
    </row>
    <row r="77" spans="1:12" outlineLevel="2" x14ac:dyDescent="0.25">
      <c r="A77" s="377"/>
      <c r="B77" s="1183"/>
      <c r="C77" s="596"/>
      <c r="D77" s="586"/>
      <c r="E77" s="586"/>
      <c r="F77" s="260"/>
      <c r="G77" s="384"/>
      <c r="H77" s="259"/>
      <c r="I77" s="260"/>
      <c r="J77" s="260"/>
      <c r="K77" s="260"/>
      <c r="L77" s="245"/>
    </row>
    <row r="78" spans="1:12" outlineLevel="2" x14ac:dyDescent="0.25">
      <c r="A78" s="377"/>
      <c r="B78" s="1183"/>
      <c r="C78" s="596"/>
      <c r="D78" s="586"/>
      <c r="E78" s="586"/>
      <c r="F78" s="260"/>
      <c r="G78" s="384"/>
      <c r="H78" s="259"/>
      <c r="I78" s="260"/>
      <c r="J78" s="260"/>
      <c r="K78" s="260"/>
      <c r="L78" s="245"/>
    </row>
    <row r="79" spans="1:12" outlineLevel="2" x14ac:dyDescent="0.25">
      <c r="A79" s="377"/>
      <c r="B79" s="1183"/>
      <c r="C79" s="596"/>
      <c r="D79" s="586"/>
      <c r="E79" s="586"/>
      <c r="F79" s="260"/>
      <c r="G79" s="384"/>
      <c r="H79" s="259"/>
      <c r="I79" s="260"/>
      <c r="J79" s="260"/>
      <c r="K79" s="260"/>
      <c r="L79" s="245"/>
    </row>
    <row r="80" spans="1:12" outlineLevel="2" x14ac:dyDescent="0.25">
      <c r="A80" s="377"/>
      <c r="B80" s="1183"/>
      <c r="C80" s="596"/>
      <c r="D80" s="586"/>
      <c r="E80" s="586"/>
      <c r="F80" s="260"/>
      <c r="G80" s="384"/>
      <c r="H80" s="259"/>
      <c r="I80" s="260"/>
      <c r="J80" s="260"/>
      <c r="K80" s="260"/>
      <c r="L80" s="245"/>
    </row>
    <row r="81" spans="1:12" outlineLevel="2" x14ac:dyDescent="0.25">
      <c r="A81" s="377"/>
      <c r="B81" s="1183"/>
      <c r="C81" s="596"/>
      <c r="D81" s="586"/>
      <c r="E81" s="586"/>
      <c r="F81" s="260"/>
      <c r="G81" s="384"/>
      <c r="H81" s="259"/>
      <c r="I81" s="260"/>
      <c r="J81" s="260"/>
      <c r="K81" s="260"/>
      <c r="L81" s="245"/>
    </row>
    <row r="82" spans="1:12" outlineLevel="2" x14ac:dyDescent="0.25">
      <c r="A82" s="377"/>
      <c r="B82" s="1183"/>
      <c r="C82" s="596"/>
      <c r="D82" s="586"/>
      <c r="E82" s="586"/>
      <c r="F82" s="260"/>
      <c r="G82" s="384"/>
      <c r="H82" s="259"/>
      <c r="I82" s="260"/>
      <c r="J82" s="260"/>
      <c r="K82" s="260"/>
      <c r="L82" s="245"/>
    </row>
    <row r="83" spans="1:12" outlineLevel="2" x14ac:dyDescent="0.25">
      <c r="A83" s="377"/>
      <c r="B83" s="1184"/>
      <c r="C83" s="597"/>
      <c r="D83" s="588"/>
      <c r="E83" s="588"/>
      <c r="F83" s="368"/>
      <c r="G83" s="370"/>
      <c r="H83" s="371"/>
      <c r="I83" s="368"/>
      <c r="J83" s="368"/>
      <c r="K83" s="368"/>
      <c r="L83" s="591"/>
    </row>
    <row r="84" spans="1:12" ht="15.75" outlineLevel="2" thickBot="1" x14ac:dyDescent="0.3">
      <c r="A84" s="377"/>
      <c r="B84" s="323" t="s">
        <v>146</v>
      </c>
      <c r="C84" s="598"/>
      <c r="D84" s="598"/>
      <c r="E84" s="598"/>
      <c r="F84" s="598">
        <f>SUM(F59:F83)</f>
        <v>0</v>
      </c>
      <c r="G84" s="598">
        <f t="shared" ref="G84:L84" si="1">SUM(G59:G83)</f>
        <v>0</v>
      </c>
      <c r="H84" s="598">
        <f t="shared" si="1"/>
        <v>0</v>
      </c>
      <c r="I84" s="598">
        <f t="shared" si="1"/>
        <v>0</v>
      </c>
      <c r="J84" s="598">
        <f t="shared" si="1"/>
        <v>0</v>
      </c>
      <c r="K84" s="598">
        <f t="shared" si="1"/>
        <v>0</v>
      </c>
      <c r="L84" s="599">
        <f t="shared" si="1"/>
        <v>0</v>
      </c>
    </row>
    <row r="85" spans="1:12" outlineLevel="1" x14ac:dyDescent="0.25">
      <c r="A85" s="253"/>
    </row>
    <row r="86" spans="1:12" x14ac:dyDescent="0.25">
      <c r="A86" s="253"/>
    </row>
    <row r="87" spans="1:12" ht="15.75" thickBot="1" x14ac:dyDescent="0.3">
      <c r="A87" s="253"/>
    </row>
    <row r="88" spans="1:12" s="51" customFormat="1" ht="28.5" customHeight="1" thickBot="1" x14ac:dyDescent="0.25">
      <c r="A88" s="77"/>
      <c r="B88" s="32" t="s">
        <v>291</v>
      </c>
      <c r="C88" s="32"/>
      <c r="D88" s="32"/>
      <c r="E88" s="32"/>
      <c r="F88" s="32"/>
      <c r="G88" s="32"/>
      <c r="H88" s="32"/>
      <c r="I88" s="32"/>
      <c r="J88" s="32"/>
      <c r="K88" s="32"/>
      <c r="L88" s="32"/>
    </row>
    <row r="89" spans="1:12" ht="24.75" customHeight="1" outlineLevel="1" thickBot="1" x14ac:dyDescent="0.3">
      <c r="A89" s="253"/>
      <c r="B89" s="247" t="s">
        <v>292</v>
      </c>
      <c r="C89" s="248"/>
      <c r="D89" s="248"/>
      <c r="E89" s="248"/>
      <c r="F89" s="248"/>
      <c r="G89" s="248"/>
      <c r="H89" s="248"/>
      <c r="I89" s="248"/>
      <c r="J89" s="248"/>
      <c r="K89" s="248"/>
      <c r="L89" s="249"/>
    </row>
    <row r="90" spans="1:12" ht="24.75" customHeight="1" outlineLevel="2" x14ac:dyDescent="0.25">
      <c r="C90" s="1379" t="s">
        <v>24</v>
      </c>
      <c r="D90" s="1379"/>
      <c r="E90" s="1379"/>
      <c r="F90" s="1379"/>
      <c r="G90" s="1379"/>
      <c r="H90" s="1379"/>
      <c r="I90" s="1379"/>
      <c r="J90" s="1379"/>
      <c r="K90" s="1379"/>
      <c r="L90" s="1380"/>
    </row>
    <row r="91" spans="1:12" ht="24.75" customHeight="1" outlineLevel="2" x14ac:dyDescent="0.25">
      <c r="A91" s="253"/>
      <c r="C91" s="1378" t="str">
        <f ca="1">CONCATENATE("$, real ",dms_DollarReal)</f>
        <v>$, real June 2026</v>
      </c>
      <c r="D91" s="1378"/>
      <c r="E91" s="1378"/>
      <c r="F91" s="1378"/>
      <c r="G91" s="1378"/>
      <c r="H91" s="1378"/>
      <c r="I91" s="1378"/>
      <c r="J91" s="1378"/>
      <c r="K91" s="1378"/>
      <c r="L91" s="1381"/>
    </row>
    <row r="92" spans="1:12" ht="18.75" customHeight="1" outlineLevel="2" thickBot="1" x14ac:dyDescent="0.3">
      <c r="A92" s="77"/>
      <c r="B92" s="63"/>
      <c r="C92" s="314" t="str">
        <f ca="1">CRCP_y1</f>
        <v>2021-22</v>
      </c>
      <c r="D92" s="314" t="str">
        <f ca="1">CRCP_y2</f>
        <v>2022-23</v>
      </c>
      <c r="E92" s="314" t="str">
        <f ca="1">CRCP_y3</f>
        <v>2023-24</v>
      </c>
      <c r="F92" s="314" t="str">
        <f ca="1">dms_y1</f>
        <v>2024-25</v>
      </c>
      <c r="G92" s="314" t="str">
        <f ca="1">dms_y2</f>
        <v>2025-26</v>
      </c>
      <c r="H92" s="314" t="str">
        <f ca="1">dms_y3</f>
        <v>2026-27</v>
      </c>
      <c r="I92" s="314" t="str">
        <f ca="1">dms_y4</f>
        <v>2027-28</v>
      </c>
      <c r="J92" s="314" t="str">
        <f ca="1">dms_y5</f>
        <v>2028-29</v>
      </c>
      <c r="K92" s="314" t="str">
        <f ca="1">dms_y6</f>
        <v>2029-30</v>
      </c>
      <c r="L92" s="314" t="str">
        <f ca="1">dms_y7</f>
        <v>2030-31</v>
      </c>
    </row>
    <row r="93" spans="1:12" outlineLevel="2" x14ac:dyDescent="0.25">
      <c r="A93" s="377"/>
      <c r="B93" s="1179" t="s">
        <v>282</v>
      </c>
      <c r="C93" s="582"/>
      <c r="D93" s="583"/>
      <c r="E93" s="583"/>
      <c r="F93" s="379"/>
      <c r="G93" s="396"/>
      <c r="H93" s="502"/>
      <c r="I93" s="379"/>
      <c r="J93" s="379"/>
      <c r="K93" s="379"/>
      <c r="L93" s="495"/>
    </row>
    <row r="94" spans="1:12" outlineLevel="2" x14ac:dyDescent="0.25">
      <c r="A94" s="377"/>
      <c r="B94" s="1204" t="s">
        <v>283</v>
      </c>
      <c r="C94" s="582"/>
      <c r="D94" s="583"/>
      <c r="E94" s="583"/>
      <c r="F94" s="379"/>
      <c r="G94" s="396"/>
      <c r="H94" s="502"/>
      <c r="I94" s="379"/>
      <c r="J94" s="379"/>
      <c r="K94" s="379"/>
      <c r="L94" s="495"/>
    </row>
    <row r="95" spans="1:12" outlineLevel="2" x14ac:dyDescent="0.25">
      <c r="A95" s="377"/>
      <c r="B95" s="1180" t="s">
        <v>284</v>
      </c>
      <c r="C95" s="582"/>
      <c r="D95" s="583"/>
      <c r="E95" s="583"/>
      <c r="F95" s="379"/>
      <c r="G95" s="396"/>
      <c r="H95" s="502"/>
      <c r="I95" s="379"/>
      <c r="J95" s="379"/>
      <c r="K95" s="379"/>
      <c r="L95" s="495"/>
    </row>
    <row r="96" spans="1:12" outlineLevel="2" x14ac:dyDescent="0.25">
      <c r="A96" s="377"/>
      <c r="B96" s="1180" t="s">
        <v>285</v>
      </c>
      <c r="C96" s="582"/>
      <c r="D96" s="583"/>
      <c r="E96" s="583"/>
      <c r="F96" s="379"/>
      <c r="G96" s="396"/>
      <c r="H96" s="502"/>
      <c r="I96" s="379"/>
      <c r="J96" s="379"/>
      <c r="K96" s="379"/>
      <c r="L96" s="495"/>
    </row>
    <row r="97" spans="1:12" outlineLevel="2" x14ac:dyDescent="0.25">
      <c r="A97" s="377"/>
      <c r="B97" s="1180" t="s">
        <v>286</v>
      </c>
      <c r="C97" s="582"/>
      <c r="D97" s="583"/>
      <c r="E97" s="583"/>
      <c r="F97" s="379"/>
      <c r="G97" s="396"/>
      <c r="H97" s="502"/>
      <c r="I97" s="379"/>
      <c r="J97" s="379"/>
      <c r="K97" s="379"/>
      <c r="L97" s="495"/>
    </row>
    <row r="98" spans="1:12" outlineLevel="2" x14ac:dyDescent="0.25">
      <c r="A98" s="377"/>
      <c r="B98" s="1180" t="s">
        <v>287</v>
      </c>
      <c r="C98" s="582"/>
      <c r="D98" s="583"/>
      <c r="E98" s="583"/>
      <c r="F98" s="379"/>
      <c r="G98" s="396"/>
      <c r="H98" s="502"/>
      <c r="I98" s="379"/>
      <c r="J98" s="379"/>
      <c r="K98" s="379"/>
      <c r="L98" s="495"/>
    </row>
    <row r="99" spans="1:12" outlineLevel="2" x14ac:dyDescent="0.25">
      <c r="A99" s="377"/>
      <c r="B99" s="1180" t="s">
        <v>288</v>
      </c>
      <c r="C99" s="582"/>
      <c r="D99" s="583"/>
      <c r="E99" s="583"/>
      <c r="F99" s="379"/>
      <c r="G99" s="396"/>
      <c r="H99" s="502"/>
      <c r="I99" s="379"/>
      <c r="J99" s="379"/>
      <c r="K99" s="379"/>
      <c r="L99" s="495"/>
    </row>
    <row r="100" spans="1:12" outlineLevel="2" x14ac:dyDescent="0.25">
      <c r="A100" s="377"/>
      <c r="B100" s="1181" t="s">
        <v>289</v>
      </c>
      <c r="C100" s="582"/>
      <c r="D100" s="583"/>
      <c r="E100" s="583"/>
      <c r="F100" s="379"/>
      <c r="G100" s="396"/>
      <c r="H100" s="502"/>
      <c r="I100" s="379"/>
      <c r="J100" s="379"/>
      <c r="K100" s="379"/>
      <c r="L100" s="495"/>
    </row>
    <row r="101" spans="1:12" ht="15.75" outlineLevel="2" thickBot="1" x14ac:dyDescent="0.3">
      <c r="A101" s="377"/>
      <c r="B101" s="323" t="s">
        <v>146</v>
      </c>
      <c r="C101" s="2"/>
      <c r="D101" s="2"/>
      <c r="E101" s="2"/>
      <c r="F101" s="2">
        <f t="shared" ref="F101:L101" si="2">SUM(F93:F100)</f>
        <v>0</v>
      </c>
      <c r="G101" s="2">
        <f t="shared" si="2"/>
        <v>0</v>
      </c>
      <c r="H101" s="2">
        <f t="shared" si="2"/>
        <v>0</v>
      </c>
      <c r="I101" s="2">
        <f t="shared" si="2"/>
        <v>0</v>
      </c>
      <c r="J101" s="2">
        <f t="shared" si="2"/>
        <v>0</v>
      </c>
      <c r="K101" s="2">
        <f t="shared" si="2"/>
        <v>0</v>
      </c>
      <c r="L101" s="2">
        <f t="shared" si="2"/>
        <v>0</v>
      </c>
    </row>
    <row r="102" spans="1:12" ht="15.75" outlineLevel="1" thickBot="1" x14ac:dyDescent="0.3">
      <c r="A102" s="253"/>
    </row>
    <row r="103" spans="1:12" ht="32.25" customHeight="1" outlineLevel="1" thickBot="1" x14ac:dyDescent="0.3">
      <c r="A103" s="253"/>
      <c r="B103" s="247" t="s">
        <v>293</v>
      </c>
      <c r="C103" s="248"/>
      <c r="D103" s="248"/>
      <c r="E103" s="248"/>
      <c r="F103" s="248"/>
      <c r="G103" s="248"/>
      <c r="H103" s="248"/>
      <c r="I103" s="248"/>
      <c r="J103" s="248"/>
      <c r="K103" s="248"/>
      <c r="L103" s="249"/>
    </row>
    <row r="104" spans="1:12" ht="24.75" customHeight="1" outlineLevel="2" x14ac:dyDescent="0.25">
      <c r="C104" s="1379" t="s">
        <v>24</v>
      </c>
      <c r="D104" s="1379"/>
      <c r="E104" s="1379"/>
      <c r="F104" s="1379"/>
      <c r="G104" s="1379"/>
      <c r="H104" s="1379"/>
      <c r="I104" s="1379"/>
      <c r="J104" s="1379"/>
      <c r="K104" s="1379"/>
      <c r="L104" s="1380"/>
    </row>
    <row r="105" spans="1:12" ht="24.75" customHeight="1" outlineLevel="2" x14ac:dyDescent="0.25">
      <c r="A105" s="253"/>
      <c r="C105" s="1378" t="str">
        <f ca="1">CONCATENATE("$, real ",dms_DollarReal)</f>
        <v>$, real June 2026</v>
      </c>
      <c r="D105" s="1378"/>
      <c r="E105" s="1378"/>
      <c r="F105" s="1378"/>
      <c r="G105" s="1378"/>
      <c r="H105" s="1378"/>
      <c r="I105" s="1378"/>
      <c r="J105" s="1378"/>
      <c r="K105" s="1378"/>
      <c r="L105" s="1381"/>
    </row>
    <row r="106" spans="1:12" ht="22.5" customHeight="1" outlineLevel="2" thickBot="1" x14ac:dyDescent="0.3">
      <c r="A106" s="77"/>
      <c r="B106" s="319"/>
      <c r="C106" s="314" t="str">
        <f ca="1">CRCP_y1</f>
        <v>2021-22</v>
      </c>
      <c r="D106" s="314" t="str">
        <f ca="1">CRCP_y2</f>
        <v>2022-23</v>
      </c>
      <c r="E106" s="314" t="str">
        <f ca="1">CRCP_y3</f>
        <v>2023-24</v>
      </c>
      <c r="F106" s="314" t="str">
        <f ca="1">dms_y1</f>
        <v>2024-25</v>
      </c>
      <c r="G106" s="314" t="str">
        <f ca="1">dms_y2</f>
        <v>2025-26</v>
      </c>
      <c r="H106" s="314" t="str">
        <f ca="1">dms_y3</f>
        <v>2026-27</v>
      </c>
      <c r="I106" s="314" t="str">
        <f ca="1">dms_y4</f>
        <v>2027-28</v>
      </c>
      <c r="J106" s="314" t="str">
        <f ca="1">dms_y5</f>
        <v>2028-29</v>
      </c>
      <c r="K106" s="314" t="str">
        <f ca="1">dms_y6</f>
        <v>2029-30</v>
      </c>
      <c r="L106" s="314" t="str">
        <f ca="1">dms_y7</f>
        <v>2030-31</v>
      </c>
    </row>
    <row r="107" spans="1:12" outlineLevel="2" x14ac:dyDescent="0.25">
      <c r="A107" s="377"/>
      <c r="B107" s="1185" t="str">
        <f t="shared" ref="B107:B131" si="3">IF(ISBLANK(B59),"",B59)</f>
        <v/>
      </c>
      <c r="C107" s="595"/>
      <c r="D107" s="581"/>
      <c r="E107" s="581"/>
      <c r="F107" s="257"/>
      <c r="G107" s="369"/>
      <c r="H107" s="256"/>
      <c r="I107" s="257"/>
      <c r="J107" s="257"/>
      <c r="K107" s="257"/>
      <c r="L107" s="258"/>
    </row>
    <row r="108" spans="1:12" outlineLevel="2" x14ac:dyDescent="0.25">
      <c r="A108" s="377"/>
      <c r="B108" s="1186" t="str">
        <f t="shared" si="3"/>
        <v/>
      </c>
      <c r="C108" s="596"/>
      <c r="D108" s="586"/>
      <c r="E108" s="586"/>
      <c r="F108" s="260"/>
      <c r="G108" s="384"/>
      <c r="H108" s="259"/>
      <c r="I108" s="260"/>
      <c r="J108" s="260"/>
      <c r="K108" s="260"/>
      <c r="L108" s="245"/>
    </row>
    <row r="109" spans="1:12" outlineLevel="2" x14ac:dyDescent="0.25">
      <c r="A109" s="377"/>
      <c r="B109" s="1186" t="str">
        <f t="shared" si="3"/>
        <v/>
      </c>
      <c r="C109" s="596"/>
      <c r="D109" s="586"/>
      <c r="E109" s="586"/>
      <c r="F109" s="260"/>
      <c r="G109" s="384"/>
      <c r="H109" s="259"/>
      <c r="I109" s="260"/>
      <c r="J109" s="260"/>
      <c r="K109" s="260"/>
      <c r="L109" s="245"/>
    </row>
    <row r="110" spans="1:12" outlineLevel="2" x14ac:dyDescent="0.25">
      <c r="A110" s="377"/>
      <c r="B110" s="1186" t="str">
        <f t="shared" si="3"/>
        <v/>
      </c>
      <c r="C110" s="596"/>
      <c r="D110" s="586"/>
      <c r="E110" s="586"/>
      <c r="F110" s="260"/>
      <c r="G110" s="384"/>
      <c r="H110" s="259"/>
      <c r="I110" s="260"/>
      <c r="J110" s="260"/>
      <c r="K110" s="260"/>
      <c r="L110" s="245"/>
    </row>
    <row r="111" spans="1:12" outlineLevel="2" x14ac:dyDescent="0.25">
      <c r="A111" s="377"/>
      <c r="B111" s="1186" t="str">
        <f t="shared" si="3"/>
        <v/>
      </c>
      <c r="C111" s="596"/>
      <c r="D111" s="586"/>
      <c r="E111" s="586"/>
      <c r="F111" s="260"/>
      <c r="G111" s="384"/>
      <c r="H111" s="259"/>
      <c r="I111" s="260"/>
      <c r="J111" s="260"/>
      <c r="K111" s="260"/>
      <c r="L111" s="245"/>
    </row>
    <row r="112" spans="1:12" outlineLevel="2" x14ac:dyDescent="0.25">
      <c r="A112" s="377"/>
      <c r="B112" s="1186" t="str">
        <f t="shared" si="3"/>
        <v/>
      </c>
      <c r="C112" s="596"/>
      <c r="D112" s="586"/>
      <c r="E112" s="586"/>
      <c r="F112" s="260"/>
      <c r="G112" s="384"/>
      <c r="H112" s="259"/>
      <c r="I112" s="260"/>
      <c r="J112" s="260"/>
      <c r="K112" s="260"/>
      <c r="L112" s="245"/>
    </row>
    <row r="113" spans="1:12" outlineLevel="2" x14ac:dyDescent="0.25">
      <c r="A113" s="377"/>
      <c r="B113" s="1186" t="str">
        <f t="shared" si="3"/>
        <v/>
      </c>
      <c r="C113" s="596"/>
      <c r="D113" s="586"/>
      <c r="E113" s="586"/>
      <c r="F113" s="260"/>
      <c r="G113" s="384"/>
      <c r="H113" s="259"/>
      <c r="I113" s="260"/>
      <c r="J113" s="260"/>
      <c r="K113" s="260"/>
      <c r="L113" s="245"/>
    </row>
    <row r="114" spans="1:12" outlineLevel="2" x14ac:dyDescent="0.25">
      <c r="A114" s="377"/>
      <c r="B114" s="1186" t="str">
        <f t="shared" si="3"/>
        <v/>
      </c>
      <c r="C114" s="596"/>
      <c r="D114" s="586"/>
      <c r="E114" s="586"/>
      <c r="F114" s="260"/>
      <c r="G114" s="384"/>
      <c r="H114" s="259"/>
      <c r="I114" s="260"/>
      <c r="J114" s="260"/>
      <c r="K114" s="260"/>
      <c r="L114" s="245"/>
    </row>
    <row r="115" spans="1:12" outlineLevel="2" x14ac:dyDescent="0.25">
      <c r="A115" s="377"/>
      <c r="B115" s="1186" t="str">
        <f t="shared" si="3"/>
        <v/>
      </c>
      <c r="C115" s="596"/>
      <c r="D115" s="586"/>
      <c r="E115" s="586"/>
      <c r="F115" s="260"/>
      <c r="G115" s="384"/>
      <c r="H115" s="259"/>
      <c r="I115" s="260"/>
      <c r="J115" s="260"/>
      <c r="K115" s="260"/>
      <c r="L115" s="245"/>
    </row>
    <row r="116" spans="1:12" outlineLevel="2" x14ac:dyDescent="0.25">
      <c r="A116" s="377"/>
      <c r="B116" s="1186" t="str">
        <f t="shared" si="3"/>
        <v/>
      </c>
      <c r="C116" s="596"/>
      <c r="D116" s="586"/>
      <c r="E116" s="586"/>
      <c r="F116" s="260"/>
      <c r="G116" s="384"/>
      <c r="H116" s="259"/>
      <c r="I116" s="260"/>
      <c r="J116" s="260"/>
      <c r="K116" s="260"/>
      <c r="L116" s="245"/>
    </row>
    <row r="117" spans="1:12" outlineLevel="2" x14ac:dyDescent="0.25">
      <c r="A117" s="377"/>
      <c r="B117" s="1186" t="str">
        <f t="shared" si="3"/>
        <v/>
      </c>
      <c r="C117" s="596"/>
      <c r="D117" s="586"/>
      <c r="E117" s="586"/>
      <c r="F117" s="260"/>
      <c r="G117" s="384"/>
      <c r="H117" s="259"/>
      <c r="I117" s="260"/>
      <c r="J117" s="260"/>
      <c r="K117" s="260"/>
      <c r="L117" s="245"/>
    </row>
    <row r="118" spans="1:12" outlineLevel="2" x14ac:dyDescent="0.25">
      <c r="A118" s="377"/>
      <c r="B118" s="1186" t="str">
        <f t="shared" si="3"/>
        <v/>
      </c>
      <c r="C118" s="596"/>
      <c r="D118" s="586"/>
      <c r="E118" s="586"/>
      <c r="F118" s="260"/>
      <c r="G118" s="384"/>
      <c r="H118" s="259"/>
      <c r="I118" s="260"/>
      <c r="J118" s="260"/>
      <c r="K118" s="260"/>
      <c r="L118" s="245"/>
    </row>
    <row r="119" spans="1:12" outlineLevel="2" x14ac:dyDescent="0.25">
      <c r="A119" s="377"/>
      <c r="B119" s="1186" t="str">
        <f t="shared" si="3"/>
        <v/>
      </c>
      <c r="C119" s="596"/>
      <c r="D119" s="586"/>
      <c r="E119" s="586"/>
      <c r="F119" s="260"/>
      <c r="G119" s="384"/>
      <c r="H119" s="259"/>
      <c r="I119" s="260"/>
      <c r="J119" s="260"/>
      <c r="K119" s="260"/>
      <c r="L119" s="245"/>
    </row>
    <row r="120" spans="1:12" outlineLevel="2" x14ac:dyDescent="0.25">
      <c r="A120" s="377"/>
      <c r="B120" s="1186" t="str">
        <f t="shared" si="3"/>
        <v/>
      </c>
      <c r="C120" s="596"/>
      <c r="D120" s="586"/>
      <c r="E120" s="586"/>
      <c r="F120" s="260"/>
      <c r="G120" s="384"/>
      <c r="H120" s="259"/>
      <c r="I120" s="260"/>
      <c r="J120" s="260"/>
      <c r="K120" s="260"/>
      <c r="L120" s="245"/>
    </row>
    <row r="121" spans="1:12" outlineLevel="2" x14ac:dyDescent="0.25">
      <c r="A121" s="377"/>
      <c r="B121" s="1186" t="str">
        <f t="shared" si="3"/>
        <v/>
      </c>
      <c r="C121" s="596"/>
      <c r="D121" s="586"/>
      <c r="E121" s="586"/>
      <c r="F121" s="260"/>
      <c r="G121" s="384"/>
      <c r="H121" s="259"/>
      <c r="I121" s="260"/>
      <c r="J121" s="260"/>
      <c r="K121" s="260"/>
      <c r="L121" s="245"/>
    </row>
    <row r="122" spans="1:12" outlineLevel="2" x14ac:dyDescent="0.25">
      <c r="A122" s="377"/>
      <c r="B122" s="1186" t="str">
        <f t="shared" si="3"/>
        <v/>
      </c>
      <c r="C122" s="596"/>
      <c r="D122" s="586"/>
      <c r="E122" s="586"/>
      <c r="F122" s="260"/>
      <c r="G122" s="384"/>
      <c r="H122" s="259"/>
      <c r="I122" s="260"/>
      <c r="J122" s="260"/>
      <c r="K122" s="260"/>
      <c r="L122" s="245"/>
    </row>
    <row r="123" spans="1:12" outlineLevel="2" x14ac:dyDescent="0.25">
      <c r="A123" s="377"/>
      <c r="B123" s="1186" t="str">
        <f t="shared" si="3"/>
        <v/>
      </c>
      <c r="C123" s="596"/>
      <c r="D123" s="586"/>
      <c r="E123" s="586"/>
      <c r="F123" s="260"/>
      <c r="G123" s="384"/>
      <c r="H123" s="259"/>
      <c r="I123" s="260"/>
      <c r="J123" s="260"/>
      <c r="K123" s="260"/>
      <c r="L123" s="245"/>
    </row>
    <row r="124" spans="1:12" outlineLevel="2" x14ac:dyDescent="0.25">
      <c r="A124" s="377"/>
      <c r="B124" s="1186" t="str">
        <f t="shared" si="3"/>
        <v/>
      </c>
      <c r="C124" s="596"/>
      <c r="D124" s="586"/>
      <c r="E124" s="586"/>
      <c r="F124" s="260"/>
      <c r="G124" s="384"/>
      <c r="H124" s="259"/>
      <c r="I124" s="260"/>
      <c r="J124" s="260"/>
      <c r="K124" s="260"/>
      <c r="L124" s="245"/>
    </row>
    <row r="125" spans="1:12" outlineLevel="2" x14ac:dyDescent="0.25">
      <c r="A125" s="377"/>
      <c r="B125" s="1186" t="str">
        <f t="shared" si="3"/>
        <v/>
      </c>
      <c r="C125" s="596"/>
      <c r="D125" s="586"/>
      <c r="E125" s="586"/>
      <c r="F125" s="260"/>
      <c r="G125" s="384"/>
      <c r="H125" s="259"/>
      <c r="I125" s="260"/>
      <c r="J125" s="260"/>
      <c r="K125" s="260"/>
      <c r="L125" s="245"/>
    </row>
    <row r="126" spans="1:12" outlineLevel="2" x14ac:dyDescent="0.25">
      <c r="A126" s="377"/>
      <c r="B126" s="1186" t="str">
        <f t="shared" si="3"/>
        <v/>
      </c>
      <c r="C126" s="596"/>
      <c r="D126" s="586"/>
      <c r="E126" s="586"/>
      <c r="F126" s="260"/>
      <c r="G126" s="384"/>
      <c r="H126" s="259"/>
      <c r="I126" s="260"/>
      <c r="J126" s="260"/>
      <c r="K126" s="260"/>
      <c r="L126" s="245"/>
    </row>
    <row r="127" spans="1:12" outlineLevel="2" x14ac:dyDescent="0.25">
      <c r="A127" s="377"/>
      <c r="B127" s="1186" t="str">
        <f t="shared" si="3"/>
        <v/>
      </c>
      <c r="C127" s="596"/>
      <c r="D127" s="586"/>
      <c r="E127" s="586"/>
      <c r="F127" s="260"/>
      <c r="G127" s="384"/>
      <c r="H127" s="259"/>
      <c r="I127" s="260"/>
      <c r="J127" s="260"/>
      <c r="K127" s="260"/>
      <c r="L127" s="245"/>
    </row>
    <row r="128" spans="1:12" outlineLevel="2" x14ac:dyDescent="0.25">
      <c r="A128" s="377"/>
      <c r="B128" s="1186" t="str">
        <f t="shared" si="3"/>
        <v/>
      </c>
      <c r="C128" s="596"/>
      <c r="D128" s="586"/>
      <c r="E128" s="586"/>
      <c r="F128" s="260"/>
      <c r="G128" s="384"/>
      <c r="H128" s="259"/>
      <c r="I128" s="260"/>
      <c r="J128" s="260"/>
      <c r="K128" s="260"/>
      <c r="L128" s="245"/>
    </row>
    <row r="129" spans="1:12" outlineLevel="2" x14ac:dyDescent="0.25">
      <c r="A129" s="377"/>
      <c r="B129" s="1186" t="str">
        <f t="shared" si="3"/>
        <v/>
      </c>
      <c r="C129" s="596"/>
      <c r="D129" s="586"/>
      <c r="E129" s="586"/>
      <c r="F129" s="260"/>
      <c r="G129" s="384"/>
      <c r="H129" s="259"/>
      <c r="I129" s="260"/>
      <c r="J129" s="260"/>
      <c r="K129" s="260"/>
      <c r="L129" s="245"/>
    </row>
    <row r="130" spans="1:12" outlineLevel="2" x14ac:dyDescent="0.25">
      <c r="A130" s="377"/>
      <c r="B130" s="1186" t="str">
        <f t="shared" si="3"/>
        <v/>
      </c>
      <c r="C130" s="596"/>
      <c r="D130" s="586"/>
      <c r="E130" s="586"/>
      <c r="F130" s="260"/>
      <c r="G130" s="384"/>
      <c r="H130" s="259"/>
      <c r="I130" s="260"/>
      <c r="J130" s="260"/>
      <c r="K130" s="260"/>
      <c r="L130" s="245"/>
    </row>
    <row r="131" spans="1:12" outlineLevel="2" x14ac:dyDescent="0.25">
      <c r="A131" s="377"/>
      <c r="B131" s="1187" t="str">
        <f t="shared" si="3"/>
        <v/>
      </c>
      <c r="C131" s="597"/>
      <c r="D131" s="588"/>
      <c r="E131" s="588"/>
      <c r="F131" s="368"/>
      <c r="G131" s="370"/>
      <c r="H131" s="371"/>
      <c r="I131" s="368"/>
      <c r="J131" s="368"/>
      <c r="K131" s="368"/>
      <c r="L131" s="591"/>
    </row>
    <row r="132" spans="1:12" ht="15.75" outlineLevel="2" thickBot="1" x14ac:dyDescent="0.3">
      <c r="A132" s="377"/>
      <c r="B132" s="323" t="s">
        <v>146</v>
      </c>
      <c r="C132" s="2"/>
      <c r="D132" s="2"/>
      <c r="E132" s="2"/>
      <c r="F132" s="2">
        <f>SUM(F107:F131)</f>
        <v>0</v>
      </c>
      <c r="G132" s="2">
        <f t="shared" ref="G132:L132" si="4">SUM(G107:G131)</f>
        <v>0</v>
      </c>
      <c r="H132" s="2">
        <f t="shared" si="4"/>
        <v>0</v>
      </c>
      <c r="I132" s="2">
        <f t="shared" si="4"/>
        <v>0</v>
      </c>
      <c r="J132" s="2">
        <f t="shared" si="4"/>
        <v>0</v>
      </c>
      <c r="K132" s="2">
        <f t="shared" si="4"/>
        <v>0</v>
      </c>
      <c r="L132" s="563">
        <f t="shared" si="4"/>
        <v>0</v>
      </c>
    </row>
    <row r="133" spans="1:12" outlineLevel="1" x14ac:dyDescent="0.25">
      <c r="A133" s="253"/>
    </row>
    <row r="134" spans="1:12" x14ac:dyDescent="0.25">
      <c r="B134" s="332"/>
    </row>
    <row r="135" spans="1:12" x14ac:dyDescent="0.25">
      <c r="B135" s="332"/>
    </row>
  </sheetData>
  <mergeCells count="5">
    <mergeCell ref="B8:D8"/>
    <mergeCell ref="B9:C9"/>
    <mergeCell ref="D9:D10"/>
    <mergeCell ref="B10:C10"/>
    <mergeCell ref="B11:C11"/>
  </mergeCells>
  <conditionalFormatting sqref="D18:G18 D30:G30">
    <cfRule type="expression" dxfId="23" priority="6">
      <formula>dms_BaseYear_Choice=$D$17</formula>
    </cfRule>
  </conditionalFormatting>
  <conditionalFormatting sqref="D18:L18 G19 H20:L23 D30:L30 G31 H32:L35">
    <cfRule type="expression" dxfId="22" priority="1" stopIfTrue="1">
      <formula>dms_BaseStepTrend="No"</formula>
    </cfRule>
  </conditionalFormatting>
  <conditionalFormatting sqref="E18:G18 E30:G30">
    <cfRule type="expression" dxfId="21" priority="4" stopIfTrue="1">
      <formula>dms_BaseYear_Choice=$E$17</formula>
    </cfRule>
  </conditionalFormatting>
  <conditionalFormatting sqref="F18:G18 F30:G30">
    <cfRule type="expression" dxfId="20" priority="3" stopIfTrue="1">
      <formula>dms_BaseYear_Choice=$F$17</formula>
    </cfRule>
  </conditionalFormatting>
  <conditionalFormatting sqref="F45:L52 B59:B83 F59:L83 F93:L100 F107:L131">
    <cfRule type="expression" dxfId="19" priority="5">
      <formula>dms_BaseStepTrend="Yes"</formula>
    </cfRule>
  </conditionalFormatting>
  <conditionalFormatting sqref="G18 G30">
    <cfRule type="expression" dxfId="18" priority="2" stopIfTrue="1">
      <formula>dms_BaseYear_Choice=$G$17</formula>
    </cfRule>
  </conditionalFormatting>
  <dataValidations count="2">
    <dataValidation type="list" allowBlank="1" showInputMessage="1" showErrorMessage="1" sqref="D9" xr:uid="{00000000-0002-0000-1100-000000000000}">
      <formula1>"Yes, No"</formula1>
    </dataValidation>
    <dataValidation type="list" allowBlank="1" showInputMessage="1" showErrorMessage="1" sqref="D11" xr:uid="{00000000-0002-0000-1100-000001000000}">
      <formula1>dms_BaseYear_List</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3" tint="-0.249977111117893"/>
  </sheetPr>
  <dimension ref="A1:J34"/>
  <sheetViews>
    <sheetView showGridLines="0" zoomScaleNormal="100" workbookViewId="0"/>
  </sheetViews>
  <sheetFormatPr defaultColWidth="9.140625" defaultRowHeight="15" outlineLevelRow="1" x14ac:dyDescent="0.25"/>
  <cols>
    <col min="1" max="1" width="22.5703125" customWidth="1"/>
    <col min="2" max="2" width="52" customWidth="1"/>
    <col min="3" max="9" width="20.7109375" customWidth="1"/>
  </cols>
  <sheetData>
    <row r="1" spans="1:10" ht="30" customHeight="1" x14ac:dyDescent="0.25">
      <c r="A1" s="1112"/>
      <c r="B1" s="1112" t="str">
        <f>INDEX(dms_Worksheet_List,MATCH(dms_Model,dms_Model_List))</f>
        <v>REGULATORY REPORTING STATEMENT</v>
      </c>
      <c r="C1" s="26"/>
      <c r="D1" s="26"/>
      <c r="E1" s="26"/>
      <c r="F1" s="26"/>
      <c r="G1" s="1502" t="s">
        <v>96</v>
      </c>
      <c r="H1" s="1503" t="s">
        <v>97</v>
      </c>
      <c r="I1" s="26"/>
    </row>
    <row r="2" spans="1:10" ht="30" customHeight="1" x14ac:dyDescent="0.25">
      <c r="A2" s="1113"/>
      <c r="B2" s="1113" t="str">
        <f>dms_TradingNameFull</f>
        <v>Australian Gas Networks Limited (reporting data for SA)</v>
      </c>
      <c r="C2" s="26"/>
      <c r="D2" s="26"/>
      <c r="E2" s="26"/>
      <c r="F2" s="26"/>
      <c r="G2" s="1504" t="s">
        <v>98</v>
      </c>
      <c r="H2" s="1505" t="s">
        <v>92</v>
      </c>
      <c r="I2" s="26"/>
    </row>
    <row r="3" spans="1:10" ht="30" customHeight="1" x14ac:dyDescent="0.25">
      <c r="A3" s="1115"/>
      <c r="B3" s="1115" t="str">
        <f ca="1">dms_Header_Span</f>
        <v>2024-25 to 2030-31</v>
      </c>
      <c r="C3" s="26"/>
      <c r="D3" s="26"/>
      <c r="E3" s="26"/>
      <c r="F3" s="26"/>
      <c r="G3" s="1506" t="s">
        <v>99</v>
      </c>
      <c r="H3" s="1507" t="s">
        <v>100</v>
      </c>
      <c r="I3" s="26"/>
    </row>
    <row r="4" spans="1:10" ht="30" customHeight="1" x14ac:dyDescent="0.25">
      <c r="A4" s="621"/>
      <c r="B4" s="621" t="s">
        <v>294</v>
      </c>
      <c r="C4" s="621"/>
      <c r="D4" s="621"/>
      <c r="E4" s="621"/>
      <c r="F4" s="621"/>
      <c r="G4" s="1508" t="s">
        <v>102</v>
      </c>
      <c r="H4" s="1509" t="s">
        <v>103</v>
      </c>
      <c r="I4" s="621"/>
    </row>
    <row r="5" spans="1:10" ht="30" customHeight="1" x14ac:dyDescent="0.25">
      <c r="B5" s="1492" t="s">
        <v>104</v>
      </c>
      <c r="C5" s="1492"/>
      <c r="D5" s="1492"/>
      <c r="E5" s="1492"/>
      <c r="F5" s="1492"/>
      <c r="G5" s="1492"/>
      <c r="H5" s="1492"/>
      <c r="I5" s="1492"/>
    </row>
    <row r="6" spans="1:10" ht="15.75" thickBot="1" x14ac:dyDescent="0.3"/>
    <row r="7" spans="1:10" ht="24.95" customHeight="1" thickBot="1" x14ac:dyDescent="0.3">
      <c r="A7" s="253"/>
      <c r="B7" s="32" t="s">
        <v>295</v>
      </c>
      <c r="C7" s="32"/>
      <c r="D7" s="32"/>
      <c r="E7" s="32"/>
      <c r="F7" s="32"/>
      <c r="G7" s="32"/>
      <c r="H7" s="32"/>
      <c r="I7" s="32"/>
    </row>
    <row r="8" spans="1:10" s="255" customFormat="1" ht="16.5" customHeight="1" outlineLevel="1" x14ac:dyDescent="0.25">
      <c r="A8" s="254"/>
      <c r="B8" s="373"/>
      <c r="C8" s="1382" t="s">
        <v>296</v>
      </c>
      <c r="D8" s="1383"/>
      <c r="E8" s="1383"/>
      <c r="F8" s="1383"/>
      <c r="G8" s="1383"/>
      <c r="H8" s="1383"/>
      <c r="I8" s="1384"/>
      <c r="J8"/>
    </row>
    <row r="9" spans="1:10" s="255" customFormat="1" ht="16.5" customHeight="1" outlineLevel="1" x14ac:dyDescent="0.25">
      <c r="A9" s="254"/>
      <c r="B9" s="63"/>
      <c r="C9" s="1375" t="s">
        <v>228</v>
      </c>
      <c r="D9" s="1376"/>
      <c r="E9" s="1376"/>
      <c r="F9" s="1376"/>
      <c r="G9" s="1376"/>
      <c r="H9" s="1376"/>
      <c r="I9" s="1377"/>
      <c r="J9"/>
    </row>
    <row r="10" spans="1:10" ht="15.75" outlineLevel="1" thickBot="1" x14ac:dyDescent="0.3">
      <c r="A10" s="253"/>
      <c r="B10" s="1171" t="s">
        <v>255</v>
      </c>
      <c r="C10" s="405" t="str">
        <f ca="1">dms_y1</f>
        <v>2024-25</v>
      </c>
      <c r="D10" s="306" t="str">
        <f ca="1">dms_y2</f>
        <v>2025-26</v>
      </c>
      <c r="E10" s="305" t="str">
        <f ca="1">dms_y3</f>
        <v>2026-27</v>
      </c>
      <c r="F10" s="305" t="str">
        <f ca="1">dms_y4</f>
        <v>2027-28</v>
      </c>
      <c r="G10" s="305" t="str">
        <f ca="1">dms_y5</f>
        <v>2028-29</v>
      </c>
      <c r="H10" s="305" t="str">
        <f ca="1">dms_y6</f>
        <v>2029-30</v>
      </c>
      <c r="I10" s="406" t="str">
        <f ca="1">dms_y7</f>
        <v>2030-31</v>
      </c>
    </row>
    <row r="11" spans="1:10" ht="12.75" customHeight="1" outlineLevel="1" x14ac:dyDescent="0.25">
      <c r="A11" s="253"/>
      <c r="B11" s="585" t="s">
        <v>1486</v>
      </c>
      <c r="C11" s="366">
        <v>124456</v>
      </c>
      <c r="D11" s="369">
        <v>124640.18009457302</v>
      </c>
      <c r="E11" s="256">
        <v>124689.41383176496</v>
      </c>
      <c r="F11" s="257">
        <v>124578.19150318624</v>
      </c>
      <c r="G11" s="257">
        <v>125356.23760906949</v>
      </c>
      <c r="H11" s="257">
        <v>125997.2965809005</v>
      </c>
      <c r="I11" s="258">
        <v>126440.655312712</v>
      </c>
    </row>
    <row r="12" spans="1:10" ht="12.75" customHeight="1" outlineLevel="1" x14ac:dyDescent="0.25">
      <c r="A12" s="253"/>
      <c r="B12" s="584" t="s">
        <v>1487</v>
      </c>
      <c r="C12" s="380">
        <v>2313</v>
      </c>
      <c r="D12" s="384">
        <v>2316.4229652145932</v>
      </c>
      <c r="E12" s="259">
        <v>2317.3379683813746</v>
      </c>
      <c r="F12" s="260">
        <v>2315.2709145952767</v>
      </c>
      <c r="G12" s="260">
        <v>2329.7308091998593</v>
      </c>
      <c r="H12" s="260">
        <v>2341.6448141642254</v>
      </c>
      <c r="I12" s="245">
        <v>2349.8845836143123</v>
      </c>
    </row>
    <row r="13" spans="1:10" ht="12.75" customHeight="1" outlineLevel="1" x14ac:dyDescent="0.25">
      <c r="A13" s="253"/>
      <c r="B13" s="584" t="s">
        <v>1488</v>
      </c>
      <c r="C13" s="380">
        <v>2045</v>
      </c>
      <c r="D13" s="384">
        <v>2048.0263570531097</v>
      </c>
      <c r="E13" s="259">
        <v>2048.8353416947302</v>
      </c>
      <c r="F13" s="260">
        <v>2047.0077908981157</v>
      </c>
      <c r="G13" s="260">
        <v>2059.7922632138839</v>
      </c>
      <c r="H13" s="260">
        <v>2070.3258300760231</v>
      </c>
      <c r="I13" s="245">
        <v>2077.610883480877</v>
      </c>
    </row>
    <row r="14" spans="1:10" ht="12.75" customHeight="1" outlineLevel="1" x14ac:dyDescent="0.25">
      <c r="A14" s="253"/>
      <c r="B14" s="584" t="s">
        <v>1489</v>
      </c>
      <c r="C14" s="380">
        <v>1902</v>
      </c>
      <c r="D14" s="384">
        <v>1904.8147340415719</v>
      </c>
      <c r="E14" s="259">
        <v>95.278357454850294</v>
      </c>
      <c r="F14" s="260">
        <v>95.193369640298684</v>
      </c>
      <c r="G14" s="260">
        <v>95.787894489799683</v>
      </c>
      <c r="H14" s="260">
        <v>96.277743980552472</v>
      </c>
      <c r="I14" s="245">
        <v>96.616525681677956</v>
      </c>
    </row>
    <row r="15" spans="1:10" outlineLevel="1" x14ac:dyDescent="0.25">
      <c r="A15" s="253"/>
      <c r="B15" s="584" t="s">
        <v>1490</v>
      </c>
      <c r="C15" s="380">
        <v>33</v>
      </c>
      <c r="D15" s="384">
        <v>33.048836079585634</v>
      </c>
      <c r="E15" s="259">
        <v>33.061890599474864</v>
      </c>
      <c r="F15" s="260">
        <v>33.032399559725093</v>
      </c>
      <c r="G15" s="260">
        <v>33.23870155797465</v>
      </c>
      <c r="H15" s="260">
        <v>33.408680876532401</v>
      </c>
      <c r="I15" s="245">
        <v>33.526239195534934</v>
      </c>
    </row>
    <row r="16" spans="1:10" outlineLevel="1" x14ac:dyDescent="0.25">
      <c r="A16" s="253"/>
      <c r="B16" s="584" t="s">
        <v>1491</v>
      </c>
      <c r="C16" s="380">
        <v>37</v>
      </c>
      <c r="D16" s="384">
        <v>37.054755604383892</v>
      </c>
      <c r="E16" s="259">
        <v>37.069392490320304</v>
      </c>
      <c r="F16" s="260">
        <v>37.036326779085712</v>
      </c>
      <c r="G16" s="260">
        <v>37.267635080153397</v>
      </c>
      <c r="H16" s="260">
        <v>37.458217952475721</v>
      </c>
      <c r="I16" s="245">
        <v>37.590025764690687</v>
      </c>
    </row>
    <row r="17" spans="1:9" ht="15.75" outlineLevel="1" thickBot="1" x14ac:dyDescent="0.3">
      <c r="A17" s="253"/>
      <c r="B17" s="634" t="s">
        <v>1492</v>
      </c>
      <c r="C17" s="381">
        <v>2534</v>
      </c>
      <c r="D17" s="397">
        <v>2896.8688000000002</v>
      </c>
      <c r="E17" s="261">
        <v>3142.8129611200002</v>
      </c>
      <c r="F17" s="262">
        <v>3821.0319981296961</v>
      </c>
      <c r="G17" s="262">
        <v>3865.7380725078137</v>
      </c>
      <c r="H17" s="262">
        <v>4182.3420206462042</v>
      </c>
      <c r="I17" s="494">
        <v>4497.6906090029279</v>
      </c>
    </row>
    <row r="18" spans="1:9" s="39" customFormat="1" ht="13.5" outlineLevel="1" thickBot="1" x14ac:dyDescent="0.25">
      <c r="A18" s="303"/>
      <c r="B18" s="3" t="s">
        <v>120</v>
      </c>
      <c r="C18" s="372">
        <f>SUM(C11:C17)</f>
        <v>133320</v>
      </c>
      <c r="D18" s="372">
        <f>SUM(D11:D17)</f>
        <v>133876.41654256626</v>
      </c>
      <c r="E18" s="372">
        <f t="shared" ref="E18:I18" si="0">SUM(E11:E17)</f>
        <v>132363.80974350573</v>
      </c>
      <c r="F18" s="372">
        <f t="shared" si="0"/>
        <v>132926.76430278845</v>
      </c>
      <c r="G18" s="372">
        <f t="shared" si="0"/>
        <v>133777.79298511895</v>
      </c>
      <c r="H18" s="372">
        <f t="shared" si="0"/>
        <v>134758.75388859652</v>
      </c>
      <c r="I18" s="587">
        <f t="shared" si="0"/>
        <v>135533.57417945203</v>
      </c>
    </row>
    <row r="19" spans="1:9" ht="27" customHeight="1" x14ac:dyDescent="0.25">
      <c r="A19" s="253"/>
      <c r="B19" s="327"/>
      <c r="C19" s="382"/>
      <c r="D19" s="382"/>
    </row>
    <row r="20" spans="1:9" x14ac:dyDescent="0.25">
      <c r="A20" s="253"/>
      <c r="B20" s="389" t="s">
        <v>297</v>
      </c>
    </row>
    <row r="21" spans="1:9" ht="15.75" thickBot="1" x14ac:dyDescent="0.3">
      <c r="A21" s="253"/>
      <c r="B21" s="383"/>
    </row>
    <row r="22" spans="1:9" ht="24.95" customHeight="1" thickBot="1" x14ac:dyDescent="0.3">
      <c r="A22" s="1205"/>
      <c r="B22" s="32" t="s">
        <v>298</v>
      </c>
      <c r="C22" s="32"/>
      <c r="D22" s="32"/>
      <c r="E22" s="32"/>
      <c r="F22" s="32"/>
      <c r="G22" s="32"/>
      <c r="H22" s="32"/>
      <c r="I22" s="32"/>
    </row>
    <row r="23" spans="1:9" ht="21" customHeight="1" outlineLevel="1" x14ac:dyDescent="0.25">
      <c r="A23" s="253"/>
      <c r="B23" s="373"/>
      <c r="C23" s="1379" t="s">
        <v>24</v>
      </c>
      <c r="D23" s="1379"/>
      <c r="E23" s="1379"/>
      <c r="F23" s="1379"/>
      <c r="G23" s="1379"/>
      <c r="H23" s="1379"/>
      <c r="I23" s="1380"/>
    </row>
    <row r="24" spans="1:9" ht="22.5" customHeight="1" outlineLevel="1" x14ac:dyDescent="0.25">
      <c r="A24" s="253"/>
      <c r="B24" s="63"/>
      <c r="C24" s="1378" t="str">
        <f ca="1">CONCATENATE("$, real ",dms_DollarReal)</f>
        <v>$, real June 2026</v>
      </c>
      <c r="D24" s="1378"/>
      <c r="E24" s="1378"/>
      <c r="F24" s="1378"/>
      <c r="G24" s="1378"/>
      <c r="H24" s="1378"/>
      <c r="I24" s="1381"/>
    </row>
    <row r="25" spans="1:9" ht="15.75" outlineLevel="1" thickBot="1" x14ac:dyDescent="0.3">
      <c r="A25" s="253"/>
      <c r="B25" s="319"/>
      <c r="C25" s="314" t="str">
        <f ca="1">dms_y1</f>
        <v>2024-25</v>
      </c>
      <c r="D25" s="314" t="str">
        <f ca="1">dms_y2</f>
        <v>2025-26</v>
      </c>
      <c r="E25" s="314" t="str">
        <f ca="1">dms_y3</f>
        <v>2026-27</v>
      </c>
      <c r="F25" s="314" t="str">
        <f ca="1">dms_y4</f>
        <v>2027-28</v>
      </c>
      <c r="G25" s="314" t="str">
        <f ca="1">dms_y5</f>
        <v>2028-29</v>
      </c>
      <c r="H25" s="314" t="str">
        <f ca="1">dms_y6</f>
        <v>2029-30</v>
      </c>
      <c r="I25" s="314" t="str">
        <f ca="1">dms_y7</f>
        <v>2030-31</v>
      </c>
    </row>
    <row r="26" spans="1:9" ht="12.75" customHeight="1" outlineLevel="1" x14ac:dyDescent="0.25">
      <c r="A26" s="253"/>
      <c r="B26" s="36" t="str">
        <f t="shared" ref="B26:B32" si="1">IF(ISBLANK(B11),"",B11)</f>
        <v>Special Meter Read</v>
      </c>
      <c r="C26" s="366">
        <v>1655252.3543999998</v>
      </c>
      <c r="D26" s="369">
        <v>1657701.9312398117</v>
      </c>
      <c r="E26" s="256">
        <v>1658356.7350210908</v>
      </c>
      <c r="F26" s="257">
        <v>1656877.4891732265</v>
      </c>
      <c r="G26" s="257">
        <v>1667225.4245768632</v>
      </c>
      <c r="H26" s="257">
        <v>1675751.4447963184</v>
      </c>
      <c r="I26" s="258">
        <v>1681648.0715935382</v>
      </c>
    </row>
    <row r="27" spans="1:9" ht="12.75" customHeight="1" outlineLevel="1" x14ac:dyDescent="0.25">
      <c r="A27" s="253"/>
      <c r="B27" s="36" t="str">
        <f t="shared" si="1"/>
        <v>Disconnection</v>
      </c>
      <c r="C27" s="380">
        <v>210483</v>
      </c>
      <c r="D27" s="384">
        <v>210794.48983452798</v>
      </c>
      <c r="E27" s="259">
        <v>210877.7551227051</v>
      </c>
      <c r="F27" s="260">
        <v>210689.65322817018</v>
      </c>
      <c r="G27" s="260">
        <v>212005.50363718721</v>
      </c>
      <c r="H27" s="260">
        <v>213089.67808894452</v>
      </c>
      <c r="I27" s="245">
        <v>213839.49710890243</v>
      </c>
    </row>
    <row r="28" spans="1:9" ht="12.75" customHeight="1" outlineLevel="1" x14ac:dyDescent="0.25">
      <c r="A28" s="253"/>
      <c r="B28" s="36" t="str">
        <f t="shared" si="1"/>
        <v>Reconnection</v>
      </c>
      <c r="C28" s="380">
        <v>186095</v>
      </c>
      <c r="D28" s="384">
        <v>186370.39849183298</v>
      </c>
      <c r="E28" s="259">
        <v>186444.01609422045</v>
      </c>
      <c r="F28" s="260">
        <v>186277.70897172851</v>
      </c>
      <c r="G28" s="260">
        <v>187441.09595246342</v>
      </c>
      <c r="H28" s="260">
        <v>188399.65053691811</v>
      </c>
      <c r="I28" s="245">
        <v>189062.5903967598</v>
      </c>
    </row>
    <row r="29" spans="1:9" ht="12.75" customHeight="1" outlineLevel="1" x14ac:dyDescent="0.25">
      <c r="A29" s="253"/>
      <c r="B29" s="36" t="str">
        <f t="shared" si="1"/>
        <v>Meter Removal</v>
      </c>
      <c r="C29" s="380">
        <v>173082</v>
      </c>
      <c r="D29" s="384">
        <v>173338.14079778304</v>
      </c>
      <c r="E29" s="259">
        <v>8670.330528391376</v>
      </c>
      <c r="F29" s="260">
        <v>8662.596637267181</v>
      </c>
      <c r="G29" s="260">
        <v>8716.6983985717707</v>
      </c>
      <c r="H29" s="260">
        <v>8761.2747022302756</v>
      </c>
      <c r="I29" s="245">
        <v>8792.1038370326933</v>
      </c>
    </row>
    <row r="30" spans="1:9" ht="12.75" customHeight="1" outlineLevel="1" x14ac:dyDescent="0.25">
      <c r="A30" s="253"/>
      <c r="B30" s="36" t="str">
        <f t="shared" si="1"/>
        <v>Meter Reinstallation</v>
      </c>
      <c r="C30" s="380">
        <v>3267</v>
      </c>
      <c r="D30" s="384">
        <v>3271.8347718789778</v>
      </c>
      <c r="E30" s="259">
        <v>3273.1271693480116</v>
      </c>
      <c r="F30" s="260">
        <v>3270.207556412784</v>
      </c>
      <c r="G30" s="260">
        <v>3290.6314542394903</v>
      </c>
      <c r="H30" s="260">
        <v>3307.4594067767075</v>
      </c>
      <c r="I30" s="245">
        <v>3319.0976803579583</v>
      </c>
    </row>
    <row r="31" spans="1:9" ht="12.75" customHeight="1" outlineLevel="1" x14ac:dyDescent="0.25">
      <c r="A31" s="253"/>
      <c r="B31" s="36" t="str">
        <f t="shared" si="1"/>
        <v>Meter Gas and Installation Test</v>
      </c>
      <c r="C31" s="380">
        <v>10027</v>
      </c>
      <c r="D31" s="384">
        <v>10041.838768788035</v>
      </c>
      <c r="E31" s="259">
        <v>10045.805364876802</v>
      </c>
      <c r="F31" s="260">
        <v>10036.844557132228</v>
      </c>
      <c r="G31" s="260">
        <v>10099.529106721571</v>
      </c>
      <c r="H31" s="260">
        <v>10151.177065120921</v>
      </c>
      <c r="I31" s="245">
        <v>10186.896982231176</v>
      </c>
    </row>
    <row r="32" spans="1:9" ht="12.75" customHeight="1" outlineLevel="1" x14ac:dyDescent="0.25">
      <c r="A32" s="253"/>
      <c r="B32" s="36" t="str">
        <f t="shared" si="1"/>
        <v>Service Abolishment</v>
      </c>
      <c r="C32" s="367">
        <v>633500</v>
      </c>
      <c r="D32" s="370">
        <v>724217.20000000007</v>
      </c>
      <c r="E32" s="371">
        <v>785703.24028000003</v>
      </c>
      <c r="F32" s="368">
        <v>955257.99953242403</v>
      </c>
      <c r="G32" s="368">
        <v>966434.51812695339</v>
      </c>
      <c r="H32" s="368">
        <v>1045585.5051615511</v>
      </c>
      <c r="I32" s="591">
        <v>1124422.6522507321</v>
      </c>
    </row>
    <row r="33" spans="1:9" s="39" customFormat="1" ht="12.75" customHeight="1" outlineLevel="1" thickBot="1" x14ac:dyDescent="0.25">
      <c r="A33" s="303"/>
      <c r="B33" s="589" t="s">
        <v>120</v>
      </c>
      <c r="C33" s="372">
        <f t="shared" ref="C33:I33" si="2">SUM(C26:C32)</f>
        <v>2871706.3543999996</v>
      </c>
      <c r="D33" s="372">
        <f t="shared" si="2"/>
        <v>2965735.8339046231</v>
      </c>
      <c r="E33" s="372">
        <f t="shared" si="2"/>
        <v>2863371.0095806327</v>
      </c>
      <c r="F33" s="372">
        <f t="shared" si="2"/>
        <v>3031072.4996563615</v>
      </c>
      <c r="G33" s="372">
        <f t="shared" si="2"/>
        <v>3055213.4012529999</v>
      </c>
      <c r="H33" s="372">
        <f t="shared" si="2"/>
        <v>3145046.1897578603</v>
      </c>
      <c r="I33" s="587">
        <f t="shared" si="2"/>
        <v>3231270.9098495543</v>
      </c>
    </row>
    <row r="34" spans="1:9" ht="30" customHeight="1" x14ac:dyDescent="0.25">
      <c r="A34" s="253"/>
      <c r="B34" s="383"/>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3" tint="-0.249977111117893"/>
  </sheetPr>
  <dimension ref="A1:I26"/>
  <sheetViews>
    <sheetView showGridLines="0" zoomScaleNormal="100" workbookViewId="0"/>
  </sheetViews>
  <sheetFormatPr defaultColWidth="9.140625" defaultRowHeight="15" x14ac:dyDescent="0.25"/>
  <cols>
    <col min="1" max="1" width="22.7109375" customWidth="1"/>
    <col min="2" max="2" width="52" customWidth="1"/>
    <col min="3" max="9" width="20.7109375" customWidth="1"/>
  </cols>
  <sheetData>
    <row r="1" spans="1:9" ht="30" customHeight="1" x14ac:dyDescent="0.25">
      <c r="A1" s="1112"/>
      <c r="B1" s="1112" t="str">
        <f>INDEX(dms_Worksheet_List,MATCH(dms_Model,dms_Model_List))</f>
        <v>REGULATORY REPORTING STATEMENT</v>
      </c>
      <c r="C1" s="26"/>
      <c r="D1" s="26"/>
      <c r="E1" s="26"/>
      <c r="F1" s="26"/>
      <c r="G1" s="1502" t="s">
        <v>96</v>
      </c>
      <c r="H1" s="1503" t="s">
        <v>97</v>
      </c>
      <c r="I1" s="26"/>
    </row>
    <row r="2" spans="1:9" ht="30" customHeight="1" x14ac:dyDescent="0.25">
      <c r="A2" s="1113"/>
      <c r="B2" s="1113" t="str">
        <f>dms_TradingNameFull</f>
        <v>Australian Gas Networks Limited (reporting data for SA)</v>
      </c>
      <c r="C2" s="26"/>
      <c r="D2" s="26"/>
      <c r="E2" s="26"/>
      <c r="F2" s="26"/>
      <c r="G2" s="1504" t="s">
        <v>98</v>
      </c>
      <c r="H2" s="1505" t="s">
        <v>92</v>
      </c>
      <c r="I2" s="26"/>
    </row>
    <row r="3" spans="1:9" ht="30" customHeight="1" x14ac:dyDescent="0.25">
      <c r="A3" s="1115"/>
      <c r="B3" s="1115" t="str">
        <f ca="1">dms_Header_Span</f>
        <v>2024-25 to 2030-31</v>
      </c>
      <c r="C3" s="26"/>
      <c r="D3" s="26"/>
      <c r="E3" s="26"/>
      <c r="F3" s="26"/>
      <c r="G3" s="1506" t="s">
        <v>99</v>
      </c>
      <c r="H3" s="1507" t="s">
        <v>100</v>
      </c>
      <c r="I3" s="26"/>
    </row>
    <row r="4" spans="1:9" ht="30" customHeight="1" x14ac:dyDescent="0.25">
      <c r="A4" s="621"/>
      <c r="B4" s="621" t="s">
        <v>299</v>
      </c>
      <c r="C4" s="621"/>
      <c r="D4" s="621"/>
      <c r="E4" s="621"/>
      <c r="F4" s="621"/>
      <c r="G4" s="1508" t="s">
        <v>102</v>
      </c>
      <c r="H4" s="1509" t="s">
        <v>103</v>
      </c>
      <c r="I4" s="621"/>
    </row>
    <row r="5" spans="1:9" ht="30" customHeight="1" x14ac:dyDescent="0.25">
      <c r="B5" s="1492" t="s">
        <v>104</v>
      </c>
      <c r="C5" s="1492"/>
      <c r="D5" s="1492"/>
      <c r="E5" s="1492"/>
      <c r="F5" s="1492"/>
      <c r="G5" s="1492"/>
      <c r="H5" s="1492"/>
      <c r="I5" s="1492"/>
    </row>
    <row r="6" spans="1:9" ht="15.75" thickBot="1" x14ac:dyDescent="0.3"/>
    <row r="7" spans="1:9" ht="23.25" customHeight="1" thickBot="1" x14ac:dyDescent="0.3">
      <c r="B7" s="32" t="s">
        <v>300</v>
      </c>
      <c r="C7" s="32"/>
      <c r="D7" s="32"/>
      <c r="E7" s="32"/>
      <c r="F7" s="32"/>
      <c r="G7" s="32"/>
      <c r="H7" s="32"/>
      <c r="I7" s="32"/>
    </row>
    <row r="8" spans="1:9" s="309" customFormat="1" ht="23.25" customHeight="1" x14ac:dyDescent="0.2">
      <c r="A8" s="77"/>
      <c r="B8" s="1672"/>
      <c r="C8" s="1378" t="s">
        <v>301</v>
      </c>
      <c r="D8" s="1378"/>
      <c r="E8" s="1378"/>
      <c r="F8" s="1378"/>
      <c r="G8" s="1378"/>
      <c r="H8" s="1378"/>
      <c r="I8" s="1381"/>
    </row>
    <row r="9" spans="1:9" s="253" customFormat="1" ht="16.5" customHeight="1" thickBot="1" x14ac:dyDescent="0.3">
      <c r="A9" s="77"/>
      <c r="B9" s="1672"/>
      <c r="C9" s="314" t="str">
        <f ca="1">dms_y1</f>
        <v>2024-25</v>
      </c>
      <c r="D9" s="314" t="str">
        <f ca="1">dms_y2</f>
        <v>2025-26</v>
      </c>
      <c r="E9" s="314" t="str">
        <f ca="1">dms_y3</f>
        <v>2026-27</v>
      </c>
      <c r="F9" s="314" t="str">
        <f ca="1">dms_y4</f>
        <v>2027-28</v>
      </c>
      <c r="G9" s="314" t="str">
        <f ca="1">dms_y5</f>
        <v>2028-29</v>
      </c>
      <c r="H9" s="314" t="str">
        <f ca="1">dms_y6</f>
        <v>2029-30</v>
      </c>
      <c r="I9" s="314" t="str">
        <f ca="1">dms_y7</f>
        <v>2030-31</v>
      </c>
    </row>
    <row r="10" spans="1:9" s="253" customFormat="1" ht="26.25" customHeight="1" thickBot="1" x14ac:dyDescent="0.3">
      <c r="A10" s="77"/>
      <c r="B10" s="250" t="s">
        <v>302</v>
      </c>
      <c r="C10" s="251"/>
      <c r="D10" s="251"/>
      <c r="E10" s="251"/>
      <c r="F10" s="251"/>
      <c r="G10" s="251"/>
      <c r="H10" s="251"/>
      <c r="I10" s="252"/>
    </row>
    <row r="11" spans="1:9" s="253" customFormat="1" x14ac:dyDescent="0.25">
      <c r="A11" s="77"/>
      <c r="B11" s="292" t="s">
        <v>1493</v>
      </c>
      <c r="C11" s="1207">
        <v>5.4013142377297395E-3</v>
      </c>
      <c r="D11" s="1208">
        <v>1.3206000000000001E-2</v>
      </c>
      <c r="E11" s="1209">
        <v>5.9639999999999997E-3</v>
      </c>
      <c r="F11" s="1210">
        <v>6.2480000000000001E-3</v>
      </c>
      <c r="G11" s="1210">
        <v>7.6680000000000003E-3</v>
      </c>
      <c r="H11" s="1210">
        <v>9.2299999999999986E-3</v>
      </c>
      <c r="I11" s="1211">
        <v>8.8039999999999993E-3</v>
      </c>
    </row>
    <row r="12" spans="1:9" s="253" customFormat="1" x14ac:dyDescent="0.25">
      <c r="A12" s="77"/>
      <c r="B12" s="293" t="s">
        <v>1494</v>
      </c>
      <c r="C12" s="1212">
        <v>8.2939573198667921E-3</v>
      </c>
      <c r="D12" s="1213">
        <v>2.5932095737834712E-3</v>
      </c>
      <c r="E12" s="1214">
        <v>1.8963195514598724E-3</v>
      </c>
      <c r="F12" s="1215">
        <v>1.3401835858466893E-3</v>
      </c>
      <c r="G12" s="1215">
        <v>5.0015727696535893E-3</v>
      </c>
      <c r="H12" s="1215">
        <v>4.2094306065406737E-3</v>
      </c>
      <c r="I12" s="1216">
        <v>3.4158698378905575E-3</v>
      </c>
    </row>
    <row r="13" spans="1:9" s="253" customFormat="1" x14ac:dyDescent="0.25">
      <c r="A13" s="77"/>
      <c r="B13" s="293" t="s">
        <v>1495</v>
      </c>
      <c r="C13" s="1212">
        <v>-4.0000000000000001E-3</v>
      </c>
      <c r="D13" s="1213">
        <v>-4.0000000000000001E-3</v>
      </c>
      <c r="E13" s="1214">
        <v>-4.0000000000000001E-3</v>
      </c>
      <c r="F13" s="1215">
        <v>-4.0000000000000001E-3</v>
      </c>
      <c r="G13" s="1215">
        <v>-4.0000000000000001E-3</v>
      </c>
      <c r="H13" s="1215">
        <v>-4.0000000000000001E-3</v>
      </c>
      <c r="I13" s="1216">
        <v>-4.0000000000000001E-3</v>
      </c>
    </row>
    <row r="14" spans="1:9" s="253" customFormat="1" x14ac:dyDescent="0.25">
      <c r="A14" s="77"/>
      <c r="B14" s="293"/>
      <c r="C14" s="1212"/>
      <c r="D14" s="1213"/>
      <c r="E14" s="1214"/>
      <c r="F14" s="1215"/>
      <c r="G14" s="1215"/>
      <c r="H14" s="1215"/>
      <c r="I14" s="1216"/>
    </row>
    <row r="15" spans="1:9" s="253" customFormat="1" x14ac:dyDescent="0.25">
      <c r="A15" s="77"/>
      <c r="B15" s="293"/>
      <c r="C15" s="1217"/>
      <c r="D15" s="1218"/>
      <c r="E15" s="1219"/>
      <c r="F15" s="1220"/>
      <c r="G15" s="1220"/>
      <c r="H15" s="1220"/>
      <c r="I15" s="1221"/>
    </row>
    <row r="16" spans="1:9" s="253" customFormat="1" ht="15.75" thickBot="1" x14ac:dyDescent="0.3">
      <c r="A16" s="77"/>
      <c r="B16" s="294"/>
      <c r="C16" s="1222"/>
      <c r="D16" s="1223"/>
      <c r="E16" s="1224"/>
      <c r="F16" s="1225"/>
      <c r="G16" s="1225"/>
      <c r="H16" s="1225"/>
      <c r="I16" s="1226"/>
    </row>
    <row r="17" spans="1:9" s="253" customFormat="1" ht="31.5" customHeight="1" thickBot="1" x14ac:dyDescent="0.3">
      <c r="A17" s="77"/>
      <c r="B17" s="250" t="s">
        <v>303</v>
      </c>
      <c r="C17" s="251"/>
      <c r="D17" s="251"/>
      <c r="E17" s="251"/>
      <c r="F17" s="251"/>
      <c r="G17" s="251"/>
      <c r="H17" s="251"/>
      <c r="I17" s="252"/>
    </row>
    <row r="18" spans="1:9" s="253" customFormat="1" x14ac:dyDescent="0.25">
      <c r="A18" s="77"/>
      <c r="B18" s="292" t="s">
        <v>1496</v>
      </c>
      <c r="C18" s="1207" t="s">
        <v>1481</v>
      </c>
      <c r="D18" s="1208" t="s">
        <v>1481</v>
      </c>
      <c r="E18" s="1209">
        <v>5.2128750000000005E-3</v>
      </c>
      <c r="F18" s="1210">
        <v>6.3418750000000003E-3</v>
      </c>
      <c r="G18" s="1210">
        <v>7.2268750000000007E-3</v>
      </c>
      <c r="H18" s="1210">
        <v>9.1513749999999998E-3</v>
      </c>
      <c r="I18" s="1211">
        <v>8.378005254885067E-3</v>
      </c>
    </row>
    <row r="19" spans="1:9" s="253" customFormat="1" x14ac:dyDescent="0.25">
      <c r="A19" s="77"/>
      <c r="B19" s="293"/>
      <c r="C19" s="1217"/>
      <c r="D19" s="1218"/>
      <c r="E19" s="1219"/>
      <c r="F19" s="1220"/>
      <c r="G19" s="1220"/>
      <c r="H19" s="1220"/>
      <c r="I19" s="1221"/>
    </row>
    <row r="20" spans="1:9" s="253" customFormat="1" x14ac:dyDescent="0.25">
      <c r="A20" s="77"/>
      <c r="B20" s="293"/>
      <c r="C20" s="1217"/>
      <c r="D20" s="1218"/>
      <c r="E20" s="1219"/>
      <c r="F20" s="1220"/>
      <c r="G20" s="1220"/>
      <c r="H20" s="1220"/>
      <c r="I20" s="1221"/>
    </row>
    <row r="21" spans="1:9" s="253" customFormat="1" x14ac:dyDescent="0.25">
      <c r="A21" s="77"/>
      <c r="B21" s="293"/>
      <c r="C21" s="1217"/>
      <c r="D21" s="1218"/>
      <c r="E21" s="1219"/>
      <c r="F21" s="1220"/>
      <c r="G21" s="1220"/>
      <c r="H21" s="1220"/>
      <c r="I21" s="1221"/>
    </row>
    <row r="22" spans="1:9" s="253" customFormat="1" x14ac:dyDescent="0.25">
      <c r="A22" s="77"/>
      <c r="B22" s="293"/>
      <c r="C22" s="1217"/>
      <c r="D22" s="1218"/>
      <c r="E22" s="1219"/>
      <c r="F22" s="1220"/>
      <c r="G22" s="1220"/>
      <c r="H22" s="1220"/>
      <c r="I22" s="1221"/>
    </row>
    <row r="23" spans="1:9" s="253" customFormat="1" ht="15.75" thickBot="1" x14ac:dyDescent="0.3">
      <c r="A23" s="77"/>
      <c r="B23" s="294"/>
      <c r="C23" s="1227"/>
      <c r="D23" s="1228"/>
      <c r="E23" s="1229"/>
      <c r="F23" s="1230"/>
      <c r="G23" s="1230"/>
      <c r="H23" s="1230"/>
      <c r="I23" s="1231"/>
    </row>
    <row r="24" spans="1:9" s="253" customFormat="1" x14ac:dyDescent="0.25">
      <c r="A24" s="77"/>
    </row>
    <row r="25" spans="1:9" s="253" customFormat="1" x14ac:dyDescent="0.25">
      <c r="A25" s="77"/>
    </row>
    <row r="26" spans="1:9" s="253" customFormat="1" x14ac:dyDescent="0.25">
      <c r="A26" s="77"/>
    </row>
  </sheetData>
  <mergeCells count="1">
    <mergeCell ref="B8:B9"/>
  </mergeCells>
  <conditionalFormatting sqref="I11:I16 I18:I23">
    <cfRule type="expression" dxfId="17" priority="2">
      <formula>(dms_FRCPlength_Num)&lt;4</formula>
    </cfRule>
  </conditionalFormatting>
  <dataValidations count="1">
    <dataValidation allowBlank="1" showInputMessage="1" showErrorMessage="1" sqref="C11:I23"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6" tint="-0.249977111117893"/>
  </sheetPr>
  <dimension ref="A1:J97"/>
  <sheetViews>
    <sheetView showGridLines="0" zoomScaleNormal="100" workbookViewId="0"/>
  </sheetViews>
  <sheetFormatPr defaultColWidth="9.140625" defaultRowHeight="15" outlineLevelRow="1" x14ac:dyDescent="0.25"/>
  <cols>
    <col min="1" max="1" width="22.7109375" customWidth="1"/>
    <col min="2" max="2" width="115.7109375" customWidth="1"/>
    <col min="3" max="9" width="18.7109375" customWidth="1"/>
  </cols>
  <sheetData>
    <row r="1" spans="1:10" ht="30" customHeight="1" x14ac:dyDescent="0.25">
      <c r="A1" s="1112"/>
      <c r="B1" s="1112" t="str">
        <f>INDEX(dms_Worksheet_List,MATCH(dms_Model,dms_Model_List))</f>
        <v>REGULATORY REPORTING STATEMENT</v>
      </c>
      <c r="C1" s="26"/>
      <c r="D1" s="26"/>
      <c r="E1" s="26"/>
      <c r="F1" s="26"/>
      <c r="G1" s="1502" t="s">
        <v>96</v>
      </c>
      <c r="H1" s="1503" t="s">
        <v>97</v>
      </c>
      <c r="I1" s="26"/>
    </row>
    <row r="2" spans="1:10" ht="30" customHeight="1" x14ac:dyDescent="0.25">
      <c r="A2" s="1113"/>
      <c r="B2" s="1113" t="str">
        <f>dms_TradingNameFull</f>
        <v>Australian Gas Networks Limited (reporting data for SA)</v>
      </c>
      <c r="C2" s="26"/>
      <c r="D2" s="26"/>
      <c r="E2" s="26"/>
      <c r="F2" s="26"/>
      <c r="G2" s="1504" t="s">
        <v>98</v>
      </c>
      <c r="H2" s="1505" t="s">
        <v>92</v>
      </c>
      <c r="I2" s="26"/>
    </row>
    <row r="3" spans="1:10" ht="30" customHeight="1" x14ac:dyDescent="0.25">
      <c r="A3" s="1115"/>
      <c r="B3" s="1115" t="str">
        <f ca="1">dms_Header_Span</f>
        <v>2024-25 to 2030-31</v>
      </c>
      <c r="C3" s="26"/>
      <c r="D3" s="26"/>
      <c r="E3" s="26"/>
      <c r="F3" s="26"/>
      <c r="G3" s="1506" t="s">
        <v>99</v>
      </c>
      <c r="H3" s="1507" t="s">
        <v>100</v>
      </c>
      <c r="I3" s="26"/>
    </row>
    <row r="4" spans="1:10" ht="30" customHeight="1" x14ac:dyDescent="0.25">
      <c r="A4" s="621"/>
      <c r="B4" s="621" t="s">
        <v>304</v>
      </c>
      <c r="C4" s="621"/>
      <c r="D4" s="621"/>
      <c r="E4" s="621"/>
      <c r="F4" s="621"/>
      <c r="G4" s="1508" t="s">
        <v>102</v>
      </c>
      <c r="H4" s="1509" t="s">
        <v>103</v>
      </c>
      <c r="I4" s="621"/>
    </row>
    <row r="5" spans="1:10" ht="30" customHeight="1" x14ac:dyDescent="0.25">
      <c r="B5" s="1492" t="s">
        <v>104</v>
      </c>
      <c r="C5" s="1492"/>
      <c r="D5" s="1492"/>
      <c r="E5" s="1492"/>
      <c r="F5" s="1492"/>
      <c r="G5" s="1492"/>
      <c r="H5" s="1492"/>
      <c r="I5" s="1492"/>
    </row>
    <row r="6" spans="1:10" ht="35.25" customHeight="1" thickBot="1" x14ac:dyDescent="0.3"/>
    <row r="7" spans="1:10" ht="25.5" customHeight="1" thickBot="1" x14ac:dyDescent="0.3">
      <c r="B7" s="32" t="s">
        <v>305</v>
      </c>
      <c r="C7" s="32"/>
      <c r="D7" s="32"/>
      <c r="E7" s="32"/>
      <c r="F7" s="32"/>
      <c r="G7" s="32"/>
      <c r="H7" s="32"/>
      <c r="I7" s="32"/>
    </row>
    <row r="8" spans="1:10" s="42" customFormat="1" ht="27.75" customHeight="1" outlineLevel="1" x14ac:dyDescent="0.25">
      <c r="A8"/>
      <c r="B8"/>
      <c r="C8" s="1382" t="s">
        <v>306</v>
      </c>
      <c r="D8" s="1383"/>
      <c r="E8" s="1383"/>
      <c r="F8" s="1383"/>
      <c r="G8" s="1383"/>
      <c r="H8" s="1383"/>
      <c r="I8" s="1384"/>
      <c r="J8"/>
    </row>
    <row r="9" spans="1:10" s="42" customFormat="1" ht="18" customHeight="1" outlineLevel="1" x14ac:dyDescent="0.25">
      <c r="B9" s="389"/>
      <c r="C9" s="1375" t="s">
        <v>307</v>
      </c>
      <c r="D9" s="1376"/>
      <c r="E9" s="1376"/>
      <c r="F9" s="1376"/>
      <c r="G9" s="1376"/>
      <c r="H9" s="1376"/>
      <c r="I9" s="1377"/>
      <c r="J9"/>
    </row>
    <row r="10" spans="1:10" ht="33.75" customHeight="1" outlineLevel="1" thickBot="1" x14ac:dyDescent="0.3">
      <c r="B10" s="507"/>
      <c r="C10" s="405" t="str">
        <f ca="1">dms_y1</f>
        <v>2024-25</v>
      </c>
      <c r="D10" s="1394" t="str">
        <f ca="1">dms_y2</f>
        <v>2025-26</v>
      </c>
      <c r="E10" s="305" t="str">
        <f ca="1">dms_y3</f>
        <v>2026-27</v>
      </c>
      <c r="F10" s="305" t="str">
        <f ca="1">dms_y4</f>
        <v>2027-28</v>
      </c>
      <c r="G10" s="305" t="str">
        <f ca="1">dms_y5</f>
        <v>2028-29</v>
      </c>
      <c r="H10" s="305" t="str">
        <f ca="1">dms_y6</f>
        <v>2029-30</v>
      </c>
      <c r="I10" s="406" t="str">
        <f ca="1">dms_y7</f>
        <v>2030-31</v>
      </c>
    </row>
    <row r="11" spans="1:10" outlineLevel="1" x14ac:dyDescent="0.25">
      <c r="B11" s="636" t="s">
        <v>171</v>
      </c>
      <c r="C11" s="1172">
        <v>6318048.3107505618</v>
      </c>
      <c r="D11" s="1173">
        <v>6143994.3617029758</v>
      </c>
      <c r="E11" s="1173">
        <v>5885280.0355187105</v>
      </c>
      <c r="F11" s="1173">
        <v>5632531.4875085307</v>
      </c>
      <c r="G11" s="1173">
        <v>5309084.0753748594</v>
      </c>
      <c r="H11" s="1173">
        <v>4992987.3624278996</v>
      </c>
      <c r="I11" s="1174">
        <v>4689273.4913736796</v>
      </c>
    </row>
    <row r="12" spans="1:10" outlineLevel="1" x14ac:dyDescent="0.25">
      <c r="B12" s="636" t="s">
        <v>308</v>
      </c>
      <c r="C12" s="378">
        <v>3177876.9002049672</v>
      </c>
      <c r="D12" s="379">
        <v>3156867.0841854834</v>
      </c>
      <c r="E12" s="379">
        <v>3132052.699174053</v>
      </c>
      <c r="F12" s="379">
        <v>3104469.3421586989</v>
      </c>
      <c r="G12" s="379">
        <v>3073424.4029123057</v>
      </c>
      <c r="H12" s="379">
        <v>3031820.2355779163</v>
      </c>
      <c r="I12" s="495">
        <v>2980818.5787026091</v>
      </c>
    </row>
    <row r="13" spans="1:10" outlineLevel="1" x14ac:dyDescent="0.25">
      <c r="B13" s="592" t="s">
        <v>309</v>
      </c>
      <c r="C13" s="1175">
        <v>9753750.950806668</v>
      </c>
      <c r="D13" s="1176">
        <v>9707827.9964617025</v>
      </c>
      <c r="E13" s="1176">
        <v>9663416.8932928331</v>
      </c>
      <c r="F13" s="1176">
        <v>9592974.1838403195</v>
      </c>
      <c r="G13" s="1176">
        <v>9497025.9429231714</v>
      </c>
      <c r="H13" s="1176">
        <v>9350406.9024739284</v>
      </c>
      <c r="I13" s="1177">
        <v>9158375.5471872725</v>
      </c>
    </row>
    <row r="14" spans="1:10" ht="15.75" outlineLevel="1" thickBot="1" x14ac:dyDescent="0.3">
      <c r="B14" s="544" t="s">
        <v>120</v>
      </c>
      <c r="C14" s="545">
        <f t="shared" ref="C14:I14" si="0">SUM(C11:C13)</f>
        <v>19249676.161762197</v>
      </c>
      <c r="D14" s="545">
        <f t="shared" si="0"/>
        <v>19008689.442350164</v>
      </c>
      <c r="E14" s="545">
        <f t="shared" si="0"/>
        <v>18680749.627985597</v>
      </c>
      <c r="F14" s="545">
        <f t="shared" si="0"/>
        <v>18329975.013507549</v>
      </c>
      <c r="G14" s="545">
        <f t="shared" si="0"/>
        <v>17879534.421210337</v>
      </c>
      <c r="H14" s="545">
        <f t="shared" si="0"/>
        <v>17375214.500479743</v>
      </c>
      <c r="I14" s="546">
        <f t="shared" si="0"/>
        <v>16828467.617263563</v>
      </c>
    </row>
    <row r="17" spans="1:10" ht="15.75" thickBot="1" x14ac:dyDescent="0.3"/>
    <row r="18" spans="1:10" ht="25.5" customHeight="1" thickBot="1" x14ac:dyDescent="0.3">
      <c r="B18" s="32" t="s">
        <v>310</v>
      </c>
      <c r="C18" s="32"/>
      <c r="D18" s="32"/>
      <c r="E18" s="32"/>
      <c r="F18" s="32"/>
      <c r="G18" s="32"/>
      <c r="H18" s="32"/>
      <c r="I18" s="32"/>
    </row>
    <row r="19" spans="1:10" s="42" customFormat="1" ht="27.75" customHeight="1" outlineLevel="1" x14ac:dyDescent="0.25">
      <c r="A19"/>
      <c r="B19"/>
      <c r="C19" s="1382" t="s">
        <v>306</v>
      </c>
      <c r="D19" s="1383"/>
      <c r="E19" s="1383"/>
      <c r="F19" s="1383"/>
      <c r="G19" s="1383"/>
      <c r="H19" s="1383"/>
      <c r="I19" s="1384"/>
      <c r="J19"/>
    </row>
    <row r="20" spans="1:10" s="42" customFormat="1" ht="18" customHeight="1" outlineLevel="1" x14ac:dyDescent="0.25">
      <c r="B20" s="389"/>
      <c r="C20" s="1375" t="s">
        <v>307</v>
      </c>
      <c r="D20" s="1376"/>
      <c r="E20" s="1376"/>
      <c r="F20" s="1376"/>
      <c r="G20" s="1376"/>
      <c r="H20" s="1376"/>
      <c r="I20" s="1377"/>
      <c r="J20"/>
    </row>
    <row r="21" spans="1:10" ht="33.75" customHeight="1" outlineLevel="1" thickBot="1" x14ac:dyDescent="0.3">
      <c r="B21" s="507" t="s">
        <v>311</v>
      </c>
      <c r="C21" s="405" t="str">
        <f ca="1">dms_y1</f>
        <v>2024-25</v>
      </c>
      <c r="D21" s="1394" t="str">
        <f ca="1">dms_y2</f>
        <v>2025-26</v>
      </c>
      <c r="E21" s="305" t="str">
        <f ca="1">dms_y3</f>
        <v>2026-27</v>
      </c>
      <c r="F21" s="305" t="str">
        <f ca="1">dms_y4</f>
        <v>2027-28</v>
      </c>
      <c r="G21" s="305" t="str">
        <f ca="1">dms_y5</f>
        <v>2028-29</v>
      </c>
      <c r="H21" s="305" t="str">
        <f ca="1">dms_y6</f>
        <v>2029-30</v>
      </c>
      <c r="I21" s="406" t="str">
        <f ca="1">dms_y7</f>
        <v>2030-31</v>
      </c>
    </row>
    <row r="22" spans="1:10" outlineLevel="1" x14ac:dyDescent="0.25">
      <c r="B22" s="585" t="s">
        <v>1497</v>
      </c>
      <c r="C22" s="256">
        <v>6316050.6175080147</v>
      </c>
      <c r="D22" s="257">
        <v>6141996.6684604287</v>
      </c>
      <c r="E22" s="257">
        <v>5883366.4621224301</v>
      </c>
      <c r="F22" s="257">
        <v>5630700.0942114983</v>
      </c>
      <c r="G22" s="257">
        <v>5307357.849607531</v>
      </c>
      <c r="H22" s="257">
        <v>4991363.9141421691</v>
      </c>
      <c r="I22" s="258">
        <v>4687748.7943419628</v>
      </c>
    </row>
    <row r="23" spans="1:10" outlineLevel="1" x14ac:dyDescent="0.25">
      <c r="B23" s="1197" t="s">
        <v>1498</v>
      </c>
      <c r="C23" s="653">
        <v>1997.6932425469324</v>
      </c>
      <c r="D23" s="447">
        <v>1997.6932425469324</v>
      </c>
      <c r="E23" s="447">
        <v>1913.5733962804825</v>
      </c>
      <c r="F23" s="447">
        <v>1831.3932970325504</v>
      </c>
      <c r="G23" s="447">
        <v>1726.2257673280424</v>
      </c>
      <c r="H23" s="447">
        <v>1623.4482857304822</v>
      </c>
      <c r="I23" s="593">
        <v>1524.697031716536</v>
      </c>
    </row>
    <row r="24" spans="1:10" outlineLevel="1" x14ac:dyDescent="0.25">
      <c r="B24" s="584" t="s">
        <v>1499</v>
      </c>
      <c r="C24" s="502">
        <v>3168461.159885284</v>
      </c>
      <c r="D24" s="379">
        <v>3147451.3438658002</v>
      </c>
      <c r="E24" s="379">
        <v>3122710.9707779731</v>
      </c>
      <c r="F24" s="379">
        <v>3095209.8844822519</v>
      </c>
      <c r="G24" s="379">
        <v>3064257.5405458254</v>
      </c>
      <c r="H24" s="379">
        <v>3022777.4627044019</v>
      </c>
      <c r="I24" s="495">
        <v>2971927.924478441</v>
      </c>
    </row>
    <row r="25" spans="1:10" outlineLevel="1" x14ac:dyDescent="0.25">
      <c r="B25" s="1197" t="s">
        <v>1500</v>
      </c>
      <c r="C25" s="653">
        <v>9415.7403196832111</v>
      </c>
      <c r="D25" s="447">
        <v>9415.7403196832111</v>
      </c>
      <c r="E25" s="447">
        <v>9341.7283960799905</v>
      </c>
      <c r="F25" s="447">
        <v>9259.4576764469839</v>
      </c>
      <c r="G25" s="447">
        <v>9166.8623664801071</v>
      </c>
      <c r="H25" s="447">
        <v>9042.7728735142264</v>
      </c>
      <c r="I25" s="593">
        <v>8890.65422416812</v>
      </c>
    </row>
    <row r="26" spans="1:10" outlineLevel="1" x14ac:dyDescent="0.25">
      <c r="B26" s="584" t="s">
        <v>1501</v>
      </c>
      <c r="C26" s="502">
        <v>7001765.1888066679</v>
      </c>
      <c r="D26" s="379">
        <v>6978720.771473635</v>
      </c>
      <c r="E26" s="379">
        <v>6956737.6915009785</v>
      </c>
      <c r="F26" s="379">
        <v>6908281.4936922397</v>
      </c>
      <c r="G26" s="379">
        <v>6833887.0466219224</v>
      </c>
      <c r="H26" s="379">
        <v>6708397.672631612</v>
      </c>
      <c r="I26" s="495">
        <v>6537080.2485038219</v>
      </c>
    </row>
    <row r="27" spans="1:10" outlineLevel="1" x14ac:dyDescent="0.25">
      <c r="B27" s="1197" t="s">
        <v>1502</v>
      </c>
      <c r="C27" s="653">
        <v>1369272.8479999998</v>
      </c>
      <c r="D27" s="447">
        <v>1361720.1663241333</v>
      </c>
      <c r="E27" s="447">
        <v>1354389.3929386023</v>
      </c>
      <c r="F27" s="447">
        <v>1347275.3579307888</v>
      </c>
      <c r="G27" s="447">
        <v>1340373.0261087972</v>
      </c>
      <c r="H27" s="447">
        <v>1333677.4934582245</v>
      </c>
      <c r="I27" s="593">
        <v>1327183.9836958363</v>
      </c>
    </row>
    <row r="28" spans="1:10" outlineLevel="1" x14ac:dyDescent="0.25">
      <c r="B28" s="584" t="s">
        <v>1503</v>
      </c>
      <c r="C28" s="502">
        <v>292730.24799999996</v>
      </c>
      <c r="D28" s="379">
        <v>290356.03469226666</v>
      </c>
      <c r="E28" s="379">
        <v>288031.79477616365</v>
      </c>
      <c r="F28" s="379">
        <v>285756.39493080036</v>
      </c>
      <c r="G28" s="379">
        <v>283528.72862003505</v>
      </c>
      <c r="H28" s="379">
        <v>281347.71544545284</v>
      </c>
      <c r="I28" s="495">
        <v>279212.30051515653</v>
      </c>
    </row>
    <row r="29" spans="1:10" outlineLevel="1" x14ac:dyDescent="0.25">
      <c r="B29" s="1197" t="s">
        <v>1504</v>
      </c>
      <c r="C29" s="653">
        <v>0</v>
      </c>
      <c r="D29" s="447">
        <v>0</v>
      </c>
      <c r="E29" s="447">
        <v>0</v>
      </c>
      <c r="F29" s="447">
        <v>0</v>
      </c>
      <c r="G29" s="447">
        <v>0</v>
      </c>
      <c r="H29" s="447">
        <v>0</v>
      </c>
      <c r="I29" s="593">
        <v>0</v>
      </c>
    </row>
    <row r="30" spans="1:10" outlineLevel="1" x14ac:dyDescent="0.25">
      <c r="B30" s="584" t="s">
        <v>1505</v>
      </c>
      <c r="C30" s="1557"/>
      <c r="D30" s="1558"/>
      <c r="E30" s="1558"/>
      <c r="F30" s="1558"/>
      <c r="G30" s="1558"/>
      <c r="H30" s="1558"/>
      <c r="I30" s="1559"/>
    </row>
    <row r="31" spans="1:10" outlineLevel="1" x14ac:dyDescent="0.25">
      <c r="B31" s="1197" t="s">
        <v>1506</v>
      </c>
      <c r="C31" s="1557"/>
      <c r="D31" s="1558"/>
      <c r="E31" s="1558"/>
      <c r="F31" s="1558"/>
      <c r="G31" s="1558"/>
      <c r="H31" s="1558"/>
      <c r="I31" s="1559"/>
    </row>
    <row r="32" spans="1:10" outlineLevel="1" x14ac:dyDescent="0.25">
      <c r="B32" s="584" t="s">
        <v>1507</v>
      </c>
      <c r="C32" s="1557"/>
      <c r="D32" s="1558"/>
      <c r="E32" s="1558"/>
      <c r="F32" s="1558"/>
      <c r="G32" s="1558"/>
      <c r="H32" s="1558"/>
      <c r="I32" s="1559"/>
    </row>
    <row r="33" spans="2:9" outlineLevel="1" x14ac:dyDescent="0.25">
      <c r="B33" s="1197" t="s">
        <v>1508</v>
      </c>
      <c r="C33" s="1557"/>
      <c r="D33" s="1558"/>
      <c r="E33" s="1558"/>
      <c r="F33" s="1558"/>
      <c r="G33" s="1558"/>
      <c r="H33" s="1558"/>
      <c r="I33" s="1559"/>
    </row>
    <row r="34" spans="2:9" outlineLevel="1" x14ac:dyDescent="0.25">
      <c r="B34" s="584"/>
      <c r="C34" s="502"/>
      <c r="D34" s="379"/>
      <c r="E34" s="379"/>
      <c r="F34" s="379"/>
      <c r="G34" s="379"/>
      <c r="H34" s="379"/>
      <c r="I34" s="495"/>
    </row>
    <row r="35" spans="2:9" outlineLevel="1" x14ac:dyDescent="0.25">
      <c r="B35" s="1197"/>
      <c r="C35" s="653"/>
      <c r="D35" s="447"/>
      <c r="E35" s="447"/>
      <c r="F35" s="447"/>
      <c r="G35" s="447"/>
      <c r="H35" s="447"/>
      <c r="I35" s="593"/>
    </row>
    <row r="36" spans="2:9" outlineLevel="1" x14ac:dyDescent="0.25">
      <c r="B36" s="584"/>
      <c r="C36" s="502"/>
      <c r="D36" s="379"/>
      <c r="E36" s="379"/>
      <c r="F36" s="379"/>
      <c r="G36" s="379"/>
      <c r="H36" s="379"/>
      <c r="I36" s="495"/>
    </row>
    <row r="37" spans="2:9" outlineLevel="1" x14ac:dyDescent="0.25">
      <c r="B37" s="1197"/>
      <c r="C37" s="653"/>
      <c r="D37" s="447"/>
      <c r="E37" s="447"/>
      <c r="F37" s="447"/>
      <c r="G37" s="447"/>
      <c r="H37" s="447"/>
      <c r="I37" s="593"/>
    </row>
    <row r="38" spans="2:9" outlineLevel="1" x14ac:dyDescent="0.25">
      <c r="B38" s="584"/>
      <c r="C38" s="502"/>
      <c r="D38" s="379"/>
      <c r="E38" s="379"/>
      <c r="F38" s="379"/>
      <c r="G38" s="379"/>
      <c r="H38" s="379"/>
      <c r="I38" s="495"/>
    </row>
    <row r="39" spans="2:9" outlineLevel="1" x14ac:dyDescent="0.25">
      <c r="B39" s="1197"/>
      <c r="C39" s="653"/>
      <c r="D39" s="447"/>
      <c r="E39" s="447"/>
      <c r="F39" s="447"/>
      <c r="G39" s="447"/>
      <c r="H39" s="447"/>
      <c r="I39" s="593"/>
    </row>
    <row r="40" spans="2:9" outlineLevel="1" x14ac:dyDescent="0.25">
      <c r="B40" s="584"/>
      <c r="C40" s="502"/>
      <c r="D40" s="379"/>
      <c r="E40" s="379"/>
      <c r="F40" s="379"/>
      <c r="G40" s="379"/>
      <c r="H40" s="379"/>
      <c r="I40" s="495"/>
    </row>
    <row r="41" spans="2:9" outlineLevel="1" x14ac:dyDescent="0.25">
      <c r="B41" s="1197"/>
      <c r="C41" s="653"/>
      <c r="D41" s="447"/>
      <c r="E41" s="447"/>
      <c r="F41" s="447"/>
      <c r="G41" s="447"/>
      <c r="H41" s="447"/>
      <c r="I41" s="593"/>
    </row>
    <row r="42" spans="2:9" outlineLevel="1" x14ac:dyDescent="0.25">
      <c r="B42" s="584"/>
      <c r="C42" s="502"/>
      <c r="D42" s="379"/>
      <c r="E42" s="379"/>
      <c r="F42" s="379"/>
      <c r="G42" s="379"/>
      <c r="H42" s="379"/>
      <c r="I42" s="495"/>
    </row>
    <row r="43" spans="2:9" outlineLevel="1" x14ac:dyDescent="0.25">
      <c r="B43" s="1197"/>
      <c r="C43" s="653"/>
      <c r="D43" s="447"/>
      <c r="E43" s="447"/>
      <c r="F43" s="447"/>
      <c r="G43" s="447"/>
      <c r="H43" s="447"/>
      <c r="I43" s="593"/>
    </row>
    <row r="44" spans="2:9" outlineLevel="1" x14ac:dyDescent="0.25">
      <c r="B44" s="584"/>
      <c r="C44" s="502"/>
      <c r="D44" s="379"/>
      <c r="E44" s="379"/>
      <c r="F44" s="379"/>
      <c r="G44" s="379"/>
      <c r="H44" s="379"/>
      <c r="I44" s="495"/>
    </row>
    <row r="45" spans="2:9" outlineLevel="1" x14ac:dyDescent="0.25">
      <c r="B45" s="1197"/>
      <c r="C45" s="653"/>
      <c r="D45" s="447"/>
      <c r="E45" s="447"/>
      <c r="F45" s="447"/>
      <c r="G45" s="447"/>
      <c r="H45" s="447"/>
      <c r="I45" s="593"/>
    </row>
    <row r="46" spans="2:9" outlineLevel="1" x14ac:dyDescent="0.25">
      <c r="B46" s="584"/>
      <c r="C46" s="502"/>
      <c r="D46" s="379"/>
      <c r="E46" s="379"/>
      <c r="F46" s="379"/>
      <c r="G46" s="379"/>
      <c r="H46" s="379"/>
      <c r="I46" s="495"/>
    </row>
    <row r="47" spans="2:9" outlineLevel="1" x14ac:dyDescent="0.25">
      <c r="B47" s="1197"/>
      <c r="C47" s="653"/>
      <c r="D47" s="447"/>
      <c r="E47" s="447"/>
      <c r="F47" s="447"/>
      <c r="G47" s="447"/>
      <c r="H47" s="447"/>
      <c r="I47" s="593"/>
    </row>
    <row r="48" spans="2:9" outlineLevel="1" x14ac:dyDescent="0.25">
      <c r="B48" s="584"/>
      <c r="C48" s="502"/>
      <c r="D48" s="379"/>
      <c r="E48" s="379"/>
      <c r="F48" s="379"/>
      <c r="G48" s="379"/>
      <c r="H48" s="379"/>
      <c r="I48" s="495"/>
    </row>
    <row r="49" spans="2:9" outlineLevel="1" x14ac:dyDescent="0.25">
      <c r="B49" s="1197"/>
      <c r="C49" s="653"/>
      <c r="D49" s="447"/>
      <c r="E49" s="447"/>
      <c r="F49" s="447"/>
      <c r="G49" s="447"/>
      <c r="H49" s="447"/>
      <c r="I49" s="593"/>
    </row>
    <row r="50" spans="2:9" outlineLevel="1" x14ac:dyDescent="0.25">
      <c r="B50" s="584"/>
      <c r="C50" s="502"/>
      <c r="D50" s="379"/>
      <c r="E50" s="379"/>
      <c r="F50" s="379"/>
      <c r="G50" s="379"/>
      <c r="H50" s="379"/>
      <c r="I50" s="495"/>
    </row>
    <row r="51" spans="2:9" outlineLevel="1" x14ac:dyDescent="0.25">
      <c r="B51" s="1197"/>
      <c r="C51" s="653"/>
      <c r="D51" s="447"/>
      <c r="E51" s="447"/>
      <c r="F51" s="447"/>
      <c r="G51" s="447"/>
      <c r="H51" s="447"/>
      <c r="I51" s="593"/>
    </row>
    <row r="52" spans="2:9" outlineLevel="1" x14ac:dyDescent="0.25">
      <c r="B52" s="584"/>
      <c r="C52" s="502"/>
      <c r="D52" s="379"/>
      <c r="E52" s="379"/>
      <c r="F52" s="379"/>
      <c r="G52" s="379"/>
      <c r="H52" s="379"/>
      <c r="I52" s="495"/>
    </row>
    <row r="53" spans="2:9" outlineLevel="1" x14ac:dyDescent="0.25">
      <c r="B53" s="1197"/>
      <c r="C53" s="653"/>
      <c r="D53" s="447"/>
      <c r="E53" s="447"/>
      <c r="F53" s="447"/>
      <c r="G53" s="447"/>
      <c r="H53" s="447"/>
      <c r="I53" s="593"/>
    </row>
    <row r="54" spans="2:9" outlineLevel="1" x14ac:dyDescent="0.25">
      <c r="B54" s="584"/>
      <c r="C54" s="502"/>
      <c r="D54" s="379"/>
      <c r="E54" s="379"/>
      <c r="F54" s="379"/>
      <c r="G54" s="379"/>
      <c r="H54" s="379"/>
      <c r="I54" s="495"/>
    </row>
    <row r="55" spans="2:9" outlineLevel="1" x14ac:dyDescent="0.25">
      <c r="B55" s="1197"/>
      <c r="C55" s="653"/>
      <c r="D55" s="447"/>
      <c r="E55" s="447"/>
      <c r="F55" s="447"/>
      <c r="G55" s="447"/>
      <c r="H55" s="447"/>
      <c r="I55" s="593"/>
    </row>
    <row r="56" spans="2:9" outlineLevel="1" x14ac:dyDescent="0.25">
      <c r="B56" s="584"/>
      <c r="C56" s="502"/>
      <c r="D56" s="379"/>
      <c r="E56" s="379"/>
      <c r="F56" s="379"/>
      <c r="G56" s="379"/>
      <c r="H56" s="379"/>
      <c r="I56" s="495"/>
    </row>
    <row r="57" spans="2:9" outlineLevel="1" x14ac:dyDescent="0.25">
      <c r="B57" s="1197"/>
      <c r="C57" s="653"/>
      <c r="D57" s="447"/>
      <c r="E57" s="447"/>
      <c r="F57" s="447"/>
      <c r="G57" s="447"/>
      <c r="H57" s="447"/>
      <c r="I57" s="593"/>
    </row>
    <row r="58" spans="2:9" outlineLevel="1" x14ac:dyDescent="0.25">
      <c r="B58" s="584"/>
      <c r="C58" s="502"/>
      <c r="D58" s="379"/>
      <c r="E58" s="379"/>
      <c r="F58" s="379"/>
      <c r="G58" s="379"/>
      <c r="H58" s="379"/>
      <c r="I58" s="495"/>
    </row>
    <row r="59" spans="2:9" outlineLevel="1" x14ac:dyDescent="0.25">
      <c r="B59" s="1197"/>
      <c r="C59" s="653"/>
      <c r="D59" s="447"/>
      <c r="E59" s="447"/>
      <c r="F59" s="447"/>
      <c r="G59" s="447"/>
      <c r="H59" s="447"/>
      <c r="I59" s="593"/>
    </row>
    <row r="60" spans="2:9" outlineLevel="1" x14ac:dyDescent="0.25">
      <c r="B60" s="584"/>
      <c r="C60" s="502"/>
      <c r="D60" s="379"/>
      <c r="E60" s="379"/>
      <c r="F60" s="379"/>
      <c r="G60" s="379"/>
      <c r="H60" s="379"/>
      <c r="I60" s="495"/>
    </row>
    <row r="61" spans="2:9" outlineLevel="1" x14ac:dyDescent="0.25">
      <c r="B61" s="1197"/>
      <c r="C61" s="653"/>
      <c r="D61" s="447"/>
      <c r="E61" s="447"/>
      <c r="F61" s="447"/>
      <c r="G61" s="447"/>
      <c r="H61" s="447"/>
      <c r="I61" s="593"/>
    </row>
    <row r="62" spans="2:9" outlineLevel="1" x14ac:dyDescent="0.25">
      <c r="B62" s="584"/>
      <c r="C62" s="502"/>
      <c r="D62" s="379"/>
      <c r="E62" s="379"/>
      <c r="F62" s="379"/>
      <c r="G62" s="379"/>
      <c r="H62" s="379"/>
      <c r="I62" s="495"/>
    </row>
    <row r="63" spans="2:9" outlineLevel="1" x14ac:dyDescent="0.25">
      <c r="B63" s="1197"/>
      <c r="C63" s="653"/>
      <c r="D63" s="447"/>
      <c r="E63" s="447"/>
      <c r="F63" s="447"/>
      <c r="G63" s="447"/>
      <c r="H63" s="447"/>
      <c r="I63" s="593"/>
    </row>
    <row r="64" spans="2:9" outlineLevel="1" x14ac:dyDescent="0.25">
      <c r="B64" s="584"/>
      <c r="C64" s="502"/>
      <c r="D64" s="379"/>
      <c r="E64" s="379"/>
      <c r="F64" s="379"/>
      <c r="G64" s="379"/>
      <c r="H64" s="379"/>
      <c r="I64" s="495"/>
    </row>
    <row r="65" spans="2:9" outlineLevel="1" x14ac:dyDescent="0.25">
      <c r="B65" s="1197"/>
      <c r="C65" s="653"/>
      <c r="D65" s="447"/>
      <c r="E65" s="447"/>
      <c r="F65" s="447"/>
      <c r="G65" s="447"/>
      <c r="H65" s="447"/>
      <c r="I65" s="593"/>
    </row>
    <row r="66" spans="2:9" outlineLevel="1" x14ac:dyDescent="0.25">
      <c r="B66" s="584"/>
      <c r="C66" s="502"/>
      <c r="D66" s="379"/>
      <c r="E66" s="379"/>
      <c r="F66" s="379"/>
      <c r="G66" s="379"/>
      <c r="H66" s="379"/>
      <c r="I66" s="495"/>
    </row>
    <row r="67" spans="2:9" outlineLevel="1" x14ac:dyDescent="0.25">
      <c r="B67" s="1197"/>
      <c r="C67" s="653"/>
      <c r="D67" s="447"/>
      <c r="E67" s="447"/>
      <c r="F67" s="447"/>
      <c r="G67" s="447"/>
      <c r="H67" s="447"/>
      <c r="I67" s="593"/>
    </row>
    <row r="68" spans="2:9" outlineLevel="1" x14ac:dyDescent="0.25">
      <c r="B68" s="584"/>
      <c r="C68" s="502"/>
      <c r="D68" s="379"/>
      <c r="E68" s="379"/>
      <c r="F68" s="379"/>
      <c r="G68" s="379"/>
      <c r="H68" s="379"/>
      <c r="I68" s="495"/>
    </row>
    <row r="69" spans="2:9" outlineLevel="1" x14ac:dyDescent="0.25">
      <c r="B69" s="1197"/>
      <c r="C69" s="653"/>
      <c r="D69" s="447"/>
      <c r="E69" s="447"/>
      <c r="F69" s="447"/>
      <c r="G69" s="447"/>
      <c r="H69" s="447"/>
      <c r="I69" s="593"/>
    </row>
    <row r="70" spans="2:9" outlineLevel="1" x14ac:dyDescent="0.25">
      <c r="B70" s="584"/>
      <c r="C70" s="502"/>
      <c r="D70" s="379"/>
      <c r="E70" s="379"/>
      <c r="F70" s="379"/>
      <c r="G70" s="379"/>
      <c r="H70" s="379"/>
      <c r="I70" s="495"/>
    </row>
    <row r="71" spans="2:9" outlineLevel="1" x14ac:dyDescent="0.25">
      <c r="B71" s="1197"/>
      <c r="C71" s="653"/>
      <c r="D71" s="447"/>
      <c r="E71" s="447"/>
      <c r="F71" s="447"/>
      <c r="G71" s="447"/>
      <c r="H71" s="447"/>
      <c r="I71" s="593"/>
    </row>
    <row r="72" spans="2:9" outlineLevel="1" x14ac:dyDescent="0.25">
      <c r="B72" s="584"/>
      <c r="C72" s="502"/>
      <c r="D72" s="379"/>
      <c r="E72" s="379"/>
      <c r="F72" s="379"/>
      <c r="G72" s="379"/>
      <c r="H72" s="379"/>
      <c r="I72" s="495"/>
    </row>
    <row r="73" spans="2:9" outlineLevel="1" x14ac:dyDescent="0.25">
      <c r="B73" s="1197"/>
      <c r="C73" s="653"/>
      <c r="D73" s="447"/>
      <c r="E73" s="447"/>
      <c r="F73" s="447"/>
      <c r="G73" s="447"/>
      <c r="H73" s="447"/>
      <c r="I73" s="593"/>
    </row>
    <row r="74" spans="2:9" outlineLevel="1" x14ac:dyDescent="0.25">
      <c r="B74" s="584"/>
      <c r="C74" s="502"/>
      <c r="D74" s="379"/>
      <c r="E74" s="379"/>
      <c r="F74" s="379"/>
      <c r="G74" s="379"/>
      <c r="H74" s="379"/>
      <c r="I74" s="495"/>
    </row>
    <row r="75" spans="2:9" outlineLevel="1" x14ac:dyDescent="0.25">
      <c r="B75" s="1197"/>
      <c r="C75" s="653"/>
      <c r="D75" s="447"/>
      <c r="E75" s="447"/>
      <c r="F75" s="447"/>
      <c r="G75" s="447"/>
      <c r="H75" s="447"/>
      <c r="I75" s="593"/>
    </row>
    <row r="76" spans="2:9" outlineLevel="1" x14ac:dyDescent="0.25">
      <c r="B76" s="584"/>
      <c r="C76" s="502"/>
      <c r="D76" s="379"/>
      <c r="E76" s="379"/>
      <c r="F76" s="379"/>
      <c r="G76" s="379"/>
      <c r="H76" s="379"/>
      <c r="I76" s="495"/>
    </row>
    <row r="77" spans="2:9" outlineLevel="1" x14ac:dyDescent="0.25">
      <c r="B77" s="1197"/>
      <c r="C77" s="653"/>
      <c r="D77" s="447"/>
      <c r="E77" s="447"/>
      <c r="F77" s="447"/>
      <c r="G77" s="447"/>
      <c r="H77" s="447"/>
      <c r="I77" s="593"/>
    </row>
    <row r="78" spans="2:9" outlineLevel="1" x14ac:dyDescent="0.25">
      <c r="B78" s="584"/>
      <c r="C78" s="502"/>
      <c r="D78" s="379"/>
      <c r="E78" s="379"/>
      <c r="F78" s="379"/>
      <c r="G78" s="379"/>
      <c r="H78" s="379"/>
      <c r="I78" s="495"/>
    </row>
    <row r="79" spans="2:9" outlineLevel="1" x14ac:dyDescent="0.25">
      <c r="B79" s="1197"/>
      <c r="C79" s="653"/>
      <c r="D79" s="447"/>
      <c r="E79" s="447"/>
      <c r="F79" s="447"/>
      <c r="G79" s="447"/>
      <c r="H79" s="447"/>
      <c r="I79" s="593"/>
    </row>
    <row r="80" spans="2:9" outlineLevel="1" x14ac:dyDescent="0.25">
      <c r="B80" s="584"/>
      <c r="C80" s="502"/>
      <c r="D80" s="379"/>
      <c r="E80" s="379"/>
      <c r="F80" s="379"/>
      <c r="G80" s="379"/>
      <c r="H80" s="379"/>
      <c r="I80" s="495"/>
    </row>
    <row r="81" spans="2:9" outlineLevel="1" x14ac:dyDescent="0.25">
      <c r="B81" s="1197"/>
      <c r="C81" s="653"/>
      <c r="D81" s="447"/>
      <c r="E81" s="447"/>
      <c r="F81" s="447"/>
      <c r="G81" s="447"/>
      <c r="H81" s="447"/>
      <c r="I81" s="593"/>
    </row>
    <row r="82" spans="2:9" outlineLevel="1" x14ac:dyDescent="0.25">
      <c r="B82" s="584"/>
      <c r="C82" s="502"/>
      <c r="D82" s="379"/>
      <c r="E82" s="379"/>
      <c r="F82" s="379"/>
      <c r="G82" s="379"/>
      <c r="H82" s="379"/>
      <c r="I82" s="495"/>
    </row>
    <row r="83" spans="2:9" outlineLevel="1" x14ac:dyDescent="0.25">
      <c r="B83" s="1197"/>
      <c r="C83" s="653"/>
      <c r="D83" s="447"/>
      <c r="E83" s="447"/>
      <c r="F83" s="447"/>
      <c r="G83" s="447"/>
      <c r="H83" s="447"/>
      <c r="I83" s="593"/>
    </row>
    <row r="84" spans="2:9" outlineLevel="1" x14ac:dyDescent="0.25">
      <c r="B84" s="584"/>
      <c r="C84" s="502"/>
      <c r="D84" s="379"/>
      <c r="E84" s="379"/>
      <c r="F84" s="379"/>
      <c r="G84" s="379"/>
      <c r="H84" s="379"/>
      <c r="I84" s="495"/>
    </row>
    <row r="85" spans="2:9" outlineLevel="1" x14ac:dyDescent="0.25">
      <c r="B85" s="1197"/>
      <c r="C85" s="653"/>
      <c r="D85" s="447"/>
      <c r="E85" s="447"/>
      <c r="F85" s="447"/>
      <c r="G85" s="447"/>
      <c r="H85" s="447"/>
      <c r="I85" s="593"/>
    </row>
    <row r="86" spans="2:9" outlineLevel="1" x14ac:dyDescent="0.25">
      <c r="B86" s="584"/>
      <c r="C86" s="502"/>
      <c r="D86" s="379"/>
      <c r="E86" s="379"/>
      <c r="F86" s="379"/>
      <c r="G86" s="379"/>
      <c r="H86" s="379"/>
      <c r="I86" s="495"/>
    </row>
    <row r="87" spans="2:9" outlineLevel="1" x14ac:dyDescent="0.25">
      <c r="B87" s="1197"/>
      <c r="C87" s="653"/>
      <c r="D87" s="447"/>
      <c r="E87" s="447"/>
      <c r="F87" s="447"/>
      <c r="G87" s="447"/>
      <c r="H87" s="447"/>
      <c r="I87" s="593"/>
    </row>
    <row r="88" spans="2:9" outlineLevel="1" x14ac:dyDescent="0.25">
      <c r="B88" s="584"/>
      <c r="C88" s="502"/>
      <c r="D88" s="379"/>
      <c r="E88" s="379"/>
      <c r="F88" s="379"/>
      <c r="G88" s="379"/>
      <c r="H88" s="379"/>
      <c r="I88" s="495"/>
    </row>
    <row r="89" spans="2:9" outlineLevel="1" x14ac:dyDescent="0.25">
      <c r="B89" s="1197"/>
      <c r="C89" s="653"/>
      <c r="D89" s="447"/>
      <c r="E89" s="447"/>
      <c r="F89" s="447"/>
      <c r="G89" s="447"/>
      <c r="H89" s="447"/>
      <c r="I89" s="593"/>
    </row>
    <row r="90" spans="2:9" outlineLevel="1" x14ac:dyDescent="0.25">
      <c r="B90" s="584"/>
      <c r="C90" s="502"/>
      <c r="D90" s="379"/>
      <c r="E90" s="379"/>
      <c r="F90" s="379"/>
      <c r="G90" s="379"/>
      <c r="H90" s="379"/>
      <c r="I90" s="495"/>
    </row>
    <row r="91" spans="2:9" outlineLevel="1" x14ac:dyDescent="0.25">
      <c r="B91" s="1197"/>
      <c r="C91" s="653"/>
      <c r="D91" s="447"/>
      <c r="E91" s="447"/>
      <c r="F91" s="447"/>
      <c r="G91" s="447"/>
      <c r="H91" s="447"/>
      <c r="I91" s="593"/>
    </row>
    <row r="92" spans="2:9" outlineLevel="1" x14ac:dyDescent="0.25">
      <c r="B92" s="584"/>
      <c r="C92" s="502"/>
      <c r="D92" s="379"/>
      <c r="E92" s="379"/>
      <c r="F92" s="379"/>
      <c r="G92" s="379"/>
      <c r="H92" s="379"/>
      <c r="I92" s="495"/>
    </row>
    <row r="93" spans="2:9" outlineLevel="1" x14ac:dyDescent="0.25">
      <c r="B93" s="1197"/>
      <c r="C93" s="653"/>
      <c r="D93" s="447"/>
      <c r="E93" s="447"/>
      <c r="F93" s="447"/>
      <c r="G93" s="447"/>
      <c r="H93" s="447"/>
      <c r="I93" s="593"/>
    </row>
    <row r="94" spans="2:9" outlineLevel="1" x14ac:dyDescent="0.25">
      <c r="B94" s="584"/>
      <c r="C94" s="502"/>
      <c r="D94" s="379"/>
      <c r="E94" s="379"/>
      <c r="F94" s="379"/>
      <c r="G94" s="379"/>
      <c r="H94" s="379"/>
      <c r="I94" s="495"/>
    </row>
    <row r="95" spans="2:9" outlineLevel="1" x14ac:dyDescent="0.25">
      <c r="B95" s="1197"/>
      <c r="C95" s="653"/>
      <c r="D95" s="447"/>
      <c r="E95" s="447"/>
      <c r="F95" s="447"/>
      <c r="G95" s="447"/>
      <c r="H95" s="447"/>
      <c r="I95" s="593"/>
    </row>
    <row r="96" spans="2:9" ht="15.75" outlineLevel="1" thickBot="1" x14ac:dyDescent="0.3">
      <c r="B96" s="584"/>
      <c r="C96" s="502"/>
      <c r="D96" s="379"/>
      <c r="E96" s="379"/>
      <c r="F96" s="379"/>
      <c r="G96" s="379"/>
      <c r="H96" s="379"/>
      <c r="I96" s="495"/>
    </row>
    <row r="97" spans="2:9" ht="15.75" outlineLevel="1" thickBot="1" x14ac:dyDescent="0.3">
      <c r="B97" s="295" t="s">
        <v>120</v>
      </c>
      <c r="C97" s="296">
        <f t="shared" ref="C97:I97" si="1">SUM(C22:C96)</f>
        <v>18159693.495762195</v>
      </c>
      <c r="D97" s="296">
        <f t="shared" si="1"/>
        <v>17931658.418378491</v>
      </c>
      <c r="E97" s="296">
        <f t="shared" si="1"/>
        <v>17616491.613908507</v>
      </c>
      <c r="F97" s="296">
        <f t="shared" si="1"/>
        <v>17278314.076221056</v>
      </c>
      <c r="G97" s="296">
        <f t="shared" si="1"/>
        <v>16840297.279637918</v>
      </c>
      <c r="H97" s="296">
        <f t="shared" si="1"/>
        <v>16348230.479541104</v>
      </c>
      <c r="I97" s="297">
        <f t="shared" si="1"/>
        <v>15813568.602791103</v>
      </c>
    </row>
  </sheetData>
  <dataValidations xWindow="125" yWindow="630" count="1">
    <dataValidation allowBlank="1" showInputMessage="1" showErrorMessage="1" promptTitle="Tariff" prompt="Enter relevant tariff names here" sqref="B11:B13 B22:B96" xr:uid="{00000000-0002-0000-1400-000000000000}"/>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6" tint="-0.249977111117893"/>
  </sheetPr>
  <dimension ref="A1:K66"/>
  <sheetViews>
    <sheetView showGridLines="0" zoomScaleNormal="100" workbookViewId="0"/>
  </sheetViews>
  <sheetFormatPr defaultColWidth="9.140625" defaultRowHeight="15" outlineLevelRow="2" x14ac:dyDescent="0.25"/>
  <cols>
    <col min="1" max="1" width="23.140625" customWidth="1"/>
    <col min="2" max="2" width="16.7109375" customWidth="1"/>
    <col min="3" max="3" width="39.5703125" customWidth="1"/>
    <col min="4" max="10" width="20.7109375" customWidth="1"/>
  </cols>
  <sheetData>
    <row r="1" spans="1:11" ht="30" customHeight="1" x14ac:dyDescent="0.25">
      <c r="A1" s="1112"/>
      <c r="B1" s="1112" t="str">
        <f>INDEX(dms_Worksheet_List,MATCH(dms_Model,dms_Model_List))</f>
        <v>REGULATORY REPORTING STATEMENT</v>
      </c>
      <c r="C1" s="50"/>
      <c r="D1" s="26"/>
      <c r="E1" s="26"/>
      <c r="F1" s="26"/>
      <c r="G1" s="1502" t="s">
        <v>96</v>
      </c>
      <c r="H1" s="1503" t="s">
        <v>97</v>
      </c>
      <c r="I1" s="26"/>
      <c r="J1" s="26"/>
    </row>
    <row r="2" spans="1:11" ht="30" customHeight="1" x14ac:dyDescent="0.25">
      <c r="A2" s="1113"/>
      <c r="B2" s="1113" t="str">
        <f>dms_TradingNameFull</f>
        <v>Australian Gas Networks Limited (reporting data for SA)</v>
      </c>
      <c r="C2" s="50"/>
      <c r="D2" s="26"/>
      <c r="E2" s="26"/>
      <c r="F2" s="26"/>
      <c r="G2" s="1504" t="s">
        <v>98</v>
      </c>
      <c r="H2" s="1505" t="s">
        <v>92</v>
      </c>
      <c r="I2" s="26"/>
      <c r="J2" s="26"/>
    </row>
    <row r="3" spans="1:11" ht="30" customHeight="1" x14ac:dyDescent="0.25">
      <c r="A3" s="1115"/>
      <c r="B3" s="1115" t="str">
        <f ca="1">dms_Header_Span</f>
        <v>2024-25 to 2030-31</v>
      </c>
      <c r="C3" s="72"/>
      <c r="D3" s="26"/>
      <c r="E3" s="26"/>
      <c r="F3" s="26"/>
      <c r="G3" s="1506" t="s">
        <v>99</v>
      </c>
      <c r="H3" s="1507" t="s">
        <v>100</v>
      </c>
      <c r="I3" s="26"/>
      <c r="J3" s="26"/>
    </row>
    <row r="4" spans="1:11" ht="30" customHeight="1" x14ac:dyDescent="0.25">
      <c r="A4" s="621"/>
      <c r="B4" s="621" t="s">
        <v>312</v>
      </c>
      <c r="C4" s="621"/>
      <c r="D4" s="621"/>
      <c r="E4" s="621"/>
      <c r="F4" s="621"/>
      <c r="G4" s="1508" t="s">
        <v>102</v>
      </c>
      <c r="H4" s="1509" t="s">
        <v>103</v>
      </c>
      <c r="I4" s="621"/>
      <c r="J4" s="621"/>
    </row>
    <row r="5" spans="1:11" ht="30" customHeight="1" x14ac:dyDescent="0.25">
      <c r="B5" s="1492" t="s">
        <v>104</v>
      </c>
      <c r="C5" s="1492"/>
      <c r="D5" s="1492"/>
      <c r="E5" s="1492"/>
      <c r="F5" s="1492"/>
      <c r="G5" s="1492"/>
      <c r="H5" s="1492"/>
      <c r="I5" s="1492"/>
      <c r="J5" s="1492"/>
    </row>
    <row r="6" spans="1:11" ht="15.75" thickBot="1" x14ac:dyDescent="0.3"/>
    <row r="7" spans="1:11" ht="24.95" customHeight="1" thickBot="1" x14ac:dyDescent="0.3">
      <c r="A7" s="253"/>
      <c r="B7" s="32" t="s">
        <v>313</v>
      </c>
      <c r="C7" s="32"/>
      <c r="D7" s="32"/>
      <c r="E7" s="32"/>
      <c r="F7" s="32"/>
      <c r="G7" s="32"/>
      <c r="H7" s="32"/>
      <c r="I7" s="32"/>
      <c r="J7" s="32"/>
    </row>
    <row r="8" spans="1:11" s="39" customFormat="1" ht="15" customHeight="1" outlineLevel="1" x14ac:dyDescent="0.25">
      <c r="A8" s="303"/>
      <c r="B8" s="304"/>
      <c r="C8" s="373"/>
      <c r="D8" s="1382" t="s">
        <v>149</v>
      </c>
      <c r="E8" s="1383"/>
      <c r="F8" s="1383"/>
      <c r="G8" s="1383"/>
      <c r="H8" s="1383"/>
      <c r="I8" s="1383"/>
      <c r="J8" s="1384"/>
      <c r="K8"/>
    </row>
    <row r="9" spans="1:11" s="39" customFormat="1" ht="15" customHeight="1" outlineLevel="1" x14ac:dyDescent="0.25">
      <c r="A9" s="303"/>
      <c r="B9"/>
      <c r="C9" s="63"/>
      <c r="D9" s="1375" t="s">
        <v>314</v>
      </c>
      <c r="E9" s="1376"/>
      <c r="F9" s="1376"/>
      <c r="G9" s="1376"/>
      <c r="H9" s="1376"/>
      <c r="I9" s="1376"/>
      <c r="J9" s="1377"/>
      <c r="K9"/>
    </row>
    <row r="10" spans="1:11" s="39" customFormat="1" ht="22.5" customHeight="1" outlineLevel="1" thickBot="1" x14ac:dyDescent="0.3">
      <c r="A10" s="303"/>
      <c r="B10" s="78"/>
      <c r="C10" s="319"/>
      <c r="D10" s="405" t="str">
        <f ca="1">dms_y1</f>
        <v>2024-25</v>
      </c>
      <c r="E10" s="1394" t="str">
        <f ca="1">dms_y2</f>
        <v>2025-26</v>
      </c>
      <c r="F10" s="305" t="str">
        <f ca="1">dms_y3</f>
        <v>2026-27</v>
      </c>
      <c r="G10" s="305" t="str">
        <f ca="1">dms_y4</f>
        <v>2027-28</v>
      </c>
      <c r="H10" s="305" t="str">
        <f ca="1">dms_y5</f>
        <v>2028-29</v>
      </c>
      <c r="I10" s="305" t="str">
        <f ca="1">dms_y6</f>
        <v>2029-30</v>
      </c>
      <c r="J10" s="406" t="str">
        <f ca="1">dms_y7</f>
        <v>2030-31</v>
      </c>
      <c r="K10"/>
    </row>
    <row r="11" spans="1:11" s="338" customFormat="1" ht="24.95" customHeight="1" outlineLevel="1" x14ac:dyDescent="0.25">
      <c r="A11" s="390"/>
      <c r="B11" s="391" t="s">
        <v>315</v>
      </c>
      <c r="C11" s="392"/>
      <c r="D11" s="392"/>
      <c r="E11" s="392"/>
      <c r="F11" s="392"/>
      <c r="G11" s="392"/>
      <c r="H11" s="392"/>
      <c r="I11" s="392"/>
      <c r="J11" s="604"/>
      <c r="K11"/>
    </row>
    <row r="12" spans="1:11" s="338" customFormat="1" outlineLevel="2" x14ac:dyDescent="0.25">
      <c r="A12" s="390"/>
      <c r="B12" s="348"/>
      <c r="C12" s="493" t="s">
        <v>316</v>
      </c>
      <c r="D12" s="496">
        <v>21</v>
      </c>
      <c r="E12" s="497">
        <v>0</v>
      </c>
      <c r="F12" s="498">
        <v>0</v>
      </c>
      <c r="G12" s="499">
        <v>0</v>
      </c>
      <c r="H12" s="499">
        <v>0</v>
      </c>
      <c r="I12" s="499">
        <v>0</v>
      </c>
      <c r="J12" s="605">
        <v>0</v>
      </c>
      <c r="K12"/>
    </row>
    <row r="13" spans="1:11" s="338" customFormat="1" outlineLevel="2" x14ac:dyDescent="0.25">
      <c r="A13" s="390"/>
      <c r="B13" s="345"/>
      <c r="C13" s="492" t="s">
        <v>317</v>
      </c>
      <c r="D13" s="490">
        <v>0</v>
      </c>
      <c r="E13" s="449">
        <v>0</v>
      </c>
      <c r="F13" s="448">
        <v>0</v>
      </c>
      <c r="G13" s="450">
        <v>0</v>
      </c>
      <c r="H13" s="450">
        <v>0</v>
      </c>
      <c r="I13" s="450">
        <v>0</v>
      </c>
      <c r="J13" s="606">
        <v>0</v>
      </c>
      <c r="K13"/>
    </row>
    <row r="14" spans="1:11" s="338" customFormat="1" outlineLevel="2" x14ac:dyDescent="0.25">
      <c r="A14" s="390"/>
      <c r="B14" s="345"/>
      <c r="C14" s="492" t="s">
        <v>318</v>
      </c>
      <c r="D14" s="490">
        <v>0</v>
      </c>
      <c r="E14" s="449">
        <v>0</v>
      </c>
      <c r="F14" s="448">
        <v>0</v>
      </c>
      <c r="G14" s="450">
        <v>0</v>
      </c>
      <c r="H14" s="450">
        <v>0</v>
      </c>
      <c r="I14" s="450">
        <v>0</v>
      </c>
      <c r="J14" s="606">
        <v>0</v>
      </c>
      <c r="K14"/>
    </row>
    <row r="15" spans="1:11" s="338" customFormat="1" outlineLevel="2" x14ac:dyDescent="0.25">
      <c r="A15" s="390"/>
      <c r="B15" s="345"/>
      <c r="C15" s="492" t="s">
        <v>319</v>
      </c>
      <c r="D15" s="490">
        <v>0</v>
      </c>
      <c r="E15" s="449">
        <v>0</v>
      </c>
      <c r="F15" s="448">
        <v>0</v>
      </c>
      <c r="G15" s="450">
        <v>0</v>
      </c>
      <c r="H15" s="450">
        <v>0</v>
      </c>
      <c r="I15" s="450">
        <v>0</v>
      </c>
      <c r="J15" s="606">
        <v>0</v>
      </c>
      <c r="K15"/>
    </row>
    <row r="16" spans="1:11" s="338" customFormat="1" outlineLevel="2" x14ac:dyDescent="0.25">
      <c r="A16" s="390"/>
      <c r="B16" s="345"/>
      <c r="C16" s="492" t="s">
        <v>320</v>
      </c>
      <c r="D16" s="490">
        <v>27.5</v>
      </c>
      <c r="E16" s="449">
        <v>23.6</v>
      </c>
      <c r="F16" s="448">
        <v>23.6</v>
      </c>
      <c r="G16" s="450">
        <v>23.6</v>
      </c>
      <c r="H16" s="450">
        <v>23.6</v>
      </c>
      <c r="I16" s="450">
        <v>23.6</v>
      </c>
      <c r="J16" s="606">
        <v>23.6</v>
      </c>
      <c r="K16"/>
    </row>
    <row r="17" spans="1:11" s="338" customFormat="1" outlineLevel="2" x14ac:dyDescent="0.25">
      <c r="A17" s="390"/>
      <c r="B17" s="345"/>
      <c r="C17" s="492" t="s">
        <v>321</v>
      </c>
      <c r="D17" s="490">
        <v>61.1</v>
      </c>
      <c r="E17" s="449">
        <v>0</v>
      </c>
      <c r="F17" s="448">
        <v>0</v>
      </c>
      <c r="G17" s="450">
        <v>0</v>
      </c>
      <c r="H17" s="450">
        <v>0</v>
      </c>
      <c r="I17" s="450">
        <v>0</v>
      </c>
      <c r="J17" s="606">
        <v>0</v>
      </c>
      <c r="K17"/>
    </row>
    <row r="18" spans="1:11" s="338" customFormat="1" outlineLevel="2" x14ac:dyDescent="0.25">
      <c r="A18" s="390"/>
      <c r="B18" s="345"/>
      <c r="C18" s="492" t="s">
        <v>322</v>
      </c>
      <c r="D18" s="490">
        <v>13.3</v>
      </c>
      <c r="E18" s="449">
        <v>0</v>
      </c>
      <c r="F18" s="448">
        <v>0</v>
      </c>
      <c r="G18" s="450">
        <v>0</v>
      </c>
      <c r="H18" s="450">
        <v>0</v>
      </c>
      <c r="I18" s="450">
        <v>0</v>
      </c>
      <c r="J18" s="606">
        <v>0</v>
      </c>
      <c r="K18"/>
    </row>
    <row r="19" spans="1:11" s="338" customFormat="1" outlineLevel="2" x14ac:dyDescent="0.25">
      <c r="A19" s="390"/>
      <c r="B19" s="345"/>
      <c r="C19" s="492" t="s">
        <v>323</v>
      </c>
      <c r="D19" s="490">
        <v>18.3</v>
      </c>
      <c r="E19" s="449">
        <v>0.4</v>
      </c>
      <c r="F19" s="448">
        <v>0.4</v>
      </c>
      <c r="G19" s="450">
        <v>0.4</v>
      </c>
      <c r="H19" s="450">
        <v>0.4</v>
      </c>
      <c r="I19" s="450">
        <v>0.4</v>
      </c>
      <c r="J19" s="606">
        <v>0.4</v>
      </c>
      <c r="K19"/>
    </row>
    <row r="20" spans="1:11" s="338" customFormat="1" outlineLevel="2" x14ac:dyDescent="0.25">
      <c r="A20" s="390"/>
      <c r="B20" s="345"/>
      <c r="C20" s="492" t="s">
        <v>324</v>
      </c>
      <c r="D20" s="490">
        <v>0</v>
      </c>
      <c r="E20" s="449">
        <v>0</v>
      </c>
      <c r="F20" s="448">
        <v>0</v>
      </c>
      <c r="G20" s="450">
        <v>0</v>
      </c>
      <c r="H20" s="450">
        <v>0</v>
      </c>
      <c r="I20" s="450">
        <v>0</v>
      </c>
      <c r="J20" s="606">
        <v>0</v>
      </c>
      <c r="K20"/>
    </row>
    <row r="21" spans="1:11" s="338" customFormat="1" outlineLevel="2" x14ac:dyDescent="0.25">
      <c r="A21" s="390"/>
      <c r="B21" s="345"/>
      <c r="C21" s="492" t="s">
        <v>325</v>
      </c>
      <c r="D21" s="490">
        <v>3.3</v>
      </c>
      <c r="E21" s="449">
        <v>0</v>
      </c>
      <c r="F21" s="448">
        <v>0</v>
      </c>
      <c r="G21" s="450">
        <v>0</v>
      </c>
      <c r="H21" s="450">
        <v>0</v>
      </c>
      <c r="I21" s="450">
        <v>0</v>
      </c>
      <c r="J21" s="606">
        <v>0</v>
      </c>
      <c r="K21"/>
    </row>
    <row r="22" spans="1:11" s="338" customFormat="1" outlineLevel="2" x14ac:dyDescent="0.25">
      <c r="A22" s="390"/>
      <c r="B22" s="345"/>
      <c r="C22" s="492" t="s">
        <v>326</v>
      </c>
      <c r="D22" s="490">
        <v>9.1</v>
      </c>
      <c r="E22" s="449">
        <v>6.4</v>
      </c>
      <c r="F22" s="448">
        <v>6.4</v>
      </c>
      <c r="G22" s="450">
        <v>6.4</v>
      </c>
      <c r="H22" s="450">
        <v>6.4</v>
      </c>
      <c r="I22" s="450">
        <v>6.4</v>
      </c>
      <c r="J22" s="606">
        <v>6.4</v>
      </c>
      <c r="K22"/>
    </row>
    <row r="23" spans="1:11" s="338" customFormat="1" ht="15.75" outlineLevel="2" thickBot="1" x14ac:dyDescent="0.3">
      <c r="A23" s="390"/>
      <c r="B23" s="500"/>
      <c r="C23" s="501" t="s">
        <v>173</v>
      </c>
      <c r="D23" s="491">
        <v>0.1</v>
      </c>
      <c r="E23" s="452">
        <v>0.3</v>
      </c>
      <c r="F23" s="451">
        <v>0.3</v>
      </c>
      <c r="G23" s="453">
        <v>0.3</v>
      </c>
      <c r="H23" s="453">
        <v>0.3</v>
      </c>
      <c r="I23" s="453">
        <v>0.3</v>
      </c>
      <c r="J23" s="607">
        <v>0.3</v>
      </c>
      <c r="K23"/>
    </row>
    <row r="24" spans="1:11" s="338" customFormat="1" ht="24.95" customHeight="1" outlineLevel="1" x14ac:dyDescent="0.25">
      <c r="A24" s="390"/>
      <c r="B24" s="391" t="s">
        <v>327</v>
      </c>
      <c r="C24" s="392"/>
      <c r="D24" s="392"/>
      <c r="E24" s="392"/>
      <c r="F24" s="392"/>
      <c r="G24" s="392"/>
      <c r="H24" s="392"/>
      <c r="I24" s="392"/>
      <c r="J24" s="604"/>
      <c r="K24"/>
    </row>
    <row r="25" spans="1:11" s="338" customFormat="1" outlineLevel="2" x14ac:dyDescent="0.25">
      <c r="A25" s="390"/>
      <c r="B25" s="348"/>
      <c r="C25" s="493" t="s">
        <v>316</v>
      </c>
      <c r="D25" s="498">
        <v>0.5</v>
      </c>
      <c r="E25" s="497">
        <v>0</v>
      </c>
      <c r="F25" s="498">
        <v>0</v>
      </c>
      <c r="G25" s="499">
        <v>0</v>
      </c>
      <c r="H25" s="499">
        <v>0</v>
      </c>
      <c r="I25" s="499">
        <v>0</v>
      </c>
      <c r="J25" s="605">
        <v>0</v>
      </c>
      <c r="K25"/>
    </row>
    <row r="26" spans="1:11" s="338" customFormat="1" outlineLevel="2" x14ac:dyDescent="0.25">
      <c r="A26" s="390"/>
      <c r="B26" s="345"/>
      <c r="C26" s="492" t="s">
        <v>317</v>
      </c>
      <c r="D26" s="448">
        <v>0</v>
      </c>
      <c r="E26" s="449">
        <v>0</v>
      </c>
      <c r="F26" s="448">
        <v>0</v>
      </c>
      <c r="G26" s="450">
        <v>0</v>
      </c>
      <c r="H26" s="450">
        <v>0</v>
      </c>
      <c r="I26" s="450">
        <v>0</v>
      </c>
      <c r="J26" s="606">
        <v>0</v>
      </c>
      <c r="K26"/>
    </row>
    <row r="27" spans="1:11" s="338" customFormat="1" outlineLevel="2" x14ac:dyDescent="0.25">
      <c r="A27" s="390"/>
      <c r="B27" s="345"/>
      <c r="C27" s="492" t="s">
        <v>318</v>
      </c>
      <c r="D27" s="448">
        <v>0</v>
      </c>
      <c r="E27" s="449">
        <v>0</v>
      </c>
      <c r="F27" s="448">
        <v>0</v>
      </c>
      <c r="G27" s="450">
        <v>0</v>
      </c>
      <c r="H27" s="450">
        <v>0</v>
      </c>
      <c r="I27" s="450">
        <v>0</v>
      </c>
      <c r="J27" s="606">
        <v>0</v>
      </c>
      <c r="K27"/>
    </row>
    <row r="28" spans="1:11" s="338" customFormat="1" outlineLevel="2" x14ac:dyDescent="0.25">
      <c r="A28" s="390"/>
      <c r="B28" s="345"/>
      <c r="C28" s="492" t="s">
        <v>319</v>
      </c>
      <c r="D28" s="448">
        <v>0</v>
      </c>
      <c r="E28" s="449">
        <v>0</v>
      </c>
      <c r="F28" s="448">
        <v>0</v>
      </c>
      <c r="G28" s="450">
        <v>0</v>
      </c>
      <c r="H28" s="450">
        <v>0</v>
      </c>
      <c r="I28" s="450">
        <v>0</v>
      </c>
      <c r="J28" s="606">
        <v>0</v>
      </c>
      <c r="K28"/>
    </row>
    <row r="29" spans="1:11" s="338" customFormat="1" outlineLevel="2" x14ac:dyDescent="0.25">
      <c r="A29" s="390"/>
      <c r="B29" s="345"/>
      <c r="C29" s="492" t="s">
        <v>320</v>
      </c>
      <c r="D29" s="448">
        <v>703.7</v>
      </c>
      <c r="E29" s="449">
        <v>704</v>
      </c>
      <c r="F29" s="448">
        <v>704</v>
      </c>
      <c r="G29" s="450">
        <v>704</v>
      </c>
      <c r="H29" s="450">
        <v>704</v>
      </c>
      <c r="I29" s="450">
        <v>704</v>
      </c>
      <c r="J29" s="606">
        <v>704</v>
      </c>
      <c r="K29"/>
    </row>
    <row r="30" spans="1:11" s="338" customFormat="1" outlineLevel="2" x14ac:dyDescent="0.25">
      <c r="A30" s="390"/>
      <c r="B30" s="345"/>
      <c r="C30" s="492" t="s">
        <v>321</v>
      </c>
      <c r="D30" s="448">
        <v>2.2999999999999998</v>
      </c>
      <c r="E30" s="449">
        <v>0</v>
      </c>
      <c r="F30" s="448">
        <v>0</v>
      </c>
      <c r="G30" s="450">
        <v>0</v>
      </c>
      <c r="H30" s="450">
        <v>0</v>
      </c>
      <c r="I30" s="450">
        <v>0</v>
      </c>
      <c r="J30" s="606">
        <v>0</v>
      </c>
      <c r="K30"/>
    </row>
    <row r="31" spans="1:11" s="338" customFormat="1" outlineLevel="2" x14ac:dyDescent="0.25">
      <c r="A31" s="390"/>
      <c r="B31" s="345"/>
      <c r="C31" s="492" t="s">
        <v>322</v>
      </c>
      <c r="D31" s="448">
        <v>550.1</v>
      </c>
      <c r="E31" s="449">
        <v>550</v>
      </c>
      <c r="F31" s="448">
        <v>550</v>
      </c>
      <c r="G31" s="450">
        <v>550</v>
      </c>
      <c r="H31" s="450">
        <v>550</v>
      </c>
      <c r="I31" s="450">
        <v>550</v>
      </c>
      <c r="J31" s="606">
        <v>550</v>
      </c>
      <c r="K31"/>
    </row>
    <row r="32" spans="1:11" s="338" customFormat="1" outlineLevel="2" x14ac:dyDescent="0.25">
      <c r="A32" s="390"/>
      <c r="B32" s="345"/>
      <c r="C32" s="492" t="s">
        <v>323</v>
      </c>
      <c r="D32" s="448">
        <v>1385</v>
      </c>
      <c r="E32" s="449">
        <v>1385</v>
      </c>
      <c r="F32" s="448">
        <v>1385</v>
      </c>
      <c r="G32" s="450">
        <v>1385</v>
      </c>
      <c r="H32" s="450">
        <v>1385</v>
      </c>
      <c r="I32" s="450">
        <v>1385</v>
      </c>
      <c r="J32" s="606">
        <v>1385</v>
      </c>
      <c r="K32"/>
    </row>
    <row r="33" spans="1:11" s="338" customFormat="1" outlineLevel="2" x14ac:dyDescent="0.25">
      <c r="A33" s="390"/>
      <c r="B33" s="345"/>
      <c r="C33" s="492" t="s">
        <v>324</v>
      </c>
      <c r="D33" s="490">
        <v>0</v>
      </c>
      <c r="E33" s="449">
        <v>0</v>
      </c>
      <c r="F33" s="448">
        <v>0</v>
      </c>
      <c r="G33" s="450">
        <v>0</v>
      </c>
      <c r="H33" s="450">
        <v>0</v>
      </c>
      <c r="I33" s="450">
        <v>0</v>
      </c>
      <c r="J33" s="606">
        <v>0</v>
      </c>
      <c r="K33"/>
    </row>
    <row r="34" spans="1:11" s="338" customFormat="1" outlineLevel="2" x14ac:dyDescent="0.25">
      <c r="A34" s="390"/>
      <c r="B34" s="345"/>
      <c r="C34" s="492" t="s">
        <v>325</v>
      </c>
      <c r="D34" s="448">
        <v>3.2</v>
      </c>
      <c r="E34" s="449">
        <v>0</v>
      </c>
      <c r="F34" s="448">
        <v>0</v>
      </c>
      <c r="G34" s="450">
        <v>0</v>
      </c>
      <c r="H34" s="450">
        <v>0</v>
      </c>
      <c r="I34" s="450">
        <v>0</v>
      </c>
      <c r="J34" s="606">
        <v>0</v>
      </c>
      <c r="K34"/>
    </row>
    <row r="35" spans="1:11" s="338" customFormat="1" outlineLevel="2" x14ac:dyDescent="0.25">
      <c r="A35" s="390"/>
      <c r="B35" s="345"/>
      <c r="C35" s="492" t="s">
        <v>326</v>
      </c>
      <c r="D35" s="448">
        <v>481.1</v>
      </c>
      <c r="E35" s="449">
        <v>481</v>
      </c>
      <c r="F35" s="448">
        <v>481</v>
      </c>
      <c r="G35" s="450">
        <v>481</v>
      </c>
      <c r="H35" s="450">
        <v>481</v>
      </c>
      <c r="I35" s="450">
        <v>481</v>
      </c>
      <c r="J35" s="606">
        <v>481</v>
      </c>
      <c r="K35"/>
    </row>
    <row r="36" spans="1:11" s="338" customFormat="1" ht="15.75" outlineLevel="2" thickBot="1" x14ac:dyDescent="0.3">
      <c r="A36" s="390"/>
      <c r="B36" s="500"/>
      <c r="C36" s="501" t="s">
        <v>173</v>
      </c>
      <c r="D36" s="451">
        <v>1</v>
      </c>
      <c r="E36" s="452">
        <v>0</v>
      </c>
      <c r="F36" s="451">
        <v>0</v>
      </c>
      <c r="G36" s="453">
        <v>0</v>
      </c>
      <c r="H36" s="453">
        <v>0</v>
      </c>
      <c r="I36" s="453">
        <v>0</v>
      </c>
      <c r="J36" s="607">
        <v>0</v>
      </c>
      <c r="K36"/>
    </row>
    <row r="37" spans="1:11" s="338" customFormat="1" ht="24.95" customHeight="1" outlineLevel="1" x14ac:dyDescent="0.25">
      <c r="A37" s="390"/>
      <c r="B37" s="391" t="s">
        <v>328</v>
      </c>
      <c r="C37" s="392"/>
      <c r="D37" s="392"/>
      <c r="E37" s="392"/>
      <c r="F37" s="392"/>
      <c r="G37" s="392"/>
      <c r="H37" s="392"/>
      <c r="I37" s="392"/>
      <c r="J37" s="604"/>
      <c r="K37"/>
    </row>
    <row r="38" spans="1:11" s="338" customFormat="1" outlineLevel="2" x14ac:dyDescent="0.25">
      <c r="A38" s="390"/>
      <c r="B38" s="348"/>
      <c r="C38" s="493" t="s">
        <v>316</v>
      </c>
      <c r="D38" s="498">
        <v>0</v>
      </c>
      <c r="E38" s="497">
        <v>0</v>
      </c>
      <c r="F38" s="498">
        <v>0</v>
      </c>
      <c r="G38" s="499">
        <v>0</v>
      </c>
      <c r="H38" s="499">
        <v>0</v>
      </c>
      <c r="I38" s="499">
        <v>0</v>
      </c>
      <c r="J38" s="605">
        <v>0</v>
      </c>
      <c r="K38"/>
    </row>
    <row r="39" spans="1:11" s="338" customFormat="1" outlineLevel="2" x14ac:dyDescent="0.25">
      <c r="A39" s="390"/>
      <c r="B39" s="345"/>
      <c r="C39" s="492" t="s">
        <v>317</v>
      </c>
      <c r="D39" s="448">
        <v>0</v>
      </c>
      <c r="E39" s="449">
        <v>0</v>
      </c>
      <c r="F39" s="448">
        <v>0</v>
      </c>
      <c r="G39" s="450">
        <v>0</v>
      </c>
      <c r="H39" s="450">
        <v>0</v>
      </c>
      <c r="I39" s="450">
        <v>0</v>
      </c>
      <c r="J39" s="606">
        <v>0</v>
      </c>
      <c r="K39"/>
    </row>
    <row r="40" spans="1:11" s="338" customFormat="1" outlineLevel="2" x14ac:dyDescent="0.25">
      <c r="A40" s="390"/>
      <c r="B40" s="345"/>
      <c r="C40" s="492" t="s">
        <v>318</v>
      </c>
      <c r="D40" s="448">
        <v>0</v>
      </c>
      <c r="E40" s="449">
        <v>0</v>
      </c>
      <c r="F40" s="448">
        <v>0</v>
      </c>
      <c r="G40" s="450">
        <v>0</v>
      </c>
      <c r="H40" s="450">
        <v>0</v>
      </c>
      <c r="I40" s="450">
        <v>0</v>
      </c>
      <c r="J40" s="606">
        <v>0</v>
      </c>
      <c r="K40"/>
    </row>
    <row r="41" spans="1:11" s="338" customFormat="1" outlineLevel="2" x14ac:dyDescent="0.25">
      <c r="A41" s="390"/>
      <c r="B41" s="345"/>
      <c r="C41" s="492" t="s">
        <v>319</v>
      </c>
      <c r="D41" s="448">
        <v>0</v>
      </c>
      <c r="E41" s="449">
        <v>0</v>
      </c>
      <c r="F41" s="448">
        <v>0</v>
      </c>
      <c r="G41" s="450">
        <v>0</v>
      </c>
      <c r="H41" s="450">
        <v>0</v>
      </c>
      <c r="I41" s="450">
        <v>0</v>
      </c>
      <c r="J41" s="606">
        <v>0</v>
      </c>
      <c r="K41"/>
    </row>
    <row r="42" spans="1:11" s="338" customFormat="1" outlineLevel="2" x14ac:dyDescent="0.25">
      <c r="A42" s="390"/>
      <c r="B42" s="345"/>
      <c r="C42" s="492" t="s">
        <v>320</v>
      </c>
      <c r="D42" s="448">
        <v>1813</v>
      </c>
      <c r="E42" s="449">
        <v>1983</v>
      </c>
      <c r="F42" s="448">
        <v>2030</v>
      </c>
      <c r="G42" s="450">
        <v>2082</v>
      </c>
      <c r="H42" s="450">
        <v>2128</v>
      </c>
      <c r="I42" s="450">
        <v>2174</v>
      </c>
      <c r="J42" s="606">
        <v>2216</v>
      </c>
      <c r="K42"/>
    </row>
    <row r="43" spans="1:11" s="338" customFormat="1" outlineLevel="2" x14ac:dyDescent="0.25">
      <c r="A43" s="390"/>
      <c r="B43" s="345"/>
      <c r="C43" s="492" t="s">
        <v>321</v>
      </c>
      <c r="D43" s="448">
        <v>0</v>
      </c>
      <c r="E43" s="449">
        <v>0</v>
      </c>
      <c r="F43" s="448">
        <v>0</v>
      </c>
      <c r="G43" s="450">
        <v>0</v>
      </c>
      <c r="H43" s="450">
        <v>0</v>
      </c>
      <c r="I43" s="450">
        <v>0</v>
      </c>
      <c r="J43" s="606">
        <v>0</v>
      </c>
      <c r="K43"/>
    </row>
    <row r="44" spans="1:11" s="338" customFormat="1" outlineLevel="2" x14ac:dyDescent="0.25">
      <c r="A44" s="390"/>
      <c r="B44" s="345"/>
      <c r="C44" s="492" t="s">
        <v>322</v>
      </c>
      <c r="D44" s="448">
        <v>367</v>
      </c>
      <c r="E44" s="449">
        <v>367</v>
      </c>
      <c r="F44" s="448">
        <v>367</v>
      </c>
      <c r="G44" s="450">
        <v>367</v>
      </c>
      <c r="H44" s="450">
        <v>367</v>
      </c>
      <c r="I44" s="450">
        <v>367</v>
      </c>
      <c r="J44" s="606">
        <v>367</v>
      </c>
      <c r="K44"/>
    </row>
    <row r="45" spans="1:11" s="338" customFormat="1" outlineLevel="2" x14ac:dyDescent="0.25">
      <c r="A45" s="390"/>
      <c r="B45" s="345"/>
      <c r="C45" s="492" t="s">
        <v>323</v>
      </c>
      <c r="D45" s="448">
        <v>1930</v>
      </c>
      <c r="E45" s="449">
        <v>1930</v>
      </c>
      <c r="F45" s="448">
        <v>1930</v>
      </c>
      <c r="G45" s="450">
        <v>1930</v>
      </c>
      <c r="H45" s="450">
        <v>1930</v>
      </c>
      <c r="I45" s="450">
        <v>1930</v>
      </c>
      <c r="J45" s="606">
        <v>1930</v>
      </c>
      <c r="K45"/>
    </row>
    <row r="46" spans="1:11" s="338" customFormat="1" outlineLevel="2" x14ac:dyDescent="0.25">
      <c r="A46" s="390"/>
      <c r="B46" s="345"/>
      <c r="C46" s="492" t="s">
        <v>324</v>
      </c>
      <c r="D46" s="490">
        <v>0</v>
      </c>
      <c r="E46" s="449">
        <v>0</v>
      </c>
      <c r="F46" s="448">
        <v>0</v>
      </c>
      <c r="G46" s="450">
        <v>0</v>
      </c>
      <c r="H46" s="450">
        <v>0</v>
      </c>
      <c r="I46" s="450">
        <v>0</v>
      </c>
      <c r="J46" s="606">
        <v>0</v>
      </c>
      <c r="K46"/>
    </row>
    <row r="47" spans="1:11" s="338" customFormat="1" outlineLevel="2" x14ac:dyDescent="0.25">
      <c r="A47" s="390"/>
      <c r="B47" s="345"/>
      <c r="C47" s="492" t="s">
        <v>325</v>
      </c>
      <c r="D47" s="448">
        <v>0</v>
      </c>
      <c r="E47" s="449">
        <v>0</v>
      </c>
      <c r="F47" s="448">
        <v>0</v>
      </c>
      <c r="G47" s="450">
        <v>0</v>
      </c>
      <c r="H47" s="450">
        <v>0</v>
      </c>
      <c r="I47" s="450">
        <v>0</v>
      </c>
      <c r="J47" s="606">
        <v>0</v>
      </c>
      <c r="K47"/>
    </row>
    <row r="48" spans="1:11" s="338" customFormat="1" outlineLevel="2" x14ac:dyDescent="0.25">
      <c r="A48" s="390"/>
      <c r="B48" s="345"/>
      <c r="C48" s="492" t="s">
        <v>326</v>
      </c>
      <c r="D48" s="448">
        <v>1133.5</v>
      </c>
      <c r="E48" s="449">
        <v>1133.5</v>
      </c>
      <c r="F48" s="448">
        <v>1133.5</v>
      </c>
      <c r="G48" s="450">
        <v>1133.5</v>
      </c>
      <c r="H48" s="450">
        <v>1133.5</v>
      </c>
      <c r="I48" s="450">
        <v>1133.5</v>
      </c>
      <c r="J48" s="606">
        <v>1133.5</v>
      </c>
      <c r="K48"/>
    </row>
    <row r="49" spans="1:11" s="338" customFormat="1" ht="15.75" outlineLevel="2" thickBot="1" x14ac:dyDescent="0.3">
      <c r="A49" s="390"/>
      <c r="B49" s="500"/>
      <c r="C49" s="501" t="s">
        <v>173</v>
      </c>
      <c r="D49" s="451">
        <v>0.2</v>
      </c>
      <c r="E49" s="452"/>
      <c r="F49" s="451"/>
      <c r="G49" s="453"/>
      <c r="H49" s="453"/>
      <c r="I49" s="453"/>
      <c r="J49" s="607"/>
      <c r="K49"/>
    </row>
    <row r="50" spans="1:11" s="338" customFormat="1" ht="24.95" customHeight="1" outlineLevel="1" x14ac:dyDescent="0.25">
      <c r="A50" s="390"/>
      <c r="B50" s="391" t="s">
        <v>329</v>
      </c>
      <c r="C50" s="392"/>
      <c r="D50" s="392"/>
      <c r="E50" s="392"/>
      <c r="F50" s="392"/>
      <c r="G50" s="392"/>
      <c r="H50" s="392"/>
      <c r="I50" s="392"/>
      <c r="J50" s="604"/>
      <c r="K50"/>
    </row>
    <row r="51" spans="1:11" s="338" customFormat="1" outlineLevel="2" x14ac:dyDescent="0.25">
      <c r="A51" s="390"/>
      <c r="B51" s="345"/>
      <c r="C51" s="492" t="s">
        <v>326</v>
      </c>
      <c r="D51" s="448">
        <v>209.1</v>
      </c>
      <c r="E51" s="449">
        <v>209</v>
      </c>
      <c r="F51" s="448">
        <v>209</v>
      </c>
      <c r="G51" s="450">
        <v>209</v>
      </c>
      <c r="H51" s="450">
        <v>209</v>
      </c>
      <c r="I51" s="450">
        <v>209</v>
      </c>
      <c r="J51" s="606">
        <v>209</v>
      </c>
      <c r="K51"/>
    </row>
    <row r="52" spans="1:11" s="338" customFormat="1" ht="15.75" outlineLevel="2" thickBot="1" x14ac:dyDescent="0.3">
      <c r="A52" s="390"/>
      <c r="B52" s="345"/>
      <c r="C52" s="492" t="s">
        <v>173</v>
      </c>
      <c r="D52" s="448"/>
      <c r="E52" s="449"/>
      <c r="F52" s="448"/>
      <c r="G52" s="450"/>
      <c r="H52" s="450"/>
      <c r="I52" s="450"/>
      <c r="J52" s="606"/>
      <c r="K52"/>
    </row>
    <row r="53" spans="1:11" s="338" customFormat="1" ht="19.5" customHeight="1" outlineLevel="2" thickBot="1" x14ac:dyDescent="0.3">
      <c r="A53" s="390"/>
      <c r="B53" s="295"/>
      <c r="C53" s="296" t="s">
        <v>120</v>
      </c>
      <c r="D53" s="296">
        <f t="shared" ref="D53:J53" si="0">SUM(D12:D52)</f>
        <v>8733.4000000000015</v>
      </c>
      <c r="E53" s="296">
        <f t="shared" si="0"/>
        <v>8773.2000000000007</v>
      </c>
      <c r="F53" s="296">
        <f t="shared" si="0"/>
        <v>8820.2000000000007</v>
      </c>
      <c r="G53" s="296">
        <f t="shared" si="0"/>
        <v>8872.2000000000007</v>
      </c>
      <c r="H53" s="296">
        <f t="shared" si="0"/>
        <v>8918.2000000000007</v>
      </c>
      <c r="I53" s="296">
        <f t="shared" si="0"/>
        <v>8964.2000000000007</v>
      </c>
      <c r="J53" s="297">
        <f t="shared" si="0"/>
        <v>9006.2000000000007</v>
      </c>
      <c r="K53"/>
    </row>
    <row r="54" spans="1:11" s="389" customFormat="1" outlineLevel="1" x14ac:dyDescent="0.25">
      <c r="A54" s="393"/>
      <c r="B54" s="394"/>
      <c r="C54" s="394"/>
      <c r="D54" s="394"/>
      <c r="E54" s="394"/>
      <c r="F54" s="394"/>
      <c r="G54" s="394"/>
      <c r="H54" s="394"/>
      <c r="I54" s="394"/>
      <c r="J54" s="394"/>
      <c r="K54"/>
    </row>
    <row r="55" spans="1:11" s="389" customFormat="1" x14ac:dyDescent="0.25">
      <c r="A55" s="393"/>
      <c r="B55" s="394"/>
      <c r="C55" s="394"/>
      <c r="D55" s="394"/>
      <c r="E55" s="394"/>
      <c r="F55" s="394"/>
      <c r="G55" s="394"/>
      <c r="H55" s="394"/>
      <c r="I55" s="394"/>
      <c r="J55" s="394"/>
      <c r="K55"/>
    </row>
    <row r="56" spans="1:11" s="389" customFormat="1" ht="15.75" thickBot="1" x14ac:dyDescent="0.3">
      <c r="A56" s="393"/>
      <c r="B56" s="394"/>
      <c r="C56" s="394"/>
      <c r="D56" s="394"/>
      <c r="E56" s="394"/>
      <c r="F56" s="394"/>
      <c r="G56" s="394"/>
      <c r="H56" s="394"/>
      <c r="I56" s="394"/>
      <c r="J56" s="394"/>
      <c r="K56"/>
    </row>
    <row r="57" spans="1:11" ht="24.95" customHeight="1" thickBot="1" x14ac:dyDescent="0.3">
      <c r="A57" s="253"/>
      <c r="B57" s="32" t="s">
        <v>330</v>
      </c>
      <c r="C57" s="32"/>
      <c r="D57" s="32"/>
      <c r="E57" s="32"/>
      <c r="F57" s="32"/>
      <c r="G57" s="32"/>
      <c r="H57" s="32"/>
      <c r="I57" s="32"/>
      <c r="J57" s="32"/>
    </row>
    <row r="58" spans="1:11" s="39" customFormat="1" ht="15" customHeight="1" outlineLevel="2" x14ac:dyDescent="0.25">
      <c r="A58"/>
      <c r="B58" s="304"/>
      <c r="C58" s="373"/>
      <c r="D58" s="1382" t="s">
        <v>159</v>
      </c>
      <c r="E58" s="1383"/>
      <c r="F58" s="1383"/>
      <c r="G58" s="1383"/>
      <c r="H58" s="1383"/>
      <c r="I58" s="1383"/>
      <c r="J58" s="1384"/>
      <c r="K58"/>
    </row>
    <row r="59" spans="1:11" s="39" customFormat="1" ht="16.5" customHeight="1" outlineLevel="2" x14ac:dyDescent="0.25">
      <c r="A59"/>
      <c r="B59"/>
      <c r="C59" s="63"/>
      <c r="D59" s="1375" t="s">
        <v>331</v>
      </c>
      <c r="E59" s="1376"/>
      <c r="F59" s="1376"/>
      <c r="G59" s="1376"/>
      <c r="H59" s="1376"/>
      <c r="I59" s="1376"/>
      <c r="J59" s="1377"/>
      <c r="K59"/>
    </row>
    <row r="60" spans="1:11" s="39" customFormat="1" ht="17.25" customHeight="1" outlineLevel="2" thickBot="1" x14ac:dyDescent="0.3">
      <c r="A60"/>
      <c r="B60" s="78"/>
      <c r="C60" s="319"/>
      <c r="D60" s="405" t="str">
        <f ca="1">dms_y1</f>
        <v>2024-25</v>
      </c>
      <c r="E60" s="1394" t="str">
        <f ca="1">dms_y2</f>
        <v>2025-26</v>
      </c>
      <c r="F60" s="305" t="str">
        <f ca="1">dms_y3</f>
        <v>2026-27</v>
      </c>
      <c r="G60" s="305" t="str">
        <f ca="1">dms_y4</f>
        <v>2027-28</v>
      </c>
      <c r="H60" s="305" t="str">
        <f ca="1">dms_y5</f>
        <v>2028-29</v>
      </c>
      <c r="I60" s="305" t="str">
        <f ca="1">dms_y6</f>
        <v>2029-30</v>
      </c>
      <c r="J60" s="406" t="str">
        <f ca="1">dms_y7</f>
        <v>2030-31</v>
      </c>
      <c r="K60"/>
    </row>
    <row r="61" spans="1:11" s="338" customFormat="1" outlineLevel="2" x14ac:dyDescent="0.25">
      <c r="A61" s="390"/>
      <c r="B61" s="608"/>
      <c r="C61" s="503" t="s">
        <v>332</v>
      </c>
      <c r="D61" s="609">
        <v>1</v>
      </c>
      <c r="E61" s="610">
        <v>2</v>
      </c>
      <c r="F61" s="609">
        <v>2</v>
      </c>
      <c r="G61" s="611">
        <v>2</v>
      </c>
      <c r="H61" s="611">
        <v>2</v>
      </c>
      <c r="I61" s="611">
        <v>2</v>
      </c>
      <c r="J61" s="612">
        <v>2</v>
      </c>
      <c r="K61"/>
    </row>
    <row r="62" spans="1:11" s="338" customFormat="1" outlineLevel="2" x14ac:dyDescent="0.25">
      <c r="A62" s="390"/>
      <c r="B62" s="613"/>
      <c r="C62" s="504" t="s">
        <v>333</v>
      </c>
      <c r="D62" s="448">
        <v>178</v>
      </c>
      <c r="E62" s="449">
        <v>141</v>
      </c>
      <c r="F62" s="448">
        <v>141</v>
      </c>
      <c r="G62" s="450">
        <v>141</v>
      </c>
      <c r="H62" s="450">
        <v>141</v>
      </c>
      <c r="I62" s="450">
        <v>141</v>
      </c>
      <c r="J62" s="606">
        <v>141</v>
      </c>
      <c r="K62"/>
    </row>
    <row r="63" spans="1:11" s="338" customFormat="1" ht="15.75" outlineLevel="2" thickBot="1" x14ac:dyDescent="0.3">
      <c r="A63" s="390"/>
      <c r="B63" s="614"/>
      <c r="C63" s="600" t="s">
        <v>334</v>
      </c>
      <c r="D63" s="601"/>
      <c r="E63" s="602"/>
      <c r="F63" s="601"/>
      <c r="G63" s="603"/>
      <c r="H63" s="603"/>
      <c r="I63" s="603"/>
      <c r="J63" s="615"/>
      <c r="K63"/>
    </row>
    <row r="64" spans="1:11" s="338" customFormat="1" ht="15.75" outlineLevel="2" thickBot="1" x14ac:dyDescent="0.3">
      <c r="A64" s="390"/>
      <c r="B64" s="295"/>
      <c r="C64" s="296" t="s">
        <v>120</v>
      </c>
      <c r="D64" s="296">
        <f>SUM(D61:D63)</f>
        <v>179</v>
      </c>
      <c r="E64" s="296">
        <f>SUM(E61:E63)</f>
        <v>143</v>
      </c>
      <c r="F64" s="296">
        <f>SUM(F61:F63)</f>
        <v>143</v>
      </c>
      <c r="G64" s="296">
        <f t="shared" ref="G64:J64" si="1">SUM(G61:G63)</f>
        <v>143</v>
      </c>
      <c r="H64" s="296">
        <f t="shared" si="1"/>
        <v>143</v>
      </c>
      <c r="I64" s="296">
        <f t="shared" si="1"/>
        <v>143</v>
      </c>
      <c r="J64" s="297">
        <f t="shared" si="1"/>
        <v>143</v>
      </c>
      <c r="K64"/>
    </row>
    <row r="65" spans="1:11" s="338" customFormat="1" ht="18.75" customHeight="1" x14ac:dyDescent="0.25">
      <c r="A65" s="390"/>
      <c r="K65"/>
    </row>
    <row r="66" spans="1:11" s="338" customFormat="1" ht="18.75" customHeight="1" x14ac:dyDescent="0.25">
      <c r="A66" s="390"/>
      <c r="B66"/>
      <c r="K66"/>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theme="9" tint="-0.249977111117893"/>
  </sheetPr>
  <dimension ref="A1:J73"/>
  <sheetViews>
    <sheetView showGridLines="0" zoomScale="106" zoomScaleNormal="106" workbookViewId="0"/>
  </sheetViews>
  <sheetFormatPr defaultColWidth="9.140625" defaultRowHeight="15" x14ac:dyDescent="0.25"/>
  <cols>
    <col min="1" max="1" width="22.7109375" customWidth="1"/>
    <col min="2" max="2" width="61.5703125" customWidth="1"/>
    <col min="3" max="9" width="20.7109375" customWidth="1"/>
    <col min="10" max="10" width="18.7109375" customWidth="1"/>
  </cols>
  <sheetData>
    <row r="1" spans="1:10" ht="30" customHeight="1" x14ac:dyDescent="0.25">
      <c r="A1" s="1112"/>
      <c r="B1" s="1112" t="str">
        <f>INDEX(dms_Worksheet_List,MATCH(dms_Model,dms_Model_List))</f>
        <v>REGULATORY REPORTING STATEMENT</v>
      </c>
      <c r="C1" s="26"/>
      <c r="D1" s="26"/>
      <c r="E1" s="26"/>
      <c r="F1" s="26"/>
      <c r="G1" s="1502" t="s">
        <v>96</v>
      </c>
      <c r="H1" s="1503" t="s">
        <v>97</v>
      </c>
      <c r="I1" s="26"/>
    </row>
    <row r="2" spans="1:10" ht="30" customHeight="1" x14ac:dyDescent="0.25">
      <c r="A2" s="1113"/>
      <c r="B2" s="1113" t="str">
        <f>dms_TradingNameFull</f>
        <v>Australian Gas Networks Limited (reporting data for SA)</v>
      </c>
      <c r="C2" s="26"/>
      <c r="D2" s="26"/>
      <c r="E2" s="26"/>
      <c r="F2" s="26"/>
      <c r="G2" s="1504" t="s">
        <v>98</v>
      </c>
      <c r="H2" s="1505" t="s">
        <v>92</v>
      </c>
      <c r="I2" s="26"/>
    </row>
    <row r="3" spans="1:10" ht="30" customHeight="1" x14ac:dyDescent="0.25">
      <c r="A3" s="1115"/>
      <c r="B3" s="1115" t="str">
        <f ca="1">dms_Header_Span</f>
        <v>2024-25 to 2030-31</v>
      </c>
      <c r="C3" s="26"/>
      <c r="D3" s="26"/>
      <c r="E3" s="26"/>
      <c r="F3" s="26"/>
      <c r="G3" s="1506" t="s">
        <v>99</v>
      </c>
      <c r="H3" s="1507" t="s">
        <v>100</v>
      </c>
      <c r="I3" s="26"/>
    </row>
    <row r="4" spans="1:10" ht="30" customHeight="1" x14ac:dyDescent="0.25">
      <c r="A4" s="621"/>
      <c r="B4" s="621" t="s">
        <v>335</v>
      </c>
      <c r="C4" s="621"/>
      <c r="D4" s="621"/>
      <c r="E4" s="621"/>
      <c r="F4" s="621"/>
      <c r="G4" s="1508" t="s">
        <v>102</v>
      </c>
      <c r="H4" s="1509" t="s">
        <v>103</v>
      </c>
      <c r="I4" s="621"/>
    </row>
    <row r="5" spans="1:10" ht="30" customHeight="1" x14ac:dyDescent="0.25">
      <c r="B5" s="1492" t="s">
        <v>104</v>
      </c>
      <c r="C5" s="1492"/>
      <c r="D5" s="1492"/>
      <c r="E5" s="1492"/>
      <c r="F5" s="1492"/>
      <c r="G5" s="1492"/>
      <c r="H5" s="1492"/>
      <c r="I5" s="1492"/>
    </row>
    <row r="6" spans="1:10" ht="24.75" customHeight="1" thickBot="1" x14ac:dyDescent="0.3"/>
    <row r="7" spans="1:10" s="398" customFormat="1" ht="23.25" customHeight="1" thickBot="1" x14ac:dyDescent="0.3">
      <c r="A7" s="253"/>
      <c r="B7" s="32" t="s">
        <v>336</v>
      </c>
      <c r="C7" s="32"/>
      <c r="D7" s="32"/>
      <c r="E7" s="32"/>
      <c r="F7" s="32"/>
      <c r="G7" s="32"/>
      <c r="H7" s="32"/>
      <c r="I7" s="32"/>
      <c r="J7"/>
    </row>
    <row r="8" spans="1:10" s="398" customFormat="1" ht="19.5" customHeight="1" x14ac:dyDescent="0.25">
      <c r="B8"/>
      <c r="C8" s="1382" t="s">
        <v>337</v>
      </c>
      <c r="D8" s="1383"/>
      <c r="E8" s="1383"/>
      <c r="F8" s="1383"/>
      <c r="G8" s="1383"/>
      <c r="H8" s="1383"/>
      <c r="I8" s="1384"/>
      <c r="J8"/>
    </row>
    <row r="9" spans="1:10" s="398" customFormat="1" ht="19.5" customHeight="1" thickBot="1" x14ac:dyDescent="0.3">
      <c r="B9" s="78"/>
      <c r="C9" s="1426" t="str">
        <f ca="1">dms_y1</f>
        <v>2024-25</v>
      </c>
      <c r="D9" s="1427" t="str">
        <f ca="1">dms_y2</f>
        <v>2025-26</v>
      </c>
      <c r="E9" s="1428" t="str">
        <f ca="1">dms_y3</f>
        <v>2026-27</v>
      </c>
      <c r="F9" s="1428" t="str">
        <f ca="1">dms_y4</f>
        <v>2027-28</v>
      </c>
      <c r="G9" s="1428" t="str">
        <f ca="1">dms_y5</f>
        <v>2028-29</v>
      </c>
      <c r="H9" s="1428" t="str">
        <f ca="1">dms_y6</f>
        <v>2029-30</v>
      </c>
      <c r="I9" s="1429" t="str">
        <f ca="1">dms_y7</f>
        <v>2030-31</v>
      </c>
      <c r="J9"/>
    </row>
    <row r="10" spans="1:10" s="42" customFormat="1" ht="22.5" customHeight="1" thickBot="1" x14ac:dyDescent="0.3">
      <c r="A10" s="291"/>
      <c r="B10" s="250" t="s">
        <v>338</v>
      </c>
      <c r="C10" s="251"/>
      <c r="D10" s="251"/>
      <c r="E10" s="251"/>
      <c r="F10" s="251"/>
      <c r="G10" s="251"/>
      <c r="H10" s="251"/>
      <c r="I10" s="252"/>
      <c r="J10"/>
    </row>
    <row r="11" spans="1:10" x14ac:dyDescent="0.25">
      <c r="B11" s="636" t="s">
        <v>339</v>
      </c>
      <c r="C11" s="1430">
        <v>471738</v>
      </c>
      <c r="D11" s="1501">
        <v>476376.16860000003</v>
      </c>
      <c r="E11" s="1500">
        <v>477082.84492173331</v>
      </c>
      <c r="F11" s="1431">
        <v>477264.37976307533</v>
      </c>
      <c r="G11" s="1431">
        <v>476823.24449628033</v>
      </c>
      <c r="H11" s="1431">
        <v>479878.09854031011</v>
      </c>
      <c r="I11" s="1432">
        <v>482411.15689286345</v>
      </c>
    </row>
    <row r="12" spans="1:10" x14ac:dyDescent="0.25">
      <c r="B12" s="636" t="s">
        <v>340</v>
      </c>
      <c r="C12" s="1433">
        <v>476376.16860000003</v>
      </c>
      <c r="D12" s="1434">
        <v>477082.84492173331</v>
      </c>
      <c r="E12" s="1435">
        <v>477264.37976307533</v>
      </c>
      <c r="F12" s="1434">
        <v>476823.24449628033</v>
      </c>
      <c r="G12" s="1434">
        <v>479878.09854031011</v>
      </c>
      <c r="H12" s="1434">
        <v>482411.15689286345</v>
      </c>
      <c r="I12" s="1432">
        <v>484171.77424944908</v>
      </c>
    </row>
    <row r="13" spans="1:10" x14ac:dyDescent="0.25">
      <c r="B13" s="636" t="s">
        <v>341</v>
      </c>
      <c r="C13" s="1433">
        <v>7138.38</v>
      </c>
      <c r="D13" s="1434">
        <v>6969.6</v>
      </c>
      <c r="E13" s="1435">
        <v>6687.24</v>
      </c>
      <c r="F13" s="1434">
        <v>6733.92</v>
      </c>
      <c r="G13" s="1434">
        <v>6869.44</v>
      </c>
      <c r="H13" s="1434">
        <v>6660.0100000000011</v>
      </c>
      <c r="I13" s="1432">
        <v>6198.8000000000011</v>
      </c>
    </row>
    <row r="14" spans="1:10" ht="15.75" thickBot="1" x14ac:dyDescent="0.3">
      <c r="B14" s="1170" t="s">
        <v>342</v>
      </c>
      <c r="C14" s="1436">
        <v>2500.2113999999997</v>
      </c>
      <c r="D14" s="1437">
        <v>6263.2570116000006</v>
      </c>
      <c r="E14" s="1438">
        <v>6506.0384919912667</v>
      </c>
      <c r="F14" s="1437">
        <v>7175.3886001282954</v>
      </c>
      <c r="G14" s="1437">
        <v>3814.5859559702426</v>
      </c>
      <c r="H14" s="1437">
        <v>4126.9516474466673</v>
      </c>
      <c r="I14" s="1439">
        <v>4438.1826434143441</v>
      </c>
    </row>
    <row r="15" spans="1:10" s="42" customFormat="1" ht="21.75" customHeight="1" thickBot="1" x14ac:dyDescent="0.3">
      <c r="A15" s="291"/>
      <c r="B15" s="250" t="s">
        <v>343</v>
      </c>
      <c r="C15" s="1441"/>
      <c r="D15" s="1441"/>
      <c r="E15" s="1441"/>
      <c r="F15" s="1441"/>
      <c r="G15" s="1441"/>
      <c r="H15" s="1441"/>
      <c r="I15" s="1442"/>
      <c r="J15"/>
    </row>
    <row r="16" spans="1:10" x14ac:dyDescent="0.25">
      <c r="B16" s="636" t="s">
        <v>339</v>
      </c>
      <c r="C16" s="1430">
        <v>11484</v>
      </c>
      <c r="D16" s="1501">
        <v>11501.226000000001</v>
      </c>
      <c r="E16" s="1500">
        <v>11516.177593800001</v>
      </c>
      <c r="F16" s="1431">
        <v>11527.693771393802</v>
      </c>
      <c r="G16" s="1431">
        <v>11532.30484890236</v>
      </c>
      <c r="H16" s="1431">
        <v>11527.6919269628</v>
      </c>
      <c r="I16" s="1432">
        <v>11508.094850686964</v>
      </c>
    </row>
    <row r="17" spans="1:10" x14ac:dyDescent="0.25">
      <c r="B17" s="636" t="s">
        <v>340</v>
      </c>
      <c r="C17" s="1433">
        <v>11501.226000000001</v>
      </c>
      <c r="D17" s="1434">
        <v>11516.177593800001</v>
      </c>
      <c r="E17" s="1435">
        <v>11527.693771393802</v>
      </c>
      <c r="F17" s="1434">
        <v>11532.30484890236</v>
      </c>
      <c r="G17" s="1434">
        <v>11527.6919269628</v>
      </c>
      <c r="H17" s="1434">
        <v>11508.094850686964</v>
      </c>
      <c r="I17" s="1432">
        <v>11485.07866098559</v>
      </c>
    </row>
    <row r="18" spans="1:10" x14ac:dyDescent="0.25">
      <c r="B18" s="636" t="s">
        <v>341</v>
      </c>
      <c r="C18" s="1433">
        <v>166.518</v>
      </c>
      <c r="D18" s="1434">
        <v>164.46753180000002</v>
      </c>
      <c r="E18" s="1435">
        <v>161.22648631320001</v>
      </c>
      <c r="F18" s="1434">
        <v>160.23494342237385</v>
      </c>
      <c r="G18" s="1434">
        <v>156.8393459450721</v>
      </c>
      <c r="H18" s="1434">
        <v>153.31830262860524</v>
      </c>
      <c r="I18" s="1432">
        <v>149.60523305893054</v>
      </c>
    </row>
    <row r="19" spans="1:10" ht="15.75" thickBot="1" x14ac:dyDescent="0.3">
      <c r="B19" s="1170" t="s">
        <v>342</v>
      </c>
      <c r="C19" s="1436">
        <v>149.292</v>
      </c>
      <c r="D19" s="1437">
        <v>149.51593800000001</v>
      </c>
      <c r="E19" s="1438">
        <v>149.71030871940002</v>
      </c>
      <c r="F19" s="1437">
        <v>155.62386591381633</v>
      </c>
      <c r="G19" s="1437">
        <v>161.45226788463305</v>
      </c>
      <c r="H19" s="1437">
        <v>172.91537890444198</v>
      </c>
      <c r="I19" s="1439">
        <v>172.62142276030445</v>
      </c>
    </row>
    <row r="20" spans="1:10" s="42" customFormat="1" ht="22.5" customHeight="1" thickBot="1" x14ac:dyDescent="0.3">
      <c r="A20" s="291"/>
      <c r="B20" s="250" t="s">
        <v>344</v>
      </c>
      <c r="C20" s="1441"/>
      <c r="D20" s="1441"/>
      <c r="E20" s="1441"/>
      <c r="F20" s="1441"/>
      <c r="G20" s="1441"/>
      <c r="H20" s="1441"/>
      <c r="I20" s="1442"/>
      <c r="J20"/>
    </row>
    <row r="21" spans="1:10" x14ac:dyDescent="0.25">
      <c r="B21" s="636" t="s">
        <v>339</v>
      </c>
      <c r="C21" s="1430">
        <v>114</v>
      </c>
      <c r="D21" s="1501">
        <v>113</v>
      </c>
      <c r="E21" s="1500">
        <v>112</v>
      </c>
      <c r="F21" s="1431">
        <v>111</v>
      </c>
      <c r="G21" s="1431">
        <v>110</v>
      </c>
      <c r="H21" s="1431">
        <v>109</v>
      </c>
      <c r="I21" s="1432">
        <v>108</v>
      </c>
    </row>
    <row r="22" spans="1:10" x14ac:dyDescent="0.25">
      <c r="B22" s="636" t="s">
        <v>340</v>
      </c>
      <c r="C22" s="1433">
        <v>113</v>
      </c>
      <c r="D22" s="1434">
        <v>112</v>
      </c>
      <c r="E22" s="1435">
        <v>111</v>
      </c>
      <c r="F22" s="1434">
        <v>110</v>
      </c>
      <c r="G22" s="1434">
        <v>109</v>
      </c>
      <c r="H22" s="1434">
        <v>108</v>
      </c>
      <c r="I22" s="1432">
        <v>107</v>
      </c>
    </row>
    <row r="23" spans="1:10" x14ac:dyDescent="0.25">
      <c r="B23" s="636" t="s">
        <v>341</v>
      </c>
      <c r="C23" s="1433">
        <v>0</v>
      </c>
      <c r="D23" s="1434">
        <v>0</v>
      </c>
      <c r="E23" s="1435">
        <v>0</v>
      </c>
      <c r="F23" s="1434">
        <v>0</v>
      </c>
      <c r="G23" s="1434">
        <v>0</v>
      </c>
      <c r="H23" s="1434">
        <v>0</v>
      </c>
      <c r="I23" s="1432">
        <v>0</v>
      </c>
    </row>
    <row r="24" spans="1:10" ht="15.75" thickBot="1" x14ac:dyDescent="0.3">
      <c r="B24" s="1170" t="s">
        <v>342</v>
      </c>
      <c r="C24" s="1436">
        <v>1</v>
      </c>
      <c r="D24" s="1437">
        <v>1</v>
      </c>
      <c r="E24" s="1438">
        <v>1</v>
      </c>
      <c r="F24" s="1437">
        <v>1</v>
      </c>
      <c r="G24" s="1437">
        <v>1</v>
      </c>
      <c r="H24" s="1437">
        <v>1</v>
      </c>
      <c r="I24" s="1439">
        <v>1</v>
      </c>
    </row>
    <row r="25" spans="1:10" x14ac:dyDescent="0.25">
      <c r="C25" s="1440"/>
      <c r="D25" s="1440"/>
      <c r="E25" s="1440"/>
      <c r="F25" s="1440"/>
      <c r="G25" s="1440"/>
      <c r="H25" s="1440"/>
      <c r="I25" s="1440"/>
    </row>
    <row r="26" spans="1:10" x14ac:dyDescent="0.25">
      <c r="C26" s="1440"/>
      <c r="D26" s="1440"/>
      <c r="E26" s="1440"/>
      <c r="F26" s="1440"/>
      <c r="G26" s="1440"/>
      <c r="H26" s="1440"/>
      <c r="I26" s="1440"/>
    </row>
    <row r="27" spans="1:10" ht="15.75" thickBot="1" x14ac:dyDescent="0.3">
      <c r="C27" s="1440"/>
      <c r="D27" s="1440"/>
      <c r="E27" s="1440"/>
      <c r="F27" s="1440"/>
      <c r="G27" s="1440"/>
      <c r="H27" s="1440"/>
      <c r="I27" s="1440"/>
    </row>
    <row r="28" spans="1:10" s="398" customFormat="1" ht="23.25" customHeight="1" thickBot="1" x14ac:dyDescent="0.3">
      <c r="A28" s="253"/>
      <c r="B28" s="32" t="s">
        <v>345</v>
      </c>
      <c r="C28" s="1443"/>
      <c r="D28" s="1443"/>
      <c r="E28" s="1443"/>
      <c r="F28" s="1443"/>
      <c r="G28" s="1443"/>
      <c r="H28" s="1443"/>
      <c r="I28" s="1443"/>
      <c r="J28"/>
    </row>
    <row r="29" spans="1:10" s="398" customFormat="1" ht="19.5" customHeight="1" x14ac:dyDescent="0.25">
      <c r="B29"/>
      <c r="C29" s="1382" t="s">
        <v>337</v>
      </c>
      <c r="D29" s="1383"/>
      <c r="E29" s="1383"/>
      <c r="F29" s="1383"/>
      <c r="G29" s="1383"/>
      <c r="H29" s="1383"/>
      <c r="I29" s="1384"/>
      <c r="J29"/>
    </row>
    <row r="30" spans="1:10" s="398" customFormat="1" ht="19.5" customHeight="1" thickBot="1" x14ac:dyDescent="0.3">
      <c r="B30" s="78"/>
      <c r="C30" s="1426" t="str">
        <f ca="1">dms_y1</f>
        <v>2024-25</v>
      </c>
      <c r="D30" s="1427" t="str">
        <f ca="1">dms_y2</f>
        <v>2025-26</v>
      </c>
      <c r="E30" s="1428" t="str">
        <f ca="1">dms_y3</f>
        <v>2026-27</v>
      </c>
      <c r="F30" s="1428" t="str">
        <f ca="1">dms_y4</f>
        <v>2027-28</v>
      </c>
      <c r="G30" s="1428" t="str">
        <f ca="1">dms_y5</f>
        <v>2028-29</v>
      </c>
      <c r="H30" s="1428" t="str">
        <f ca="1">dms_y6</f>
        <v>2029-30</v>
      </c>
      <c r="I30" s="1429" t="str">
        <f ca="1">dms_y7</f>
        <v>2030-31</v>
      </c>
      <c r="J30"/>
    </row>
    <row r="31" spans="1:10" s="42" customFormat="1" ht="22.5" customHeight="1" thickBot="1" x14ac:dyDescent="0.3">
      <c r="A31" s="291"/>
      <c r="B31" s="250" t="s">
        <v>338</v>
      </c>
      <c r="C31" s="1441"/>
      <c r="D31" s="1441"/>
      <c r="E31" s="1441"/>
      <c r="F31" s="1441"/>
      <c r="G31" s="1441"/>
      <c r="H31" s="1441"/>
      <c r="I31" s="1442"/>
      <c r="J31"/>
    </row>
    <row r="32" spans="1:10" x14ac:dyDescent="0.25">
      <c r="B32" s="636" t="s">
        <v>346</v>
      </c>
      <c r="C32" s="1430">
        <v>1597.288771942797</v>
      </c>
      <c r="D32" s="1501">
        <v>1826.030323658013</v>
      </c>
      <c r="E32" s="1500">
        <v>1981.1340611518185</v>
      </c>
      <c r="F32" s="1431">
        <v>2408.7560663254503</v>
      </c>
      <c r="G32" s="1431">
        <v>2436.9920547846273</v>
      </c>
      <c r="H32" s="1431">
        <v>2636.5504648196511</v>
      </c>
      <c r="I32" s="1432">
        <v>2835.3839615950615</v>
      </c>
    </row>
    <row r="33" spans="1:10" x14ac:dyDescent="0.25">
      <c r="B33" s="636" t="s">
        <v>347</v>
      </c>
      <c r="C33" s="1433">
        <v>61.671483013046064</v>
      </c>
      <c r="D33" s="1434">
        <v>70.503217743031342</v>
      </c>
      <c r="E33" s="1435">
        <v>76.491788926984881</v>
      </c>
      <c r="F33" s="1434">
        <v>93.002318326120232</v>
      </c>
      <c r="G33" s="1434">
        <v>94.092512731292615</v>
      </c>
      <c r="H33" s="1434">
        <v>101.79748337327381</v>
      </c>
      <c r="I33" s="1432">
        <v>109.47446504008566</v>
      </c>
    </row>
    <row r="34" spans="1:10" x14ac:dyDescent="0.25">
      <c r="B34" s="1449" t="s">
        <v>348</v>
      </c>
      <c r="C34" s="1450">
        <v>0</v>
      </c>
      <c r="D34" s="1451">
        <v>0</v>
      </c>
      <c r="E34" s="1452">
        <v>0</v>
      </c>
      <c r="F34" s="1451">
        <v>0</v>
      </c>
      <c r="G34" s="1451">
        <v>0</v>
      </c>
      <c r="H34" s="1451">
        <v>0</v>
      </c>
      <c r="I34" s="1453">
        <v>0</v>
      </c>
    </row>
    <row r="35" spans="1:10" ht="15.75" thickBot="1" x14ac:dyDescent="0.3">
      <c r="B35" s="1170" t="s">
        <v>349</v>
      </c>
      <c r="C35" s="1436">
        <v>841.25114504415649</v>
      </c>
      <c r="D35" s="1437">
        <v>961.72347019895574</v>
      </c>
      <c r="E35" s="1438">
        <v>1043.4126419124627</v>
      </c>
      <c r="F35" s="1437">
        <v>1268.6302154767245</v>
      </c>
      <c r="G35" s="1437">
        <v>1283.5013884543225</v>
      </c>
      <c r="H35" s="1437">
        <v>1388.603699253742</v>
      </c>
      <c r="I35" s="1439">
        <v>1493.3242167791966</v>
      </c>
    </row>
    <row r="36" spans="1:10" s="42" customFormat="1" ht="21.75" customHeight="1" thickBot="1" x14ac:dyDescent="0.3">
      <c r="A36" s="291"/>
      <c r="B36" s="250" t="s">
        <v>343</v>
      </c>
      <c r="C36" s="1441"/>
      <c r="D36" s="1441"/>
      <c r="E36" s="1441"/>
      <c r="F36" s="1441"/>
      <c r="G36" s="1441"/>
      <c r="H36" s="1441"/>
      <c r="I36" s="1442"/>
      <c r="J36"/>
    </row>
    <row r="37" spans="1:10" x14ac:dyDescent="0.25">
      <c r="B37" s="636" t="s">
        <v>346</v>
      </c>
      <c r="C37" s="1430">
        <v>57.023729411922339</v>
      </c>
      <c r="D37" s="1501">
        <v>57.109265006040225</v>
      </c>
      <c r="E37" s="1500">
        <v>57.18350705054808</v>
      </c>
      <c r="F37" s="1431">
        <v>59.44225557904474</v>
      </c>
      <c r="G37" s="1431">
        <v>61.668478128731039</v>
      </c>
      <c r="H37" s="1431">
        <v>66.046940075870936</v>
      </c>
      <c r="I37" s="1432">
        <v>65.934660277741969</v>
      </c>
    </row>
    <row r="38" spans="1:10" x14ac:dyDescent="0.25">
      <c r="B38" s="636" t="s">
        <v>347</v>
      </c>
      <c r="C38" s="1433">
        <v>37.567273857043993</v>
      </c>
      <c r="D38" s="1434">
        <v>37.623624767829561</v>
      </c>
      <c r="E38" s="1435">
        <v>37.67253548002774</v>
      </c>
      <c r="F38" s="1434">
        <v>39.16060063148884</v>
      </c>
      <c r="G38" s="1434">
        <v>40.627237644768897</v>
      </c>
      <c r="H38" s="1434">
        <v>43.511771517547487</v>
      </c>
      <c r="I38" s="1432">
        <v>43.437801505967663</v>
      </c>
    </row>
    <row r="39" spans="1:10" x14ac:dyDescent="0.25">
      <c r="B39" s="1449" t="s">
        <v>348</v>
      </c>
      <c r="C39" s="1450">
        <v>0</v>
      </c>
      <c r="D39" s="1451">
        <v>0</v>
      </c>
      <c r="E39" s="1452">
        <v>0</v>
      </c>
      <c r="F39" s="1451">
        <v>0</v>
      </c>
      <c r="G39" s="1451">
        <v>0</v>
      </c>
      <c r="H39" s="1451">
        <v>0</v>
      </c>
      <c r="I39" s="1453">
        <v>0</v>
      </c>
    </row>
    <row r="40" spans="1:10" ht="15.75" thickBot="1" x14ac:dyDescent="0.3">
      <c r="B40" s="1170" t="s">
        <v>349</v>
      </c>
      <c r="C40" s="1436">
        <v>54.700996731033648</v>
      </c>
      <c r="D40" s="1437">
        <v>54.783048226130198</v>
      </c>
      <c r="E40" s="1438">
        <v>54.854266188824177</v>
      </c>
      <c r="F40" s="1437">
        <v>57.021009703282736</v>
      </c>
      <c r="G40" s="1437">
        <v>59.156552111133088</v>
      </c>
      <c r="H40" s="1437">
        <v>63.356667311023536</v>
      </c>
      <c r="I40" s="1439">
        <v>63.248960976594802</v>
      </c>
    </row>
    <row r="41" spans="1:10" s="42" customFormat="1" ht="22.5" customHeight="1" thickBot="1" x14ac:dyDescent="0.3">
      <c r="A41" s="291"/>
      <c r="B41" s="250" t="s">
        <v>344</v>
      </c>
      <c r="C41" s="1441"/>
      <c r="D41" s="1441"/>
      <c r="E41" s="1441"/>
      <c r="F41" s="1441"/>
      <c r="G41" s="1441"/>
      <c r="H41" s="1441"/>
      <c r="I41" s="1442"/>
      <c r="J41"/>
    </row>
    <row r="42" spans="1:10" x14ac:dyDescent="0.25">
      <c r="B42" s="636" t="s">
        <v>346</v>
      </c>
      <c r="C42" s="1430">
        <v>0</v>
      </c>
      <c r="D42" s="1501">
        <v>0</v>
      </c>
      <c r="E42" s="1500">
        <v>0</v>
      </c>
      <c r="F42" s="1431">
        <v>0</v>
      </c>
      <c r="G42" s="1431">
        <v>0</v>
      </c>
      <c r="H42" s="1431">
        <v>0</v>
      </c>
      <c r="I42" s="1432">
        <v>0</v>
      </c>
    </row>
    <row r="43" spans="1:10" x14ac:dyDescent="0.25">
      <c r="B43" s="636" t="s">
        <v>347</v>
      </c>
      <c r="C43" s="1433">
        <v>1</v>
      </c>
      <c r="D43" s="1434">
        <v>1</v>
      </c>
      <c r="E43" s="1435">
        <v>1</v>
      </c>
      <c r="F43" s="1434">
        <v>1</v>
      </c>
      <c r="G43" s="1434">
        <v>1</v>
      </c>
      <c r="H43" s="1434">
        <v>1</v>
      </c>
      <c r="I43" s="1432">
        <v>1</v>
      </c>
    </row>
    <row r="44" spans="1:10" x14ac:dyDescent="0.25">
      <c r="B44" s="1449" t="s">
        <v>348</v>
      </c>
      <c r="C44" s="1450">
        <v>0</v>
      </c>
      <c r="D44" s="1451">
        <v>0</v>
      </c>
      <c r="E44" s="1452">
        <v>0</v>
      </c>
      <c r="F44" s="1451">
        <v>0</v>
      </c>
      <c r="G44" s="1451">
        <v>0</v>
      </c>
      <c r="H44" s="1451">
        <v>0</v>
      </c>
      <c r="I44" s="1453">
        <v>0</v>
      </c>
    </row>
    <row r="45" spans="1:10" ht="15.75" thickBot="1" x14ac:dyDescent="0.3">
      <c r="B45" s="1170" t="s">
        <v>349</v>
      </c>
      <c r="C45" s="1436">
        <v>0</v>
      </c>
      <c r="D45" s="1437">
        <v>0</v>
      </c>
      <c r="E45" s="1438">
        <v>0</v>
      </c>
      <c r="F45" s="1437">
        <v>0</v>
      </c>
      <c r="G45" s="1437">
        <v>0</v>
      </c>
      <c r="H45" s="1437">
        <v>0</v>
      </c>
      <c r="I45" s="1439">
        <v>0</v>
      </c>
    </row>
    <row r="47" spans="1:10" ht="15.75" thickBot="1" x14ac:dyDescent="0.3"/>
    <row r="48" spans="1:10" ht="16.5" thickBot="1" x14ac:dyDescent="0.3">
      <c r="B48" s="32" t="s">
        <v>350</v>
      </c>
      <c r="C48" s="1443"/>
      <c r="D48" s="1443"/>
      <c r="E48" s="1443"/>
      <c r="F48" s="1443"/>
      <c r="G48" s="1443"/>
      <c r="H48" s="1443"/>
      <c r="I48" s="1443"/>
    </row>
    <row r="49" spans="1:9" x14ac:dyDescent="0.25">
      <c r="C49" s="1382" t="s">
        <v>351</v>
      </c>
      <c r="D49" s="1383"/>
      <c r="E49" s="1383"/>
      <c r="F49" s="1383"/>
      <c r="G49" s="1383"/>
      <c r="H49" s="1383"/>
      <c r="I49" s="1384"/>
    </row>
    <row r="50" spans="1:9" ht="15.75" thickBot="1" x14ac:dyDescent="0.3">
      <c r="A50" s="1499"/>
      <c r="B50" s="78"/>
      <c r="C50" s="1426" t="str">
        <f ca="1">dms_y1</f>
        <v>2024-25</v>
      </c>
      <c r="D50" s="1427" t="str">
        <f ca="1">dms_y2</f>
        <v>2025-26</v>
      </c>
      <c r="E50" s="1428" t="str">
        <f ca="1">dms_y3</f>
        <v>2026-27</v>
      </c>
      <c r="F50" s="1428" t="str">
        <f ca="1">dms_y4</f>
        <v>2027-28</v>
      </c>
      <c r="G50" s="1428" t="str">
        <f ca="1">dms_y5</f>
        <v>2028-29</v>
      </c>
      <c r="H50" s="1428" t="str">
        <f ca="1">dms_y6</f>
        <v>2029-30</v>
      </c>
      <c r="I50" s="1429" t="str">
        <f ca="1">dms_y7</f>
        <v>2030-31</v>
      </c>
    </row>
    <row r="51" spans="1:9" ht="15.75" thickBot="1" x14ac:dyDescent="0.3">
      <c r="A51" s="1499"/>
      <c r="B51" s="250" t="s">
        <v>338</v>
      </c>
      <c r="C51" s="1441"/>
      <c r="D51" s="1441"/>
      <c r="E51" s="1441"/>
      <c r="F51" s="1441"/>
      <c r="G51" s="1441"/>
      <c r="H51" s="1441"/>
      <c r="I51" s="1442"/>
    </row>
    <row r="52" spans="1:9" x14ac:dyDescent="0.25">
      <c r="B52" s="636" t="s">
        <v>352</v>
      </c>
      <c r="C52" s="1430">
        <v>5867.4214897406764</v>
      </c>
      <c r="D52" s="1501">
        <v>5728.6920582676485</v>
      </c>
      <c r="E52" s="1500">
        <v>5496.6050676839059</v>
      </c>
      <c r="F52" s="1431">
        <v>5534.9738901816008</v>
      </c>
      <c r="G52" s="1431">
        <v>5646.3651246479158</v>
      </c>
      <c r="H52" s="1431">
        <v>5474.223254560251</v>
      </c>
      <c r="I52" s="1432">
        <v>5095.1297536141965</v>
      </c>
    </row>
    <row r="53" spans="1:9" ht="15.75" thickBot="1" x14ac:dyDescent="0.3">
      <c r="B53" s="636" t="s">
        <v>353</v>
      </c>
      <c r="C53" s="1433">
        <v>1270.9585102593239</v>
      </c>
      <c r="D53" s="1434">
        <v>1240.9079417323517</v>
      </c>
      <c r="E53" s="1435">
        <v>1190.6349323160941</v>
      </c>
      <c r="F53" s="1434">
        <v>1198.9461098183995</v>
      </c>
      <c r="G53" s="1434">
        <v>1223.0748753520841</v>
      </c>
      <c r="H53" s="1434">
        <v>1185.7867454397497</v>
      </c>
      <c r="I53" s="1432">
        <v>1103.6702463858044</v>
      </c>
    </row>
    <row r="54" spans="1:9" ht="15.75" thickBot="1" x14ac:dyDescent="0.3">
      <c r="B54" s="250" t="s">
        <v>343</v>
      </c>
      <c r="C54" s="1441"/>
      <c r="D54" s="1441"/>
      <c r="E54" s="1441"/>
      <c r="F54" s="1441"/>
      <c r="G54" s="1441"/>
      <c r="H54" s="1441"/>
      <c r="I54" s="1442"/>
    </row>
    <row r="55" spans="1:9" x14ac:dyDescent="0.25">
      <c r="B55" s="636" t="s">
        <v>352</v>
      </c>
      <c r="C55" s="1430">
        <v>137.33841953306489</v>
      </c>
      <c r="D55" s="1501">
        <v>135.64726264978017</v>
      </c>
      <c r="E55" s="1500">
        <v>132.97415785154882</v>
      </c>
      <c r="F55" s="1431">
        <v>132.15636678076183</v>
      </c>
      <c r="G55" s="1431">
        <v>129.35579272328403</v>
      </c>
      <c r="H55" s="1431">
        <v>126.45175517664632</v>
      </c>
      <c r="I55" s="1432">
        <v>123.38934086518785</v>
      </c>
    </row>
    <row r="56" spans="1:9" ht="15.75" thickBot="1" x14ac:dyDescent="0.3">
      <c r="B56" s="636" t="s">
        <v>353</v>
      </c>
      <c r="C56" s="1433">
        <v>29.179580466935128</v>
      </c>
      <c r="D56" s="1434">
        <v>28.820269150219872</v>
      </c>
      <c r="E56" s="1435">
        <v>28.252328461651199</v>
      </c>
      <c r="F56" s="1434">
        <v>28.078576641612049</v>
      </c>
      <c r="G56" s="1434">
        <v>27.483553221788075</v>
      </c>
      <c r="H56" s="1434">
        <v>26.866547451958937</v>
      </c>
      <c r="I56" s="1432">
        <v>26.2158921937427</v>
      </c>
    </row>
    <row r="57" spans="1:9" ht="15.75" thickBot="1" x14ac:dyDescent="0.3">
      <c r="B57" s="250" t="s">
        <v>344</v>
      </c>
      <c r="C57" s="1441"/>
      <c r="D57" s="1441"/>
      <c r="E57" s="1441"/>
      <c r="F57" s="1441"/>
      <c r="G57" s="1441"/>
      <c r="H57" s="1441"/>
      <c r="I57" s="1442"/>
    </row>
    <row r="58" spans="1:9" x14ac:dyDescent="0.25">
      <c r="B58" s="636" t="s">
        <v>352</v>
      </c>
      <c r="C58" s="1430">
        <v>0</v>
      </c>
      <c r="D58" s="1501">
        <v>0</v>
      </c>
      <c r="E58" s="1500">
        <v>0</v>
      </c>
      <c r="F58" s="1431">
        <v>0</v>
      </c>
      <c r="G58" s="1431">
        <v>0</v>
      </c>
      <c r="H58" s="1431">
        <v>0</v>
      </c>
      <c r="I58" s="1432">
        <v>0</v>
      </c>
    </row>
    <row r="59" spans="1:9" ht="15.75" thickBot="1" x14ac:dyDescent="0.3">
      <c r="B59" s="1170" t="s">
        <v>353</v>
      </c>
      <c r="C59" s="1436">
        <v>0</v>
      </c>
      <c r="D59" s="1437">
        <v>0</v>
      </c>
      <c r="E59" s="1438">
        <v>0</v>
      </c>
      <c r="F59" s="1437">
        <v>0</v>
      </c>
      <c r="G59" s="1437">
        <v>0</v>
      </c>
      <c r="H59" s="1437">
        <v>0</v>
      </c>
      <c r="I59" s="1439">
        <v>0</v>
      </c>
    </row>
    <row r="61" spans="1:9" ht="15.75" thickBot="1" x14ac:dyDescent="0.3"/>
    <row r="62" spans="1:9" ht="16.5" thickBot="1" x14ac:dyDescent="0.3">
      <c r="B62" s="32" t="s">
        <v>354</v>
      </c>
      <c r="C62" s="1443"/>
      <c r="D62" s="1443"/>
      <c r="E62" s="1443"/>
      <c r="F62" s="1443"/>
      <c r="G62" s="1443"/>
      <c r="H62" s="1443"/>
      <c r="I62" s="1443"/>
    </row>
    <row r="63" spans="1:9" x14ac:dyDescent="0.25">
      <c r="C63" s="1382" t="s">
        <v>355</v>
      </c>
      <c r="D63" s="1383"/>
      <c r="E63" s="1383"/>
      <c r="F63" s="1383"/>
      <c r="G63" s="1383"/>
      <c r="H63" s="1383"/>
      <c r="I63" s="1384"/>
    </row>
    <row r="64" spans="1:9" ht="15.75" thickBot="1" x14ac:dyDescent="0.3">
      <c r="B64" s="78"/>
      <c r="C64" s="1426" t="str">
        <f ca="1">dms_y1</f>
        <v>2024-25</v>
      </c>
      <c r="D64" s="1427" t="str">
        <f ca="1">dms_y2</f>
        <v>2025-26</v>
      </c>
      <c r="E64" s="1428" t="str">
        <f ca="1">dms_y3</f>
        <v>2026-27</v>
      </c>
      <c r="F64" s="1428" t="str">
        <f ca="1">dms_y4</f>
        <v>2027-28</v>
      </c>
      <c r="G64" s="1428" t="str">
        <f ca="1">dms_y5</f>
        <v>2028-29</v>
      </c>
      <c r="H64" s="1428" t="str">
        <f ca="1">dms_y6</f>
        <v>2029-30</v>
      </c>
      <c r="I64" s="1429" t="str">
        <f ca="1">dms_y7</f>
        <v>2030-31</v>
      </c>
    </row>
    <row r="65" spans="2:9" ht="15.75" thickBot="1" x14ac:dyDescent="0.3">
      <c r="B65" s="250" t="s">
        <v>338</v>
      </c>
      <c r="C65" s="1441"/>
      <c r="D65" s="1441"/>
      <c r="E65" s="1441"/>
      <c r="F65" s="1441"/>
      <c r="G65" s="1441"/>
      <c r="H65" s="1441"/>
      <c r="I65" s="1442"/>
    </row>
    <row r="66" spans="2:9" x14ac:dyDescent="0.25">
      <c r="B66" s="636" t="s">
        <v>356</v>
      </c>
      <c r="C66" s="1430">
        <v>3596</v>
      </c>
      <c r="D66" s="1501">
        <v>3596</v>
      </c>
      <c r="E66" s="1500">
        <v>3596</v>
      </c>
      <c r="F66" s="1431">
        <v>3596</v>
      </c>
      <c r="G66" s="1431">
        <v>3596</v>
      </c>
      <c r="H66" s="1431">
        <v>3596</v>
      </c>
      <c r="I66" s="1432">
        <v>3596</v>
      </c>
    </row>
    <row r="67" spans="2:9" ht="15.75" thickBot="1" x14ac:dyDescent="0.3">
      <c r="B67" s="636" t="s">
        <v>357</v>
      </c>
      <c r="C67" s="1433">
        <v>9953</v>
      </c>
      <c r="D67" s="1434">
        <v>9953</v>
      </c>
      <c r="E67" s="1435">
        <v>9953</v>
      </c>
      <c r="F67" s="1434">
        <v>9953</v>
      </c>
      <c r="G67" s="1434">
        <v>9953</v>
      </c>
      <c r="H67" s="1434">
        <v>9953</v>
      </c>
      <c r="I67" s="1432">
        <v>9953</v>
      </c>
    </row>
    <row r="68" spans="2:9" ht="15.75" thickBot="1" x14ac:dyDescent="0.3">
      <c r="B68" s="250" t="s">
        <v>343</v>
      </c>
      <c r="C68" s="1441"/>
      <c r="D68" s="1441"/>
      <c r="E68" s="1441"/>
      <c r="F68" s="1441"/>
      <c r="G68" s="1441"/>
      <c r="H68" s="1441"/>
      <c r="I68" s="1442"/>
    </row>
    <row r="69" spans="2:9" x14ac:dyDescent="0.25">
      <c r="B69" s="636" t="s">
        <v>356</v>
      </c>
      <c r="C69" s="1430">
        <v>262</v>
      </c>
      <c r="D69" s="1501">
        <v>262</v>
      </c>
      <c r="E69" s="1500">
        <v>262</v>
      </c>
      <c r="F69" s="1431">
        <v>262</v>
      </c>
      <c r="G69" s="1431">
        <v>262</v>
      </c>
      <c r="H69" s="1431">
        <v>262</v>
      </c>
      <c r="I69" s="1432">
        <v>262</v>
      </c>
    </row>
    <row r="70" spans="2:9" ht="15.75" thickBot="1" x14ac:dyDescent="0.3">
      <c r="B70" s="636" t="s">
        <v>357</v>
      </c>
      <c r="C70" s="1433">
        <v>2342.5</v>
      </c>
      <c r="D70" s="1434">
        <v>2342.5</v>
      </c>
      <c r="E70" s="1435">
        <v>2342.5</v>
      </c>
      <c r="F70" s="1434">
        <v>2342.5</v>
      </c>
      <c r="G70" s="1434">
        <v>2342.5</v>
      </c>
      <c r="H70" s="1434">
        <v>2342.5</v>
      </c>
      <c r="I70" s="1432">
        <v>2342.5</v>
      </c>
    </row>
    <row r="71" spans="2:9" ht="15.75" thickBot="1" x14ac:dyDescent="0.3">
      <c r="B71" s="250" t="s">
        <v>344</v>
      </c>
      <c r="C71" s="1441"/>
      <c r="D71" s="1441"/>
      <c r="E71" s="1441"/>
      <c r="F71" s="1441"/>
      <c r="G71" s="1441"/>
      <c r="H71" s="1441"/>
      <c r="I71" s="1442"/>
    </row>
    <row r="72" spans="2:9" x14ac:dyDescent="0.25">
      <c r="B72" s="636" t="s">
        <v>356</v>
      </c>
      <c r="C72" s="1430">
        <v>0</v>
      </c>
      <c r="D72" s="1501">
        <v>0</v>
      </c>
      <c r="E72" s="1500">
        <v>0</v>
      </c>
      <c r="F72" s="1431">
        <v>0</v>
      </c>
      <c r="G72" s="1431">
        <v>0</v>
      </c>
      <c r="H72" s="1431">
        <v>0</v>
      </c>
      <c r="I72" s="1432">
        <v>0</v>
      </c>
    </row>
    <row r="73" spans="2:9" ht="15.75" thickBot="1" x14ac:dyDescent="0.3">
      <c r="B73" s="1170" t="s">
        <v>357</v>
      </c>
      <c r="C73" s="1436">
        <v>0</v>
      </c>
      <c r="D73" s="1437">
        <v>0</v>
      </c>
      <c r="E73" s="1438">
        <v>0</v>
      </c>
      <c r="F73" s="1437">
        <v>0</v>
      </c>
      <c r="G73" s="1437">
        <v>0</v>
      </c>
      <c r="H73" s="1437">
        <v>0</v>
      </c>
      <c r="I73" s="1439">
        <v>0</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9" tint="-0.249977111117893"/>
  </sheetPr>
  <dimension ref="A1:DP329"/>
  <sheetViews>
    <sheetView showGridLines="0" zoomScale="70" zoomScaleNormal="70" workbookViewId="0"/>
  </sheetViews>
  <sheetFormatPr defaultColWidth="9.140625" defaultRowHeight="15" outlineLevelRow="1" x14ac:dyDescent="0.25"/>
  <cols>
    <col min="1" max="1" width="22.7109375" customWidth="1"/>
    <col min="2" max="2" width="93" customWidth="1"/>
    <col min="3" max="9" width="20.7109375" customWidth="1"/>
    <col min="10" max="10" width="18.7109375" customWidth="1"/>
    <col min="11" max="11" width="62" customWidth="1"/>
    <col min="12" max="13" width="18.7109375" customWidth="1"/>
  </cols>
  <sheetData>
    <row r="1" spans="1:120" ht="30" customHeight="1" x14ac:dyDescent="0.25">
      <c r="A1" s="1112"/>
      <c r="B1" s="1112" t="str">
        <f>INDEX(dms_Worksheet_List,MATCH(dms_Model,dms_Model_List))</f>
        <v>REGULATORY REPORTING STATEMENT</v>
      </c>
      <c r="C1" s="26"/>
      <c r="D1" s="26"/>
      <c r="E1" s="26"/>
      <c r="F1" s="26"/>
      <c r="G1" s="1502" t="s">
        <v>96</v>
      </c>
      <c r="H1" s="1503" t="s">
        <v>97</v>
      </c>
      <c r="I1" s="26"/>
    </row>
    <row r="2" spans="1:120" ht="30" customHeight="1" x14ac:dyDescent="0.25">
      <c r="A2" s="1113"/>
      <c r="B2" s="1113" t="str">
        <f>dms_TradingNameFull</f>
        <v>Australian Gas Networks Limited (reporting data for SA)</v>
      </c>
      <c r="C2" s="26"/>
      <c r="D2" s="26"/>
      <c r="E2" s="26"/>
      <c r="F2" s="26"/>
      <c r="G2" s="1504" t="s">
        <v>98</v>
      </c>
      <c r="H2" s="1505" t="s">
        <v>92</v>
      </c>
      <c r="I2" s="26"/>
    </row>
    <row r="3" spans="1:120" ht="30" customHeight="1" x14ac:dyDescent="0.25">
      <c r="A3" s="1115"/>
      <c r="B3" s="1115" t="str">
        <f ca="1">dms_Header_Span</f>
        <v>2024-25 to 2030-31</v>
      </c>
      <c r="C3" s="26"/>
      <c r="D3" s="26"/>
      <c r="E3" s="26"/>
      <c r="F3" s="26"/>
      <c r="G3" s="1506" t="s">
        <v>99</v>
      </c>
      <c r="H3" s="1507" t="s">
        <v>100</v>
      </c>
      <c r="I3" s="26"/>
    </row>
    <row r="4" spans="1:120" ht="30" customHeight="1" x14ac:dyDescent="0.25">
      <c r="A4" s="621"/>
      <c r="B4" s="621" t="s">
        <v>335</v>
      </c>
      <c r="C4" s="402"/>
      <c r="D4" s="402"/>
      <c r="E4" s="402"/>
      <c r="F4" s="402"/>
      <c r="G4" s="1508" t="s">
        <v>102</v>
      </c>
      <c r="H4" s="1509" t="s">
        <v>103</v>
      </c>
      <c r="I4" s="402"/>
    </row>
    <row r="5" spans="1:120" ht="30" customHeight="1" x14ac:dyDescent="0.25">
      <c r="B5" s="1492" t="s">
        <v>104</v>
      </c>
      <c r="C5" s="1492"/>
      <c r="D5" s="1492"/>
      <c r="E5" s="1492"/>
      <c r="F5" s="1492"/>
      <c r="G5" s="1492"/>
      <c r="H5" s="1492"/>
      <c r="I5" s="1492"/>
    </row>
    <row r="6" spans="1:120" ht="19.5" thickBot="1" x14ac:dyDescent="0.35">
      <c r="C6" s="632"/>
    </row>
    <row r="7" spans="1:120" s="42" customFormat="1" ht="27" customHeight="1" thickBot="1" x14ac:dyDescent="0.3">
      <c r="A7" s="291"/>
      <c r="B7" s="32" t="s">
        <v>358</v>
      </c>
      <c r="C7" s="32"/>
      <c r="D7" s="32"/>
      <c r="E7" s="32"/>
      <c r="F7" s="32"/>
      <c r="G7" s="32"/>
      <c r="H7" s="32"/>
      <c r="I7" s="32"/>
      <c r="J7"/>
      <c r="K7"/>
      <c r="L7"/>
      <c r="M7"/>
      <c r="N7"/>
      <c r="O7"/>
      <c r="P7"/>
      <c r="Q7"/>
      <c r="R7"/>
      <c r="S7"/>
      <c r="T7"/>
      <c r="U7"/>
      <c r="V7"/>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c r="CR7"/>
      <c r="CS7"/>
      <c r="CT7"/>
      <c r="CU7"/>
      <c r="CV7"/>
      <c r="CW7"/>
      <c r="CX7"/>
      <c r="CY7"/>
      <c r="CZ7"/>
      <c r="DA7"/>
      <c r="DB7"/>
      <c r="DC7"/>
      <c r="DD7"/>
      <c r="DE7"/>
      <c r="DF7"/>
      <c r="DG7"/>
      <c r="DH7"/>
      <c r="DI7"/>
      <c r="DJ7"/>
      <c r="DK7"/>
      <c r="DL7"/>
      <c r="DM7"/>
      <c r="DN7"/>
      <c r="DO7"/>
      <c r="DP7"/>
    </row>
    <row r="8" spans="1:120" s="618" customFormat="1" ht="25.5" customHeight="1" thickBot="1" x14ac:dyDescent="0.3">
      <c r="A8" s="617"/>
      <c r="B8" s="250" t="s">
        <v>359</v>
      </c>
      <c r="C8" s="251"/>
      <c r="D8" s="251"/>
      <c r="E8" s="251"/>
      <c r="F8" s="251"/>
      <c r="G8" s="251"/>
      <c r="H8" s="251"/>
      <c r="I8" s="252"/>
      <c r="J8"/>
      <c r="BH8" s="619"/>
      <c r="BI8" s="619"/>
      <c r="BJ8" s="619"/>
      <c r="BK8" s="619"/>
      <c r="BL8" s="619"/>
      <c r="BM8" s="619"/>
      <c r="BN8" s="619"/>
      <c r="BO8" s="619"/>
      <c r="BP8" s="619"/>
      <c r="BQ8" s="619"/>
      <c r="BR8" s="619"/>
      <c r="BS8" s="619"/>
      <c r="BT8" s="619"/>
      <c r="BU8" s="619"/>
      <c r="BV8" s="619"/>
      <c r="BW8" s="619"/>
      <c r="BX8" s="619"/>
      <c r="BY8" s="619"/>
      <c r="BZ8" s="619"/>
      <c r="CA8" s="619"/>
      <c r="CB8" s="619"/>
      <c r="CC8" s="619"/>
      <c r="CD8" s="619"/>
      <c r="CE8" s="619"/>
      <c r="CF8" s="619"/>
      <c r="CG8" s="619"/>
    </row>
    <row r="9" spans="1:120" s="398" customFormat="1" ht="25.5" customHeight="1" outlineLevel="1" x14ac:dyDescent="0.25">
      <c r="B9"/>
      <c r="C9" s="1382" t="s">
        <v>337</v>
      </c>
      <c r="D9" s="1383"/>
      <c r="E9" s="1383"/>
      <c r="F9" s="1383"/>
      <c r="G9" s="1383"/>
      <c r="H9" s="1383"/>
      <c r="I9" s="1384"/>
      <c r="J9"/>
      <c r="K9"/>
      <c r="L9"/>
      <c r="M9"/>
      <c r="N9"/>
      <c r="O9"/>
      <c r="P9"/>
      <c r="Q9"/>
      <c r="R9"/>
      <c r="S9"/>
      <c r="T9"/>
      <c r="U9"/>
      <c r="V9"/>
    </row>
    <row r="10" spans="1:120" s="398" customFormat="1" ht="15.75" outlineLevel="1" thickBot="1" x14ac:dyDescent="0.3">
      <c r="B10" s="319"/>
      <c r="C10" s="405" t="str">
        <f ca="1">dms_y1</f>
        <v>2024-25</v>
      </c>
      <c r="D10" s="1394" t="str">
        <f ca="1">dms_y2</f>
        <v>2025-26</v>
      </c>
      <c r="E10" s="305" t="str">
        <f ca="1">dms_y3</f>
        <v>2026-27</v>
      </c>
      <c r="F10" s="305" t="str">
        <f ca="1">dms_y4</f>
        <v>2027-28</v>
      </c>
      <c r="G10" s="305" t="str">
        <f ca="1">dms_y5</f>
        <v>2028-29</v>
      </c>
      <c r="H10" s="305" t="str">
        <f ca="1">dms_y6</f>
        <v>2029-30</v>
      </c>
      <c r="I10" s="406" t="str">
        <f ca="1">dms_y7</f>
        <v>2030-31</v>
      </c>
      <c r="J10"/>
      <c r="K10"/>
      <c r="L10"/>
      <c r="M10"/>
      <c r="N10"/>
      <c r="O10"/>
      <c r="P10"/>
      <c r="Q10"/>
      <c r="R10"/>
      <c r="S10"/>
      <c r="T10"/>
      <c r="U10"/>
      <c r="V10"/>
    </row>
    <row r="11" spans="1:120" outlineLevel="1" x14ac:dyDescent="0.25">
      <c r="B11" s="36" t="str">
        <f>IF(ISBLANK('N1. Demand'!B22),"",'N1. Demand'!B22)</f>
        <v>Residential - SA excl New Towns (GJ/d)</v>
      </c>
      <c r="C11" s="282">
        <v>471370.08767123288</v>
      </c>
      <c r="D11" s="628">
        <f t="shared" ref="D11:I11" si="0">C92</f>
        <v>475958.90455134207</v>
      </c>
      <c r="E11" s="628">
        <f t="shared" si="0"/>
        <v>476609.60911882925</v>
      </c>
      <c r="F11" s="628">
        <f t="shared" si="0"/>
        <v>476727.66416087915</v>
      </c>
      <c r="G11" s="628">
        <f t="shared" si="0"/>
        <v>476214.53392139764</v>
      </c>
      <c r="H11" s="628">
        <f t="shared" si="0"/>
        <v>479187.73559491063</v>
      </c>
      <c r="I11" s="629">
        <f t="shared" si="0"/>
        <v>481628.18873681902</v>
      </c>
    </row>
    <row r="12" spans="1:120" outlineLevel="1" x14ac:dyDescent="0.25">
      <c r="B12" s="36" t="str">
        <f>IF(ISBLANK('N1. Demand'!B23),"",'N1. Demand'!B23)</f>
        <v>Residential - New Towns (GJ/d)</v>
      </c>
      <c r="C12" s="271">
        <v>367.91232876712331</v>
      </c>
      <c r="D12" s="628">
        <f t="shared" ref="D12:I12" si="1">C93</f>
        <v>417.26404865794007</v>
      </c>
      <c r="E12" s="628">
        <f t="shared" si="1"/>
        <v>473.23580290407</v>
      </c>
      <c r="F12" s="628">
        <f t="shared" si="1"/>
        <v>536.71560219617368</v>
      </c>
      <c r="G12" s="628">
        <f t="shared" si="1"/>
        <v>608.71057488267627</v>
      </c>
      <c r="H12" s="628">
        <f t="shared" si="1"/>
        <v>690.36294539946539</v>
      </c>
      <c r="I12" s="629">
        <f t="shared" si="1"/>
        <v>782.96815604441565</v>
      </c>
    </row>
    <row r="13" spans="1:120" outlineLevel="1" x14ac:dyDescent="0.25">
      <c r="B13" s="36" t="str">
        <f>IF(ISBLANK('N1. Demand'!B24),"",'N1. Demand'!B24)</f>
        <v>Commercial - SA excl New Towns (GJ/d)</v>
      </c>
      <c r="C13" s="271">
        <v>11448.769863013698</v>
      </c>
      <c r="D13" s="628">
        <f t="shared" ref="D13:I13" si="2">C94</f>
        <v>11464.765726027397</v>
      </c>
      <c r="E13" s="628">
        <f t="shared" si="2"/>
        <v>11478.487182841096</v>
      </c>
      <c r="F13" s="628">
        <f t="shared" si="2"/>
        <v>11488.773223448597</v>
      </c>
      <c r="G13" s="628">
        <f t="shared" si="2"/>
        <v>11492.154163970854</v>
      </c>
      <c r="H13" s="628">
        <f t="shared" si="2"/>
        <v>11486.311105044992</v>
      </c>
      <c r="I13" s="629">
        <f t="shared" si="2"/>
        <v>11465.483891782855</v>
      </c>
    </row>
    <row r="14" spans="1:120" outlineLevel="1" x14ac:dyDescent="0.25">
      <c r="B14" s="36" t="str">
        <f>IF(ISBLANK('N1. Demand'!B25),"",'N1. Demand'!B25)</f>
        <v>Commercial - New Towns (GJ/d)</v>
      </c>
      <c r="C14" s="271">
        <v>35.230136986301368</v>
      </c>
      <c r="D14" s="628">
        <f t="shared" ref="D14:I14" si="3">C95</f>
        <v>36.460273972602735</v>
      </c>
      <c r="E14" s="628">
        <f t="shared" si="3"/>
        <v>37.690410958904103</v>
      </c>
      <c r="F14" s="628">
        <f t="shared" si="3"/>
        <v>38.92054794520547</v>
      </c>
      <c r="G14" s="628">
        <f t="shared" si="3"/>
        <v>40.150684931506838</v>
      </c>
      <c r="H14" s="628">
        <f t="shared" si="3"/>
        <v>41.380821917808206</v>
      </c>
      <c r="I14" s="629">
        <f t="shared" si="3"/>
        <v>42.610958904109573</v>
      </c>
    </row>
    <row r="15" spans="1:120" outlineLevel="1" x14ac:dyDescent="0.25">
      <c r="B15" s="36" t="str">
        <f>IF(ISBLANK('N1. Demand'!B26),"",'N1. Demand'!B26)</f>
        <v xml:space="preserve">Tariff D Zone - Northern </v>
      </c>
      <c r="C15" s="271">
        <v>59.760000000000005</v>
      </c>
      <c r="D15" s="628">
        <f t="shared" ref="D15:I15" si="4">C96</f>
        <v>58.760000000000005</v>
      </c>
      <c r="E15" s="628">
        <f t="shared" si="4"/>
        <v>58.24</v>
      </c>
      <c r="F15" s="628">
        <f t="shared" si="4"/>
        <v>57.72</v>
      </c>
      <c r="G15" s="628">
        <f t="shared" si="4"/>
        <v>57.2</v>
      </c>
      <c r="H15" s="628">
        <f t="shared" si="4"/>
        <v>56.68</v>
      </c>
      <c r="I15" s="629">
        <f t="shared" si="4"/>
        <v>56.160000000000004</v>
      </c>
    </row>
    <row r="16" spans="1:120" outlineLevel="1" x14ac:dyDescent="0.25">
      <c r="B16" s="36" t="str">
        <f>IF(ISBLANK('N1. Demand'!B27),"",'N1. Demand'!B27)</f>
        <v>Tariff D Zone - Central</v>
      </c>
      <c r="C16" s="271">
        <v>35.256</v>
      </c>
      <c r="D16" s="628">
        <f t="shared" ref="D16:I16" si="5">C97</f>
        <v>35.256</v>
      </c>
      <c r="E16" s="628">
        <f t="shared" si="5"/>
        <v>34.944000000000003</v>
      </c>
      <c r="F16" s="628">
        <f t="shared" si="5"/>
        <v>34.631999999999998</v>
      </c>
      <c r="G16" s="628">
        <f t="shared" si="5"/>
        <v>34.32</v>
      </c>
      <c r="H16" s="628">
        <f t="shared" si="5"/>
        <v>34.008000000000003</v>
      </c>
      <c r="I16" s="629">
        <f t="shared" si="5"/>
        <v>33.695999999999998</v>
      </c>
    </row>
    <row r="17" spans="2:9" outlineLevel="1" x14ac:dyDescent="0.25">
      <c r="B17" s="36" t="str">
        <f>IF(ISBLANK('N1. Demand'!B28),"",'N1. Demand'!B28)</f>
        <v xml:space="preserve">Tariff D Zone - Southern </v>
      </c>
      <c r="C17" s="271">
        <v>12.656000000000001</v>
      </c>
      <c r="D17" s="628">
        <f t="shared" ref="D17:I17" si="6">C98</f>
        <v>12.656000000000001</v>
      </c>
      <c r="E17" s="628">
        <f t="shared" si="6"/>
        <v>12.544</v>
      </c>
      <c r="F17" s="628">
        <f t="shared" si="6"/>
        <v>12.432</v>
      </c>
      <c r="G17" s="628">
        <f t="shared" si="6"/>
        <v>12.32</v>
      </c>
      <c r="H17" s="628">
        <f t="shared" si="6"/>
        <v>12.208</v>
      </c>
      <c r="I17" s="629">
        <f t="shared" si="6"/>
        <v>12.096</v>
      </c>
    </row>
    <row r="18" spans="2:9" outlineLevel="1" x14ac:dyDescent="0.25">
      <c r="B18" s="36" t="str">
        <f>IF(ISBLANK('N1. Demand'!B29),"",'N1. Demand'!B29)</f>
        <v>Tariff D Zone - Peterborough</v>
      </c>
      <c r="C18" s="271">
        <v>0</v>
      </c>
      <c r="D18" s="628">
        <f t="shared" ref="D18:I18" si="7">C99</f>
        <v>0</v>
      </c>
      <c r="E18" s="628">
        <f t="shared" si="7"/>
        <v>0</v>
      </c>
      <c r="F18" s="628">
        <f t="shared" si="7"/>
        <v>0</v>
      </c>
      <c r="G18" s="628">
        <f t="shared" si="7"/>
        <v>0</v>
      </c>
      <c r="H18" s="628">
        <f t="shared" si="7"/>
        <v>0</v>
      </c>
      <c r="I18" s="629">
        <f t="shared" si="7"/>
        <v>0</v>
      </c>
    </row>
    <row r="19" spans="2:9" outlineLevel="1" x14ac:dyDescent="0.25">
      <c r="B19" s="1560" t="str">
        <f>IF(ISBLANK('N1. Demand'!B30),"",'N1. Demand'!B30)</f>
        <v>Tariff D Zone - Port Pirie</v>
      </c>
      <c r="C19" s="1513"/>
      <c r="D19" s="1561"/>
      <c r="E19" s="1561"/>
      <c r="F19" s="1561"/>
      <c r="G19" s="1561"/>
      <c r="H19" s="1561"/>
      <c r="I19" s="1562"/>
    </row>
    <row r="20" spans="2:9" outlineLevel="1" x14ac:dyDescent="0.25">
      <c r="B20" s="1560" t="str">
        <f>IF(ISBLANK('N1. Demand'!B31),"",'N1. Demand'!B31)</f>
        <v>Tariff D Zone - Riverland</v>
      </c>
      <c r="C20" s="1513"/>
      <c r="D20" s="1561"/>
      <c r="E20" s="1561"/>
      <c r="F20" s="1561"/>
      <c r="G20" s="1561"/>
      <c r="H20" s="1561"/>
      <c r="I20" s="1562"/>
    </row>
    <row r="21" spans="2:9" outlineLevel="1" x14ac:dyDescent="0.25">
      <c r="B21" s="1560" t="str">
        <f>IF(ISBLANK('N1. Demand'!B32),"",'N1. Demand'!B32)</f>
        <v>Tariff D Zone - South East</v>
      </c>
      <c r="C21" s="1513"/>
      <c r="D21" s="1561"/>
      <c r="E21" s="1561"/>
      <c r="F21" s="1561"/>
      <c r="G21" s="1561"/>
      <c r="H21" s="1561"/>
      <c r="I21" s="1562"/>
    </row>
    <row r="22" spans="2:9" outlineLevel="1" x14ac:dyDescent="0.25">
      <c r="B22" s="1560" t="str">
        <f>IF(ISBLANK('N1. Demand'!B33),"",'N1. Demand'!B33)</f>
        <v>Tariff D Zone - Whyalla</v>
      </c>
      <c r="C22" s="1513"/>
      <c r="D22" s="1561"/>
      <c r="E22" s="1561"/>
      <c r="F22" s="1561"/>
      <c r="G22" s="1561"/>
      <c r="H22" s="1561"/>
      <c r="I22" s="1562"/>
    </row>
    <row r="23" spans="2:9" outlineLevel="1" x14ac:dyDescent="0.25">
      <c r="B23" s="36" t="str">
        <f>IF(ISBLANK('N1. Demand'!B34),"",'N1. Demand'!B34)</f>
        <v/>
      </c>
      <c r="C23" s="271"/>
      <c r="D23" s="628">
        <f t="shared" ref="D23:I23" si="8">C104</f>
        <v>0</v>
      </c>
      <c r="E23" s="628">
        <f t="shared" si="8"/>
        <v>0</v>
      </c>
      <c r="F23" s="628">
        <f t="shared" si="8"/>
        <v>0</v>
      </c>
      <c r="G23" s="628">
        <f t="shared" si="8"/>
        <v>0</v>
      </c>
      <c r="H23" s="628">
        <f t="shared" si="8"/>
        <v>0</v>
      </c>
      <c r="I23" s="629">
        <f t="shared" si="8"/>
        <v>0</v>
      </c>
    </row>
    <row r="24" spans="2:9" outlineLevel="1" x14ac:dyDescent="0.25">
      <c r="B24" s="36" t="str">
        <f>IF(ISBLANK('N1. Demand'!B35),"",'N1. Demand'!B35)</f>
        <v/>
      </c>
      <c r="C24" s="271"/>
      <c r="D24" s="628">
        <f t="shared" ref="D24:I24" si="9">C105</f>
        <v>0</v>
      </c>
      <c r="E24" s="628">
        <f t="shared" si="9"/>
        <v>0</v>
      </c>
      <c r="F24" s="628">
        <f t="shared" si="9"/>
        <v>0</v>
      </c>
      <c r="G24" s="628">
        <f t="shared" si="9"/>
        <v>0</v>
      </c>
      <c r="H24" s="628">
        <f t="shared" si="9"/>
        <v>0</v>
      </c>
      <c r="I24" s="629">
        <f t="shared" si="9"/>
        <v>0</v>
      </c>
    </row>
    <row r="25" spans="2:9" outlineLevel="1" x14ac:dyDescent="0.25">
      <c r="B25" s="36" t="str">
        <f>IF(ISBLANK('N1. Demand'!B36),"",'N1. Demand'!B36)</f>
        <v/>
      </c>
      <c r="C25" s="271"/>
      <c r="D25" s="628">
        <f t="shared" ref="D25:I25" si="10">C106</f>
        <v>0</v>
      </c>
      <c r="E25" s="628">
        <f t="shared" si="10"/>
        <v>0</v>
      </c>
      <c r="F25" s="628">
        <f t="shared" si="10"/>
        <v>0</v>
      </c>
      <c r="G25" s="628">
        <f t="shared" si="10"/>
        <v>0</v>
      </c>
      <c r="H25" s="628">
        <f t="shared" si="10"/>
        <v>0</v>
      </c>
      <c r="I25" s="629">
        <f t="shared" si="10"/>
        <v>0</v>
      </c>
    </row>
    <row r="26" spans="2:9" outlineLevel="1" x14ac:dyDescent="0.25">
      <c r="B26" s="36" t="str">
        <f>IF(ISBLANK('N1. Demand'!B37),"",'N1. Demand'!B37)</f>
        <v/>
      </c>
      <c r="C26" s="271"/>
      <c r="D26" s="628">
        <f t="shared" ref="D26:I26" si="11">C107</f>
        <v>0</v>
      </c>
      <c r="E26" s="628">
        <f t="shared" si="11"/>
        <v>0</v>
      </c>
      <c r="F26" s="628">
        <f t="shared" si="11"/>
        <v>0</v>
      </c>
      <c r="G26" s="628">
        <f t="shared" si="11"/>
        <v>0</v>
      </c>
      <c r="H26" s="628">
        <f t="shared" si="11"/>
        <v>0</v>
      </c>
      <c r="I26" s="629">
        <f t="shared" si="11"/>
        <v>0</v>
      </c>
    </row>
    <row r="27" spans="2:9" outlineLevel="1" x14ac:dyDescent="0.25">
      <c r="B27" s="36" t="str">
        <f>IF(ISBLANK('N1. Demand'!B38),"",'N1. Demand'!B38)</f>
        <v/>
      </c>
      <c r="C27" s="271"/>
      <c r="D27" s="628">
        <f t="shared" ref="D27:I27" si="12">C108</f>
        <v>0</v>
      </c>
      <c r="E27" s="628">
        <f t="shared" si="12"/>
        <v>0</v>
      </c>
      <c r="F27" s="628">
        <f t="shared" si="12"/>
        <v>0</v>
      </c>
      <c r="G27" s="628">
        <f t="shared" si="12"/>
        <v>0</v>
      </c>
      <c r="H27" s="628">
        <f t="shared" si="12"/>
        <v>0</v>
      </c>
      <c r="I27" s="629">
        <f t="shared" si="12"/>
        <v>0</v>
      </c>
    </row>
    <row r="28" spans="2:9" outlineLevel="1" x14ac:dyDescent="0.25">
      <c r="B28" s="36" t="str">
        <f>IF(ISBLANK('N1. Demand'!B39),"",'N1. Demand'!B39)</f>
        <v/>
      </c>
      <c r="C28" s="271"/>
      <c r="D28" s="628">
        <f t="shared" ref="D28:I28" si="13">C109</f>
        <v>0</v>
      </c>
      <c r="E28" s="628">
        <f t="shared" si="13"/>
        <v>0</v>
      </c>
      <c r="F28" s="628">
        <f t="shared" si="13"/>
        <v>0</v>
      </c>
      <c r="G28" s="628">
        <f t="shared" si="13"/>
        <v>0</v>
      </c>
      <c r="H28" s="628">
        <f t="shared" si="13"/>
        <v>0</v>
      </c>
      <c r="I28" s="629">
        <f t="shared" si="13"/>
        <v>0</v>
      </c>
    </row>
    <row r="29" spans="2:9" outlineLevel="1" x14ac:dyDescent="0.25">
      <c r="B29" s="36" t="str">
        <f>IF(ISBLANK('N1. Demand'!B40),"",'N1. Demand'!B40)</f>
        <v/>
      </c>
      <c r="C29" s="271"/>
      <c r="D29" s="628">
        <f t="shared" ref="D29:I29" si="14">C110</f>
        <v>0</v>
      </c>
      <c r="E29" s="628">
        <f t="shared" si="14"/>
        <v>0</v>
      </c>
      <c r="F29" s="628">
        <f t="shared" si="14"/>
        <v>0</v>
      </c>
      <c r="G29" s="628">
        <f t="shared" si="14"/>
        <v>0</v>
      </c>
      <c r="H29" s="628">
        <f t="shared" si="14"/>
        <v>0</v>
      </c>
      <c r="I29" s="629">
        <f t="shared" si="14"/>
        <v>0</v>
      </c>
    </row>
    <row r="30" spans="2:9" outlineLevel="1" x14ac:dyDescent="0.25">
      <c r="B30" s="36" t="str">
        <f>IF(ISBLANK('N1. Demand'!B41),"",'N1. Demand'!B41)</f>
        <v/>
      </c>
      <c r="C30" s="271"/>
      <c r="D30" s="628">
        <f t="shared" ref="D30:I30" si="15">C111</f>
        <v>0</v>
      </c>
      <c r="E30" s="628">
        <f t="shared" si="15"/>
        <v>0</v>
      </c>
      <c r="F30" s="628">
        <f t="shared" si="15"/>
        <v>0</v>
      </c>
      <c r="G30" s="628">
        <f t="shared" si="15"/>
        <v>0</v>
      </c>
      <c r="H30" s="628">
        <f t="shared" si="15"/>
        <v>0</v>
      </c>
      <c r="I30" s="629">
        <f t="shared" si="15"/>
        <v>0</v>
      </c>
    </row>
    <row r="31" spans="2:9" outlineLevel="1" x14ac:dyDescent="0.25">
      <c r="B31" s="36" t="str">
        <f>IF(ISBLANK('N1. Demand'!B42),"",'N1. Demand'!B42)</f>
        <v/>
      </c>
      <c r="C31" s="271"/>
      <c r="D31" s="628">
        <f t="shared" ref="D31:I31" si="16">C112</f>
        <v>0</v>
      </c>
      <c r="E31" s="628">
        <f t="shared" si="16"/>
        <v>0</v>
      </c>
      <c r="F31" s="628">
        <f t="shared" si="16"/>
        <v>0</v>
      </c>
      <c r="G31" s="628">
        <f t="shared" si="16"/>
        <v>0</v>
      </c>
      <c r="H31" s="628">
        <f t="shared" si="16"/>
        <v>0</v>
      </c>
      <c r="I31" s="629">
        <f t="shared" si="16"/>
        <v>0</v>
      </c>
    </row>
    <row r="32" spans="2:9" outlineLevel="1" x14ac:dyDescent="0.25">
      <c r="B32" s="36" t="str">
        <f>IF(ISBLANK('N1. Demand'!B43),"",'N1. Demand'!B43)</f>
        <v/>
      </c>
      <c r="C32" s="271"/>
      <c r="D32" s="628">
        <f t="shared" ref="D32:I32" si="17">C113</f>
        <v>0</v>
      </c>
      <c r="E32" s="628">
        <f t="shared" si="17"/>
        <v>0</v>
      </c>
      <c r="F32" s="628">
        <f t="shared" si="17"/>
        <v>0</v>
      </c>
      <c r="G32" s="628">
        <f t="shared" si="17"/>
        <v>0</v>
      </c>
      <c r="H32" s="628">
        <f t="shared" si="17"/>
        <v>0</v>
      </c>
      <c r="I32" s="629">
        <f t="shared" si="17"/>
        <v>0</v>
      </c>
    </row>
    <row r="33" spans="2:9" outlineLevel="1" x14ac:dyDescent="0.25">
      <c r="B33" s="36" t="str">
        <f>IF(ISBLANK('N1. Demand'!B44),"",'N1. Demand'!B44)</f>
        <v/>
      </c>
      <c r="C33" s="271"/>
      <c r="D33" s="628">
        <f t="shared" ref="D33:I33" si="18">C114</f>
        <v>0</v>
      </c>
      <c r="E33" s="628">
        <f t="shared" si="18"/>
        <v>0</v>
      </c>
      <c r="F33" s="628">
        <f t="shared" si="18"/>
        <v>0</v>
      </c>
      <c r="G33" s="628">
        <f t="shared" si="18"/>
        <v>0</v>
      </c>
      <c r="H33" s="628">
        <f t="shared" si="18"/>
        <v>0</v>
      </c>
      <c r="I33" s="629">
        <f t="shared" si="18"/>
        <v>0</v>
      </c>
    </row>
    <row r="34" spans="2:9" outlineLevel="1" x14ac:dyDescent="0.25">
      <c r="B34" s="36" t="str">
        <f>IF(ISBLANK('N1. Demand'!B45),"",'N1. Demand'!B45)</f>
        <v/>
      </c>
      <c r="C34" s="271"/>
      <c r="D34" s="628">
        <f t="shared" ref="D34:I34" si="19">C115</f>
        <v>0</v>
      </c>
      <c r="E34" s="628">
        <f t="shared" si="19"/>
        <v>0</v>
      </c>
      <c r="F34" s="628">
        <f t="shared" si="19"/>
        <v>0</v>
      </c>
      <c r="G34" s="628">
        <f t="shared" si="19"/>
        <v>0</v>
      </c>
      <c r="H34" s="628">
        <f t="shared" si="19"/>
        <v>0</v>
      </c>
      <c r="I34" s="629">
        <f t="shared" si="19"/>
        <v>0</v>
      </c>
    </row>
    <row r="35" spans="2:9" outlineLevel="1" x14ac:dyDescent="0.25">
      <c r="B35" s="36" t="str">
        <f>IF(ISBLANK('N1. Demand'!B46),"",'N1. Demand'!B46)</f>
        <v/>
      </c>
      <c r="C35" s="271"/>
      <c r="D35" s="628">
        <f t="shared" ref="D35:I35" si="20">C116</f>
        <v>0</v>
      </c>
      <c r="E35" s="628">
        <f t="shared" si="20"/>
        <v>0</v>
      </c>
      <c r="F35" s="628">
        <f t="shared" si="20"/>
        <v>0</v>
      </c>
      <c r="G35" s="628">
        <f t="shared" si="20"/>
        <v>0</v>
      </c>
      <c r="H35" s="628">
        <f t="shared" si="20"/>
        <v>0</v>
      </c>
      <c r="I35" s="629">
        <f t="shared" si="20"/>
        <v>0</v>
      </c>
    </row>
    <row r="36" spans="2:9" outlineLevel="1" x14ac:dyDescent="0.25">
      <c r="B36" s="36" t="str">
        <f>IF(ISBLANK('N1. Demand'!B47),"",'N1. Demand'!B47)</f>
        <v/>
      </c>
      <c r="C36" s="271"/>
      <c r="D36" s="628">
        <f t="shared" ref="D36:I36" si="21">C117</f>
        <v>0</v>
      </c>
      <c r="E36" s="628">
        <f t="shared" si="21"/>
        <v>0</v>
      </c>
      <c r="F36" s="628">
        <f t="shared" si="21"/>
        <v>0</v>
      </c>
      <c r="G36" s="628">
        <f t="shared" si="21"/>
        <v>0</v>
      </c>
      <c r="H36" s="628">
        <f t="shared" si="21"/>
        <v>0</v>
      </c>
      <c r="I36" s="629">
        <f t="shared" si="21"/>
        <v>0</v>
      </c>
    </row>
    <row r="37" spans="2:9" outlineLevel="1" x14ac:dyDescent="0.25">
      <c r="B37" s="36" t="str">
        <f>IF(ISBLANK('N1. Demand'!B48),"",'N1. Demand'!B48)</f>
        <v/>
      </c>
      <c r="C37" s="271"/>
      <c r="D37" s="628">
        <f t="shared" ref="D37:I37" si="22">C118</f>
        <v>0</v>
      </c>
      <c r="E37" s="628">
        <f t="shared" si="22"/>
        <v>0</v>
      </c>
      <c r="F37" s="628">
        <f t="shared" si="22"/>
        <v>0</v>
      </c>
      <c r="G37" s="628">
        <f t="shared" si="22"/>
        <v>0</v>
      </c>
      <c r="H37" s="628">
        <f t="shared" si="22"/>
        <v>0</v>
      </c>
      <c r="I37" s="629">
        <f t="shared" si="22"/>
        <v>0</v>
      </c>
    </row>
    <row r="38" spans="2:9" outlineLevel="1" x14ac:dyDescent="0.25">
      <c r="B38" s="36" t="str">
        <f>IF(ISBLANK('N1. Demand'!B49),"",'N1. Demand'!B49)</f>
        <v/>
      </c>
      <c r="C38" s="271"/>
      <c r="D38" s="628">
        <f t="shared" ref="D38:I38" si="23">C119</f>
        <v>0</v>
      </c>
      <c r="E38" s="628">
        <f t="shared" si="23"/>
        <v>0</v>
      </c>
      <c r="F38" s="628">
        <f t="shared" si="23"/>
        <v>0</v>
      </c>
      <c r="G38" s="628">
        <f t="shared" si="23"/>
        <v>0</v>
      </c>
      <c r="H38" s="628">
        <f t="shared" si="23"/>
        <v>0</v>
      </c>
      <c r="I38" s="629">
        <f t="shared" si="23"/>
        <v>0</v>
      </c>
    </row>
    <row r="39" spans="2:9" outlineLevel="1" x14ac:dyDescent="0.25">
      <c r="B39" s="36" t="str">
        <f>IF(ISBLANK('N1. Demand'!B50),"",'N1. Demand'!B50)</f>
        <v/>
      </c>
      <c r="C39" s="271"/>
      <c r="D39" s="628">
        <f t="shared" ref="D39:I39" si="24">C120</f>
        <v>0</v>
      </c>
      <c r="E39" s="628">
        <f t="shared" si="24"/>
        <v>0</v>
      </c>
      <c r="F39" s="628">
        <f t="shared" si="24"/>
        <v>0</v>
      </c>
      <c r="G39" s="628">
        <f t="shared" si="24"/>
        <v>0</v>
      </c>
      <c r="H39" s="628">
        <f t="shared" si="24"/>
        <v>0</v>
      </c>
      <c r="I39" s="629">
        <f t="shared" si="24"/>
        <v>0</v>
      </c>
    </row>
    <row r="40" spans="2:9" outlineLevel="1" x14ac:dyDescent="0.25">
      <c r="B40" s="36" t="str">
        <f>IF(ISBLANK('N1. Demand'!B51),"",'N1. Demand'!B51)</f>
        <v/>
      </c>
      <c r="C40" s="271"/>
      <c r="D40" s="628">
        <f t="shared" ref="D40:I40" si="25">C121</f>
        <v>0</v>
      </c>
      <c r="E40" s="628">
        <f t="shared" si="25"/>
        <v>0</v>
      </c>
      <c r="F40" s="628">
        <f t="shared" si="25"/>
        <v>0</v>
      </c>
      <c r="G40" s="628">
        <f t="shared" si="25"/>
        <v>0</v>
      </c>
      <c r="H40" s="628">
        <f t="shared" si="25"/>
        <v>0</v>
      </c>
      <c r="I40" s="629">
        <f t="shared" si="25"/>
        <v>0</v>
      </c>
    </row>
    <row r="41" spans="2:9" outlineLevel="1" x14ac:dyDescent="0.25">
      <c r="B41" s="36" t="str">
        <f>IF(ISBLANK('N1. Demand'!B52),"",'N1. Demand'!B52)</f>
        <v/>
      </c>
      <c r="C41" s="271"/>
      <c r="D41" s="628">
        <f t="shared" ref="D41:I41" si="26">C122</f>
        <v>0</v>
      </c>
      <c r="E41" s="628">
        <f t="shared" si="26"/>
        <v>0</v>
      </c>
      <c r="F41" s="628">
        <f t="shared" si="26"/>
        <v>0</v>
      </c>
      <c r="G41" s="628">
        <f t="shared" si="26"/>
        <v>0</v>
      </c>
      <c r="H41" s="628">
        <f t="shared" si="26"/>
        <v>0</v>
      </c>
      <c r="I41" s="629">
        <f t="shared" si="26"/>
        <v>0</v>
      </c>
    </row>
    <row r="42" spans="2:9" outlineLevel="1" x14ac:dyDescent="0.25">
      <c r="B42" s="36" t="str">
        <f>IF(ISBLANK('N1. Demand'!B53),"",'N1. Demand'!B53)</f>
        <v/>
      </c>
      <c r="C42" s="271"/>
      <c r="D42" s="628">
        <f t="shared" ref="D42:I42" si="27">C123</f>
        <v>0</v>
      </c>
      <c r="E42" s="628">
        <f t="shared" si="27"/>
        <v>0</v>
      </c>
      <c r="F42" s="628">
        <f t="shared" si="27"/>
        <v>0</v>
      </c>
      <c r="G42" s="628">
        <f t="shared" si="27"/>
        <v>0</v>
      </c>
      <c r="H42" s="628">
        <f t="shared" si="27"/>
        <v>0</v>
      </c>
      <c r="I42" s="629">
        <f t="shared" si="27"/>
        <v>0</v>
      </c>
    </row>
    <row r="43" spans="2:9" outlineLevel="1" x14ac:dyDescent="0.25">
      <c r="B43" s="36" t="str">
        <f>IF(ISBLANK('N1. Demand'!B54),"",'N1. Demand'!B54)</f>
        <v/>
      </c>
      <c r="C43" s="271"/>
      <c r="D43" s="628">
        <f t="shared" ref="D43:I43" si="28">C124</f>
        <v>0</v>
      </c>
      <c r="E43" s="628">
        <f t="shared" si="28"/>
        <v>0</v>
      </c>
      <c r="F43" s="628">
        <f t="shared" si="28"/>
        <v>0</v>
      </c>
      <c r="G43" s="628">
        <f t="shared" si="28"/>
        <v>0</v>
      </c>
      <c r="H43" s="628">
        <f t="shared" si="28"/>
        <v>0</v>
      </c>
      <c r="I43" s="629">
        <f t="shared" si="28"/>
        <v>0</v>
      </c>
    </row>
    <row r="44" spans="2:9" outlineLevel="1" x14ac:dyDescent="0.25">
      <c r="B44" s="36" t="str">
        <f>IF(ISBLANK('N1. Demand'!B55),"",'N1. Demand'!B55)</f>
        <v/>
      </c>
      <c r="C44" s="271"/>
      <c r="D44" s="628">
        <f t="shared" ref="D44:I44" si="29">C125</f>
        <v>0</v>
      </c>
      <c r="E44" s="628">
        <f t="shared" si="29"/>
        <v>0</v>
      </c>
      <c r="F44" s="628">
        <f t="shared" si="29"/>
        <v>0</v>
      </c>
      <c r="G44" s="628">
        <f t="shared" si="29"/>
        <v>0</v>
      </c>
      <c r="H44" s="628">
        <f t="shared" si="29"/>
        <v>0</v>
      </c>
      <c r="I44" s="629">
        <f t="shared" si="29"/>
        <v>0</v>
      </c>
    </row>
    <row r="45" spans="2:9" outlineLevel="1" x14ac:dyDescent="0.25">
      <c r="B45" s="36" t="str">
        <f>IF(ISBLANK('N1. Demand'!B56),"",'N1. Demand'!B56)</f>
        <v/>
      </c>
      <c r="C45" s="271"/>
      <c r="D45" s="628">
        <f t="shared" ref="D45:I45" si="30">C126</f>
        <v>0</v>
      </c>
      <c r="E45" s="628">
        <f t="shared" si="30"/>
        <v>0</v>
      </c>
      <c r="F45" s="628">
        <f t="shared" si="30"/>
        <v>0</v>
      </c>
      <c r="G45" s="628">
        <f t="shared" si="30"/>
        <v>0</v>
      </c>
      <c r="H45" s="628">
        <f t="shared" si="30"/>
        <v>0</v>
      </c>
      <c r="I45" s="629">
        <f t="shared" si="30"/>
        <v>0</v>
      </c>
    </row>
    <row r="46" spans="2:9" outlineLevel="1" x14ac:dyDescent="0.25">
      <c r="B46" s="36" t="str">
        <f>IF(ISBLANK('N1. Demand'!B57),"",'N1. Demand'!B57)</f>
        <v/>
      </c>
      <c r="C46" s="271"/>
      <c r="D46" s="628">
        <f t="shared" ref="D46:I46" si="31">C127</f>
        <v>0</v>
      </c>
      <c r="E46" s="628">
        <f t="shared" si="31"/>
        <v>0</v>
      </c>
      <c r="F46" s="628">
        <f t="shared" si="31"/>
        <v>0</v>
      </c>
      <c r="G46" s="628">
        <f t="shared" si="31"/>
        <v>0</v>
      </c>
      <c r="H46" s="628">
        <f t="shared" si="31"/>
        <v>0</v>
      </c>
      <c r="I46" s="629">
        <f t="shared" si="31"/>
        <v>0</v>
      </c>
    </row>
    <row r="47" spans="2:9" outlineLevel="1" x14ac:dyDescent="0.25">
      <c r="B47" s="36" t="str">
        <f>IF(ISBLANK('N1. Demand'!B58),"",'N1. Demand'!B58)</f>
        <v/>
      </c>
      <c r="C47" s="271"/>
      <c r="D47" s="628">
        <f t="shared" ref="D47:I47" si="32">C128</f>
        <v>0</v>
      </c>
      <c r="E47" s="628">
        <f t="shared" si="32"/>
        <v>0</v>
      </c>
      <c r="F47" s="628">
        <f t="shared" si="32"/>
        <v>0</v>
      </c>
      <c r="G47" s="628">
        <f t="shared" si="32"/>
        <v>0</v>
      </c>
      <c r="H47" s="628">
        <f t="shared" si="32"/>
        <v>0</v>
      </c>
      <c r="I47" s="629">
        <f t="shared" si="32"/>
        <v>0</v>
      </c>
    </row>
    <row r="48" spans="2:9" outlineLevel="1" x14ac:dyDescent="0.25">
      <c r="B48" s="36" t="str">
        <f>IF(ISBLANK('N1. Demand'!B59),"",'N1. Demand'!B59)</f>
        <v/>
      </c>
      <c r="C48" s="271"/>
      <c r="D48" s="628">
        <f t="shared" ref="D48:I48" si="33">C129</f>
        <v>0</v>
      </c>
      <c r="E48" s="628">
        <f t="shared" si="33"/>
        <v>0</v>
      </c>
      <c r="F48" s="628">
        <f t="shared" si="33"/>
        <v>0</v>
      </c>
      <c r="G48" s="628">
        <f t="shared" si="33"/>
        <v>0</v>
      </c>
      <c r="H48" s="628">
        <f t="shared" si="33"/>
        <v>0</v>
      </c>
      <c r="I48" s="629">
        <f t="shared" si="33"/>
        <v>0</v>
      </c>
    </row>
    <row r="49" spans="2:9" outlineLevel="1" x14ac:dyDescent="0.25">
      <c r="B49" s="36" t="str">
        <f>IF(ISBLANK('N1. Demand'!B60),"",'N1. Demand'!B60)</f>
        <v/>
      </c>
      <c r="C49" s="271"/>
      <c r="D49" s="628">
        <f t="shared" ref="D49:I49" si="34">C130</f>
        <v>0</v>
      </c>
      <c r="E49" s="628">
        <f t="shared" si="34"/>
        <v>0</v>
      </c>
      <c r="F49" s="628">
        <f t="shared" si="34"/>
        <v>0</v>
      </c>
      <c r="G49" s="628">
        <f t="shared" si="34"/>
        <v>0</v>
      </c>
      <c r="H49" s="628">
        <f t="shared" si="34"/>
        <v>0</v>
      </c>
      <c r="I49" s="629">
        <f t="shared" si="34"/>
        <v>0</v>
      </c>
    </row>
    <row r="50" spans="2:9" outlineLevel="1" x14ac:dyDescent="0.25">
      <c r="B50" s="36" t="str">
        <f>IF(ISBLANK('N1. Demand'!B61),"",'N1. Demand'!B61)</f>
        <v/>
      </c>
      <c r="C50" s="271"/>
      <c r="D50" s="628">
        <f t="shared" ref="D50:D52" si="35">C131</f>
        <v>0</v>
      </c>
      <c r="E50" s="628">
        <f t="shared" ref="E50:E52" si="36">D131</f>
        <v>0</v>
      </c>
      <c r="F50" s="628">
        <f t="shared" ref="F50:F52" si="37">E131</f>
        <v>0</v>
      </c>
      <c r="G50" s="628">
        <f t="shared" ref="G50:G52" si="38">F131</f>
        <v>0</v>
      </c>
      <c r="H50" s="628">
        <f t="shared" ref="H50:H52" si="39">G131</f>
        <v>0</v>
      </c>
      <c r="I50" s="629">
        <f t="shared" ref="I50:I52" si="40">H131</f>
        <v>0</v>
      </c>
    </row>
    <row r="51" spans="2:9" outlineLevel="1" x14ac:dyDescent="0.25">
      <c r="B51" s="36" t="str">
        <f>IF(ISBLANK('N1. Demand'!B62),"",'N1. Demand'!B62)</f>
        <v/>
      </c>
      <c r="C51" s="271"/>
      <c r="D51" s="628">
        <f t="shared" si="35"/>
        <v>0</v>
      </c>
      <c r="E51" s="628">
        <f t="shared" si="36"/>
        <v>0</v>
      </c>
      <c r="F51" s="628">
        <f t="shared" si="37"/>
        <v>0</v>
      </c>
      <c r="G51" s="628">
        <f t="shared" si="38"/>
        <v>0</v>
      </c>
      <c r="H51" s="628">
        <f t="shared" si="39"/>
        <v>0</v>
      </c>
      <c r="I51" s="629">
        <f t="shared" si="40"/>
        <v>0</v>
      </c>
    </row>
    <row r="52" spans="2:9" outlineLevel="1" x14ac:dyDescent="0.25">
      <c r="B52" s="36" t="str">
        <f>IF(ISBLANK('N1. Demand'!B63),"",'N1. Demand'!B63)</f>
        <v/>
      </c>
      <c r="C52" s="271"/>
      <c r="D52" s="628">
        <f t="shared" si="35"/>
        <v>0</v>
      </c>
      <c r="E52" s="628">
        <f t="shared" si="36"/>
        <v>0</v>
      </c>
      <c r="F52" s="628">
        <f t="shared" si="37"/>
        <v>0</v>
      </c>
      <c r="G52" s="628">
        <f t="shared" si="38"/>
        <v>0</v>
      </c>
      <c r="H52" s="628">
        <f t="shared" si="39"/>
        <v>0</v>
      </c>
      <c r="I52" s="629">
        <f t="shared" si="40"/>
        <v>0</v>
      </c>
    </row>
    <row r="53" spans="2:9" outlineLevel="1" x14ac:dyDescent="0.25">
      <c r="B53" s="36" t="str">
        <f>IF(ISBLANK('N1. Demand'!B64),"",'N1. Demand'!B64)</f>
        <v/>
      </c>
      <c r="C53" s="271"/>
      <c r="D53" s="628">
        <f t="shared" ref="D53:I53" si="41">C134</f>
        <v>0</v>
      </c>
      <c r="E53" s="628">
        <f t="shared" si="41"/>
        <v>0</v>
      </c>
      <c r="F53" s="628">
        <f t="shared" si="41"/>
        <v>0</v>
      </c>
      <c r="G53" s="628">
        <f t="shared" si="41"/>
        <v>0</v>
      </c>
      <c r="H53" s="628">
        <f t="shared" si="41"/>
        <v>0</v>
      </c>
      <c r="I53" s="629">
        <f t="shared" si="41"/>
        <v>0</v>
      </c>
    </row>
    <row r="54" spans="2:9" outlineLevel="1" x14ac:dyDescent="0.25">
      <c r="B54" s="36" t="str">
        <f>IF(ISBLANK('N1. Demand'!B65),"",'N1. Demand'!B65)</f>
        <v/>
      </c>
      <c r="C54" s="271"/>
      <c r="D54" s="628">
        <f t="shared" ref="D54:I54" si="42">C135</f>
        <v>0</v>
      </c>
      <c r="E54" s="628">
        <f t="shared" si="42"/>
        <v>0</v>
      </c>
      <c r="F54" s="628">
        <f t="shared" si="42"/>
        <v>0</v>
      </c>
      <c r="G54" s="628">
        <f t="shared" si="42"/>
        <v>0</v>
      </c>
      <c r="H54" s="628">
        <f t="shared" si="42"/>
        <v>0</v>
      </c>
      <c r="I54" s="629">
        <f t="shared" si="42"/>
        <v>0</v>
      </c>
    </row>
    <row r="55" spans="2:9" outlineLevel="1" x14ac:dyDescent="0.25">
      <c r="B55" s="36" t="str">
        <f>IF(ISBLANK('N1. Demand'!B66),"",'N1. Demand'!B66)</f>
        <v/>
      </c>
      <c r="C55" s="271"/>
      <c r="D55" s="628">
        <f t="shared" ref="D55:I55" si="43">C136</f>
        <v>0</v>
      </c>
      <c r="E55" s="628">
        <f t="shared" si="43"/>
        <v>0</v>
      </c>
      <c r="F55" s="628">
        <f t="shared" si="43"/>
        <v>0</v>
      </c>
      <c r="G55" s="628">
        <f t="shared" si="43"/>
        <v>0</v>
      </c>
      <c r="H55" s="628">
        <f t="shared" si="43"/>
        <v>0</v>
      </c>
      <c r="I55" s="629">
        <f t="shared" si="43"/>
        <v>0</v>
      </c>
    </row>
    <row r="56" spans="2:9" outlineLevel="1" x14ac:dyDescent="0.25">
      <c r="B56" s="36" t="str">
        <f>IF(ISBLANK('N1. Demand'!B67),"",'N1. Demand'!B67)</f>
        <v/>
      </c>
      <c r="C56" s="271"/>
      <c r="D56" s="628">
        <f t="shared" ref="D56:I56" si="44">C137</f>
        <v>0</v>
      </c>
      <c r="E56" s="628">
        <f t="shared" si="44"/>
        <v>0</v>
      </c>
      <c r="F56" s="628">
        <f t="shared" si="44"/>
        <v>0</v>
      </c>
      <c r="G56" s="628">
        <f t="shared" si="44"/>
        <v>0</v>
      </c>
      <c r="H56" s="628">
        <f t="shared" si="44"/>
        <v>0</v>
      </c>
      <c r="I56" s="629">
        <f t="shared" si="44"/>
        <v>0</v>
      </c>
    </row>
    <row r="57" spans="2:9" outlineLevel="1" x14ac:dyDescent="0.25">
      <c r="B57" s="36" t="str">
        <f>IF(ISBLANK('N1. Demand'!B68),"",'N1. Demand'!B68)</f>
        <v/>
      </c>
      <c r="C57" s="271"/>
      <c r="D57" s="628">
        <f t="shared" ref="D57:I57" si="45">C138</f>
        <v>0</v>
      </c>
      <c r="E57" s="628">
        <f t="shared" si="45"/>
        <v>0</v>
      </c>
      <c r="F57" s="628">
        <f t="shared" si="45"/>
        <v>0</v>
      </c>
      <c r="G57" s="628">
        <f t="shared" si="45"/>
        <v>0</v>
      </c>
      <c r="H57" s="628">
        <f t="shared" si="45"/>
        <v>0</v>
      </c>
      <c r="I57" s="629">
        <f t="shared" si="45"/>
        <v>0</v>
      </c>
    </row>
    <row r="58" spans="2:9" outlineLevel="1" x14ac:dyDescent="0.25">
      <c r="B58" s="36" t="str">
        <f>IF(ISBLANK('N1. Demand'!B69),"",'N1. Demand'!B69)</f>
        <v/>
      </c>
      <c r="C58" s="271"/>
      <c r="D58" s="628">
        <f t="shared" ref="D58:D85" si="46">C139</f>
        <v>0</v>
      </c>
      <c r="E58" s="628">
        <f t="shared" ref="E58:E85" si="47">D139</f>
        <v>0</v>
      </c>
      <c r="F58" s="628">
        <f t="shared" ref="F58:F85" si="48">E139</f>
        <v>0</v>
      </c>
      <c r="G58" s="628">
        <f t="shared" ref="G58:G85" si="49">F139</f>
        <v>0</v>
      </c>
      <c r="H58" s="628">
        <f t="shared" ref="H58:H85" si="50">G139</f>
        <v>0</v>
      </c>
      <c r="I58" s="629">
        <f t="shared" ref="I58:I85" si="51">H139</f>
        <v>0</v>
      </c>
    </row>
    <row r="59" spans="2:9" outlineLevel="1" x14ac:dyDescent="0.25">
      <c r="B59" s="36" t="str">
        <f>IF(ISBLANK('N1. Demand'!B70),"",'N1. Demand'!B70)</f>
        <v/>
      </c>
      <c r="C59" s="271"/>
      <c r="D59" s="628">
        <f t="shared" si="46"/>
        <v>0</v>
      </c>
      <c r="E59" s="628">
        <f t="shared" si="47"/>
        <v>0</v>
      </c>
      <c r="F59" s="628">
        <f t="shared" si="48"/>
        <v>0</v>
      </c>
      <c r="G59" s="628">
        <f t="shared" si="49"/>
        <v>0</v>
      </c>
      <c r="H59" s="628">
        <f t="shared" si="50"/>
        <v>0</v>
      </c>
      <c r="I59" s="629">
        <f t="shared" si="51"/>
        <v>0</v>
      </c>
    </row>
    <row r="60" spans="2:9" outlineLevel="1" x14ac:dyDescent="0.25">
      <c r="B60" s="36" t="str">
        <f>IF(ISBLANK('N1. Demand'!B71),"",'N1. Demand'!B71)</f>
        <v/>
      </c>
      <c r="C60" s="557"/>
      <c r="D60" s="628">
        <f t="shared" si="46"/>
        <v>0</v>
      </c>
      <c r="E60" s="628">
        <f t="shared" si="47"/>
        <v>0</v>
      </c>
      <c r="F60" s="628">
        <f t="shared" si="48"/>
        <v>0</v>
      </c>
      <c r="G60" s="628">
        <f t="shared" si="49"/>
        <v>0</v>
      </c>
      <c r="H60" s="628">
        <f t="shared" si="50"/>
        <v>0</v>
      </c>
      <c r="I60" s="629">
        <f t="shared" si="51"/>
        <v>0</v>
      </c>
    </row>
    <row r="61" spans="2:9" outlineLevel="1" x14ac:dyDescent="0.25">
      <c r="B61" s="36" t="str">
        <f>IF(ISBLANK('N1. Demand'!B72),"",'N1. Demand'!B72)</f>
        <v/>
      </c>
      <c r="C61" s="557"/>
      <c r="D61" s="628">
        <f t="shared" si="46"/>
        <v>0</v>
      </c>
      <c r="E61" s="628">
        <f t="shared" si="47"/>
        <v>0</v>
      </c>
      <c r="F61" s="628">
        <f t="shared" si="48"/>
        <v>0</v>
      </c>
      <c r="G61" s="628">
        <f t="shared" si="49"/>
        <v>0</v>
      </c>
      <c r="H61" s="628">
        <f t="shared" si="50"/>
        <v>0</v>
      </c>
      <c r="I61" s="629">
        <f t="shared" si="51"/>
        <v>0</v>
      </c>
    </row>
    <row r="62" spans="2:9" outlineLevel="1" x14ac:dyDescent="0.25">
      <c r="B62" s="36" t="str">
        <f>IF(ISBLANK('N1. Demand'!B73),"",'N1. Demand'!B73)</f>
        <v/>
      </c>
      <c r="C62" s="557"/>
      <c r="D62" s="628">
        <f t="shared" si="46"/>
        <v>0</v>
      </c>
      <c r="E62" s="628">
        <f t="shared" si="47"/>
        <v>0</v>
      </c>
      <c r="F62" s="628">
        <f t="shared" si="48"/>
        <v>0</v>
      </c>
      <c r="G62" s="628">
        <f t="shared" si="49"/>
        <v>0</v>
      </c>
      <c r="H62" s="628">
        <f t="shared" si="50"/>
        <v>0</v>
      </c>
      <c r="I62" s="629">
        <f t="shared" si="51"/>
        <v>0</v>
      </c>
    </row>
    <row r="63" spans="2:9" outlineLevel="1" x14ac:dyDescent="0.25">
      <c r="B63" s="36" t="str">
        <f>IF(ISBLANK('N1. Demand'!B74),"",'N1. Demand'!B74)</f>
        <v/>
      </c>
      <c r="C63" s="557"/>
      <c r="D63" s="628">
        <f t="shared" si="46"/>
        <v>0</v>
      </c>
      <c r="E63" s="628">
        <f t="shared" si="47"/>
        <v>0</v>
      </c>
      <c r="F63" s="628">
        <f t="shared" si="48"/>
        <v>0</v>
      </c>
      <c r="G63" s="628">
        <f t="shared" si="49"/>
        <v>0</v>
      </c>
      <c r="H63" s="628">
        <f t="shared" si="50"/>
        <v>0</v>
      </c>
      <c r="I63" s="629">
        <f t="shared" si="51"/>
        <v>0</v>
      </c>
    </row>
    <row r="64" spans="2:9" outlineLevel="1" x14ac:dyDescent="0.25">
      <c r="B64" s="36" t="str">
        <f>IF(ISBLANK('N1. Demand'!B75),"",'N1. Demand'!B75)</f>
        <v/>
      </c>
      <c r="C64" s="557"/>
      <c r="D64" s="628">
        <f t="shared" si="46"/>
        <v>0</v>
      </c>
      <c r="E64" s="628">
        <f t="shared" si="47"/>
        <v>0</v>
      </c>
      <c r="F64" s="628">
        <f t="shared" si="48"/>
        <v>0</v>
      </c>
      <c r="G64" s="628">
        <f t="shared" si="49"/>
        <v>0</v>
      </c>
      <c r="H64" s="628">
        <f t="shared" si="50"/>
        <v>0</v>
      </c>
      <c r="I64" s="629">
        <f t="shared" si="51"/>
        <v>0</v>
      </c>
    </row>
    <row r="65" spans="2:9" outlineLevel="1" x14ac:dyDescent="0.25">
      <c r="B65" s="36" t="str">
        <f>IF(ISBLANK('N1. Demand'!B76),"",'N1. Demand'!B76)</f>
        <v/>
      </c>
      <c r="C65" s="557"/>
      <c r="D65" s="628">
        <f t="shared" si="46"/>
        <v>0</v>
      </c>
      <c r="E65" s="628">
        <f t="shared" si="47"/>
        <v>0</v>
      </c>
      <c r="F65" s="628">
        <f t="shared" si="48"/>
        <v>0</v>
      </c>
      <c r="G65" s="628">
        <f t="shared" si="49"/>
        <v>0</v>
      </c>
      <c r="H65" s="628">
        <f t="shared" si="50"/>
        <v>0</v>
      </c>
      <c r="I65" s="629">
        <f t="shared" si="51"/>
        <v>0</v>
      </c>
    </row>
    <row r="66" spans="2:9" outlineLevel="1" x14ac:dyDescent="0.25">
      <c r="B66" s="36" t="str">
        <f>IF(ISBLANK('N1. Demand'!B77),"",'N1. Demand'!B77)</f>
        <v/>
      </c>
      <c r="C66" s="557"/>
      <c r="D66" s="628">
        <f t="shared" si="46"/>
        <v>0</v>
      </c>
      <c r="E66" s="628">
        <f t="shared" si="47"/>
        <v>0</v>
      </c>
      <c r="F66" s="628">
        <f t="shared" si="48"/>
        <v>0</v>
      </c>
      <c r="G66" s="628">
        <f t="shared" si="49"/>
        <v>0</v>
      </c>
      <c r="H66" s="628">
        <f t="shared" si="50"/>
        <v>0</v>
      </c>
      <c r="I66" s="629">
        <f t="shared" si="51"/>
        <v>0</v>
      </c>
    </row>
    <row r="67" spans="2:9" outlineLevel="1" x14ac:dyDescent="0.25">
      <c r="B67" s="36" t="str">
        <f>IF(ISBLANK('N1. Demand'!B78),"",'N1. Demand'!B78)</f>
        <v/>
      </c>
      <c r="C67" s="557"/>
      <c r="D67" s="628">
        <f t="shared" si="46"/>
        <v>0</v>
      </c>
      <c r="E67" s="628">
        <f t="shared" si="47"/>
        <v>0</v>
      </c>
      <c r="F67" s="628">
        <f t="shared" si="48"/>
        <v>0</v>
      </c>
      <c r="G67" s="628">
        <f t="shared" si="49"/>
        <v>0</v>
      </c>
      <c r="H67" s="628">
        <f t="shared" si="50"/>
        <v>0</v>
      </c>
      <c r="I67" s="629">
        <f t="shared" si="51"/>
        <v>0</v>
      </c>
    </row>
    <row r="68" spans="2:9" outlineLevel="1" x14ac:dyDescent="0.25">
      <c r="B68" s="36" t="str">
        <f>IF(ISBLANK('N1. Demand'!B79),"",'N1. Demand'!B79)</f>
        <v/>
      </c>
      <c r="C68" s="557"/>
      <c r="D68" s="628">
        <f t="shared" si="46"/>
        <v>0</v>
      </c>
      <c r="E68" s="628">
        <f t="shared" si="47"/>
        <v>0</v>
      </c>
      <c r="F68" s="628">
        <f t="shared" si="48"/>
        <v>0</v>
      </c>
      <c r="G68" s="628">
        <f t="shared" si="49"/>
        <v>0</v>
      </c>
      <c r="H68" s="628">
        <f t="shared" si="50"/>
        <v>0</v>
      </c>
      <c r="I68" s="629">
        <f t="shared" si="51"/>
        <v>0</v>
      </c>
    </row>
    <row r="69" spans="2:9" outlineLevel="1" x14ac:dyDescent="0.25">
      <c r="B69" s="36" t="str">
        <f>IF(ISBLANK('N1. Demand'!B80),"",'N1. Demand'!B80)</f>
        <v/>
      </c>
      <c r="C69" s="557"/>
      <c r="D69" s="628">
        <f t="shared" si="46"/>
        <v>0</v>
      </c>
      <c r="E69" s="628">
        <f t="shared" si="47"/>
        <v>0</v>
      </c>
      <c r="F69" s="628">
        <f t="shared" si="48"/>
        <v>0</v>
      </c>
      <c r="G69" s="628">
        <f t="shared" si="49"/>
        <v>0</v>
      </c>
      <c r="H69" s="628">
        <f t="shared" si="50"/>
        <v>0</v>
      </c>
      <c r="I69" s="629">
        <f t="shared" si="51"/>
        <v>0</v>
      </c>
    </row>
    <row r="70" spans="2:9" outlineLevel="1" x14ac:dyDescent="0.25">
      <c r="B70" s="36" t="str">
        <f>IF(ISBLANK('N1. Demand'!B81),"",'N1. Demand'!B81)</f>
        <v/>
      </c>
      <c r="C70" s="557"/>
      <c r="D70" s="628">
        <f t="shared" si="46"/>
        <v>0</v>
      </c>
      <c r="E70" s="628">
        <f t="shared" si="47"/>
        <v>0</v>
      </c>
      <c r="F70" s="628">
        <f t="shared" si="48"/>
        <v>0</v>
      </c>
      <c r="G70" s="628">
        <f t="shared" si="49"/>
        <v>0</v>
      </c>
      <c r="H70" s="628">
        <f t="shared" si="50"/>
        <v>0</v>
      </c>
      <c r="I70" s="629">
        <f t="shared" si="51"/>
        <v>0</v>
      </c>
    </row>
    <row r="71" spans="2:9" outlineLevel="1" x14ac:dyDescent="0.25">
      <c r="B71" s="36" t="str">
        <f>IF(ISBLANK('N1. Demand'!B82),"",'N1. Demand'!B82)</f>
        <v/>
      </c>
      <c r="C71" s="557"/>
      <c r="D71" s="628">
        <f t="shared" si="46"/>
        <v>0</v>
      </c>
      <c r="E71" s="628">
        <f t="shared" si="47"/>
        <v>0</v>
      </c>
      <c r="F71" s="628">
        <f t="shared" si="48"/>
        <v>0</v>
      </c>
      <c r="G71" s="628">
        <f t="shared" si="49"/>
        <v>0</v>
      </c>
      <c r="H71" s="628">
        <f t="shared" si="50"/>
        <v>0</v>
      </c>
      <c r="I71" s="629">
        <f t="shared" si="51"/>
        <v>0</v>
      </c>
    </row>
    <row r="72" spans="2:9" outlineLevel="1" x14ac:dyDescent="0.25">
      <c r="B72" s="36" t="str">
        <f>IF(ISBLANK('N1. Demand'!B83),"",'N1. Demand'!B83)</f>
        <v/>
      </c>
      <c r="C72" s="557"/>
      <c r="D72" s="628">
        <f t="shared" si="46"/>
        <v>0</v>
      </c>
      <c r="E72" s="628">
        <f t="shared" si="47"/>
        <v>0</v>
      </c>
      <c r="F72" s="628">
        <f t="shared" si="48"/>
        <v>0</v>
      </c>
      <c r="G72" s="628">
        <f t="shared" si="49"/>
        <v>0</v>
      </c>
      <c r="H72" s="628">
        <f t="shared" si="50"/>
        <v>0</v>
      </c>
      <c r="I72" s="629">
        <f t="shared" si="51"/>
        <v>0</v>
      </c>
    </row>
    <row r="73" spans="2:9" outlineLevel="1" x14ac:dyDescent="0.25">
      <c r="B73" s="36" t="str">
        <f>IF(ISBLANK('N1. Demand'!B84),"",'N1. Demand'!B84)</f>
        <v/>
      </c>
      <c r="C73" s="557"/>
      <c r="D73" s="628">
        <f t="shared" si="46"/>
        <v>0</v>
      </c>
      <c r="E73" s="628">
        <f t="shared" si="47"/>
        <v>0</v>
      </c>
      <c r="F73" s="628">
        <f t="shared" si="48"/>
        <v>0</v>
      </c>
      <c r="G73" s="628">
        <f t="shared" si="49"/>
        <v>0</v>
      </c>
      <c r="H73" s="628">
        <f t="shared" si="50"/>
        <v>0</v>
      </c>
      <c r="I73" s="629">
        <f t="shared" si="51"/>
        <v>0</v>
      </c>
    </row>
    <row r="74" spans="2:9" outlineLevel="1" x14ac:dyDescent="0.25">
      <c r="B74" s="36" t="str">
        <f>IF(ISBLANK('N1. Demand'!B85),"",'N1. Demand'!B85)</f>
        <v/>
      </c>
      <c r="C74" s="557"/>
      <c r="D74" s="628">
        <f t="shared" si="46"/>
        <v>0</v>
      </c>
      <c r="E74" s="628">
        <f t="shared" si="47"/>
        <v>0</v>
      </c>
      <c r="F74" s="628">
        <f t="shared" si="48"/>
        <v>0</v>
      </c>
      <c r="G74" s="628">
        <f t="shared" si="49"/>
        <v>0</v>
      </c>
      <c r="H74" s="628">
        <f t="shared" si="50"/>
        <v>0</v>
      </c>
      <c r="I74" s="629">
        <f t="shared" si="51"/>
        <v>0</v>
      </c>
    </row>
    <row r="75" spans="2:9" outlineLevel="1" x14ac:dyDescent="0.25">
      <c r="B75" s="36" t="str">
        <f>IF(ISBLANK('N1. Demand'!B86),"",'N1. Demand'!B86)</f>
        <v/>
      </c>
      <c r="C75" s="557"/>
      <c r="D75" s="628">
        <f t="shared" si="46"/>
        <v>0</v>
      </c>
      <c r="E75" s="628">
        <f t="shared" si="47"/>
        <v>0</v>
      </c>
      <c r="F75" s="628">
        <f t="shared" si="48"/>
        <v>0</v>
      </c>
      <c r="G75" s="628">
        <f t="shared" si="49"/>
        <v>0</v>
      </c>
      <c r="H75" s="628">
        <f t="shared" si="50"/>
        <v>0</v>
      </c>
      <c r="I75" s="629">
        <f t="shared" si="51"/>
        <v>0</v>
      </c>
    </row>
    <row r="76" spans="2:9" outlineLevel="1" x14ac:dyDescent="0.25">
      <c r="B76" s="36" t="str">
        <f>IF(ISBLANK('N1. Demand'!B87),"",'N1. Demand'!B87)</f>
        <v/>
      </c>
      <c r="C76" s="557"/>
      <c r="D76" s="628">
        <f t="shared" si="46"/>
        <v>0</v>
      </c>
      <c r="E76" s="628">
        <f t="shared" si="47"/>
        <v>0</v>
      </c>
      <c r="F76" s="628">
        <f t="shared" si="48"/>
        <v>0</v>
      </c>
      <c r="G76" s="628">
        <f t="shared" si="49"/>
        <v>0</v>
      </c>
      <c r="H76" s="628">
        <f t="shared" si="50"/>
        <v>0</v>
      </c>
      <c r="I76" s="629">
        <f t="shared" si="51"/>
        <v>0</v>
      </c>
    </row>
    <row r="77" spans="2:9" outlineLevel="1" x14ac:dyDescent="0.25">
      <c r="B77" s="36" t="str">
        <f>IF(ISBLANK('N1. Demand'!B88),"",'N1. Demand'!B88)</f>
        <v/>
      </c>
      <c r="C77" s="557"/>
      <c r="D77" s="628">
        <f t="shared" si="46"/>
        <v>0</v>
      </c>
      <c r="E77" s="628">
        <f t="shared" si="47"/>
        <v>0</v>
      </c>
      <c r="F77" s="628">
        <f t="shared" si="48"/>
        <v>0</v>
      </c>
      <c r="G77" s="628">
        <f t="shared" si="49"/>
        <v>0</v>
      </c>
      <c r="H77" s="628">
        <f t="shared" si="50"/>
        <v>0</v>
      </c>
      <c r="I77" s="629">
        <f t="shared" si="51"/>
        <v>0</v>
      </c>
    </row>
    <row r="78" spans="2:9" outlineLevel="1" x14ac:dyDescent="0.25">
      <c r="B78" s="36" t="str">
        <f>IF(ISBLANK('N1. Demand'!B89),"",'N1. Demand'!B89)</f>
        <v/>
      </c>
      <c r="C78" s="557"/>
      <c r="D78" s="628">
        <f t="shared" si="46"/>
        <v>0</v>
      </c>
      <c r="E78" s="628">
        <f t="shared" si="47"/>
        <v>0</v>
      </c>
      <c r="F78" s="628">
        <f t="shared" si="48"/>
        <v>0</v>
      </c>
      <c r="G78" s="628">
        <f t="shared" si="49"/>
        <v>0</v>
      </c>
      <c r="H78" s="628">
        <f t="shared" si="50"/>
        <v>0</v>
      </c>
      <c r="I78" s="629">
        <f t="shared" si="51"/>
        <v>0</v>
      </c>
    </row>
    <row r="79" spans="2:9" outlineLevel="1" x14ac:dyDescent="0.25">
      <c r="B79" s="36" t="str">
        <f>IF(ISBLANK('N1. Demand'!B90),"",'N1. Demand'!B90)</f>
        <v/>
      </c>
      <c r="C79" s="557"/>
      <c r="D79" s="628">
        <f t="shared" si="46"/>
        <v>0</v>
      </c>
      <c r="E79" s="628">
        <f t="shared" si="47"/>
        <v>0</v>
      </c>
      <c r="F79" s="628">
        <f t="shared" si="48"/>
        <v>0</v>
      </c>
      <c r="G79" s="628">
        <f t="shared" si="49"/>
        <v>0</v>
      </c>
      <c r="H79" s="628">
        <f t="shared" si="50"/>
        <v>0</v>
      </c>
      <c r="I79" s="629">
        <f t="shared" si="51"/>
        <v>0</v>
      </c>
    </row>
    <row r="80" spans="2:9" outlineLevel="1" x14ac:dyDescent="0.25">
      <c r="B80" s="36" t="str">
        <f>IF(ISBLANK('N1. Demand'!B91),"",'N1. Demand'!B91)</f>
        <v/>
      </c>
      <c r="C80" s="557"/>
      <c r="D80" s="628">
        <f t="shared" si="46"/>
        <v>0</v>
      </c>
      <c r="E80" s="628">
        <f t="shared" si="47"/>
        <v>0</v>
      </c>
      <c r="F80" s="628">
        <f t="shared" si="48"/>
        <v>0</v>
      </c>
      <c r="G80" s="628">
        <f t="shared" si="49"/>
        <v>0</v>
      </c>
      <c r="H80" s="628">
        <f t="shared" si="50"/>
        <v>0</v>
      </c>
      <c r="I80" s="629">
        <f t="shared" si="51"/>
        <v>0</v>
      </c>
    </row>
    <row r="81" spans="1:85" outlineLevel="1" x14ac:dyDescent="0.25">
      <c r="B81" s="36" t="str">
        <f>IF(ISBLANK('N1. Demand'!B92),"",'N1. Demand'!B92)</f>
        <v/>
      </c>
      <c r="C81" s="557"/>
      <c r="D81" s="628">
        <f t="shared" si="46"/>
        <v>0</v>
      </c>
      <c r="E81" s="628">
        <f t="shared" si="47"/>
        <v>0</v>
      </c>
      <c r="F81" s="628">
        <f t="shared" si="48"/>
        <v>0</v>
      </c>
      <c r="G81" s="628">
        <f t="shared" si="49"/>
        <v>0</v>
      </c>
      <c r="H81" s="628">
        <f t="shared" si="50"/>
        <v>0</v>
      </c>
      <c r="I81" s="629">
        <f t="shared" si="51"/>
        <v>0</v>
      </c>
    </row>
    <row r="82" spans="1:85" outlineLevel="1" x14ac:dyDescent="0.25">
      <c r="B82" s="36" t="str">
        <f>IF(ISBLANK('N1. Demand'!B93),"",'N1. Demand'!B93)</f>
        <v/>
      </c>
      <c r="C82" s="557"/>
      <c r="D82" s="628">
        <f t="shared" si="46"/>
        <v>0</v>
      </c>
      <c r="E82" s="628">
        <f t="shared" si="47"/>
        <v>0</v>
      </c>
      <c r="F82" s="628">
        <f t="shared" si="48"/>
        <v>0</v>
      </c>
      <c r="G82" s="628">
        <f t="shared" si="49"/>
        <v>0</v>
      </c>
      <c r="H82" s="628">
        <f t="shared" si="50"/>
        <v>0</v>
      </c>
      <c r="I82" s="629">
        <f t="shared" si="51"/>
        <v>0</v>
      </c>
    </row>
    <row r="83" spans="1:85" outlineLevel="1" x14ac:dyDescent="0.25">
      <c r="B83" s="36" t="str">
        <f>IF(ISBLANK('N1. Demand'!B94),"",'N1. Demand'!B94)</f>
        <v/>
      </c>
      <c r="C83" s="557"/>
      <c r="D83" s="628">
        <f t="shared" si="46"/>
        <v>0</v>
      </c>
      <c r="E83" s="628">
        <f t="shared" si="47"/>
        <v>0</v>
      </c>
      <c r="F83" s="628">
        <f t="shared" si="48"/>
        <v>0</v>
      </c>
      <c r="G83" s="628">
        <f t="shared" si="49"/>
        <v>0</v>
      </c>
      <c r="H83" s="628">
        <f t="shared" si="50"/>
        <v>0</v>
      </c>
      <c r="I83" s="629">
        <f t="shared" si="51"/>
        <v>0</v>
      </c>
    </row>
    <row r="84" spans="1:85" outlineLevel="1" x14ac:dyDescent="0.25">
      <c r="B84" s="36" t="str">
        <f>IF(ISBLANK('N1. Demand'!B95),"",'N1. Demand'!B95)</f>
        <v/>
      </c>
      <c r="C84" s="557"/>
      <c r="D84" s="628">
        <f t="shared" si="46"/>
        <v>0</v>
      </c>
      <c r="E84" s="628">
        <f t="shared" si="47"/>
        <v>0</v>
      </c>
      <c r="F84" s="628">
        <f t="shared" si="48"/>
        <v>0</v>
      </c>
      <c r="G84" s="628">
        <f t="shared" si="49"/>
        <v>0</v>
      </c>
      <c r="H84" s="628">
        <f t="shared" si="50"/>
        <v>0</v>
      </c>
      <c r="I84" s="629">
        <f t="shared" si="51"/>
        <v>0</v>
      </c>
    </row>
    <row r="85" spans="1:85" ht="15.75" outlineLevel="1" thickBot="1" x14ac:dyDescent="0.3">
      <c r="B85" s="1445" t="str">
        <f>IF(ISBLANK('N1. Demand'!B96),"",'N1. Demand'!B96)</f>
        <v/>
      </c>
      <c r="C85" s="557"/>
      <c r="D85" s="1">
        <f t="shared" si="46"/>
        <v>0</v>
      </c>
      <c r="E85" s="1">
        <f t="shared" si="47"/>
        <v>0</v>
      </c>
      <c r="F85" s="1">
        <f t="shared" si="48"/>
        <v>0</v>
      </c>
      <c r="G85" s="1">
        <f t="shared" si="49"/>
        <v>0</v>
      </c>
      <c r="H85" s="1">
        <f t="shared" si="50"/>
        <v>0</v>
      </c>
      <c r="I85" s="1448">
        <f t="shared" si="51"/>
        <v>0</v>
      </c>
    </row>
    <row r="86" spans="1:85" ht="15.75" outlineLevel="1" thickBot="1" x14ac:dyDescent="0.3">
      <c r="B86" s="1447" t="s">
        <v>120</v>
      </c>
      <c r="C86" s="1444">
        <f>SUM(C11:C85)</f>
        <v>483329.67200000002</v>
      </c>
      <c r="D86" s="1444">
        <f t="shared" ref="D86:I86" si="52">SUM(D11:D85)</f>
        <v>487984.06660000002</v>
      </c>
      <c r="E86" s="1444">
        <f t="shared" si="52"/>
        <v>488704.75051553332</v>
      </c>
      <c r="F86" s="1444">
        <f t="shared" si="52"/>
        <v>488896.85753446905</v>
      </c>
      <c r="G86" s="1444">
        <f t="shared" si="52"/>
        <v>488459.38934518269</v>
      </c>
      <c r="H86" s="1444">
        <f t="shared" si="52"/>
        <v>491508.68646727281</v>
      </c>
      <c r="I86" s="1446">
        <f t="shared" si="52"/>
        <v>494021.2037435504</v>
      </c>
    </row>
    <row r="87" spans="1:85" ht="17.25" customHeight="1" thickBot="1" x14ac:dyDescent="0.3"/>
    <row r="88" spans="1:85" s="618" customFormat="1" ht="25.5" customHeight="1" thickBot="1" x14ac:dyDescent="0.3">
      <c r="A88" s="617"/>
      <c r="B88" s="250" t="s">
        <v>360</v>
      </c>
      <c r="C88" s="251"/>
      <c r="D88" s="251"/>
      <c r="E88" s="251"/>
      <c r="F88" s="251"/>
      <c r="G88" s="251"/>
      <c r="H88" s="251"/>
      <c r="I88" s="252"/>
      <c r="J88"/>
      <c r="BH88" s="619"/>
      <c r="BI88" s="619"/>
      <c r="BJ88" s="619"/>
      <c r="BK88" s="619"/>
      <c r="BL88" s="619"/>
      <c r="BM88" s="619"/>
      <c r="BN88" s="619"/>
      <c r="BO88" s="619"/>
      <c r="BP88" s="619"/>
      <c r="BQ88" s="619"/>
      <c r="BR88" s="619"/>
      <c r="BS88" s="619"/>
      <c r="BT88" s="619"/>
      <c r="BU88" s="619"/>
      <c r="BV88" s="619"/>
      <c r="BW88" s="619"/>
      <c r="BX88" s="619"/>
      <c r="BY88" s="619"/>
      <c r="BZ88" s="619"/>
      <c r="CA88" s="619"/>
      <c r="CB88" s="619"/>
      <c r="CC88" s="619"/>
      <c r="CD88" s="619"/>
      <c r="CE88" s="619"/>
      <c r="CF88" s="619"/>
      <c r="CG88" s="619"/>
    </row>
    <row r="89" spans="1:85" s="398" customFormat="1" ht="25.5" customHeight="1" outlineLevel="1" x14ac:dyDescent="0.25">
      <c r="B89"/>
      <c r="C89" s="1382" t="s">
        <v>159</v>
      </c>
      <c r="D89" s="1383"/>
      <c r="E89" s="1383"/>
      <c r="F89" s="1383"/>
      <c r="G89" s="1383"/>
      <c r="H89" s="1383"/>
      <c r="I89" s="1384"/>
      <c r="J89"/>
      <c r="K89"/>
      <c r="L89"/>
      <c r="M89"/>
      <c r="N89"/>
      <c r="O89"/>
      <c r="P89"/>
      <c r="Q89"/>
      <c r="R89"/>
      <c r="S89"/>
      <c r="T89"/>
      <c r="U89"/>
      <c r="V89"/>
    </row>
    <row r="90" spans="1:85" s="398" customFormat="1" ht="18" customHeight="1" outlineLevel="1" x14ac:dyDescent="0.25">
      <c r="B90" s="63"/>
      <c r="C90" s="1375" t="s">
        <v>228</v>
      </c>
      <c r="D90" s="1376"/>
      <c r="E90" s="1376"/>
      <c r="F90" s="1376"/>
      <c r="G90" s="1376"/>
      <c r="H90" s="1376"/>
      <c r="I90" s="1377"/>
      <c r="J90"/>
      <c r="K90"/>
      <c r="L90"/>
      <c r="M90"/>
      <c r="N90"/>
      <c r="O90"/>
      <c r="P90"/>
      <c r="Q90"/>
      <c r="R90"/>
      <c r="S90"/>
      <c r="T90"/>
      <c r="U90"/>
      <c r="V90"/>
    </row>
    <row r="91" spans="1:85" s="398" customFormat="1" ht="15.75" outlineLevel="1" thickBot="1" x14ac:dyDescent="0.3">
      <c r="B91" s="319"/>
      <c r="C91" s="405" t="str">
        <f ca="1">dms_y1</f>
        <v>2024-25</v>
      </c>
      <c r="D91" s="1394" t="str">
        <f ca="1">dms_y2</f>
        <v>2025-26</v>
      </c>
      <c r="E91" s="305" t="str">
        <f ca="1">dms_y3</f>
        <v>2026-27</v>
      </c>
      <c r="F91" s="305" t="str">
        <f ca="1">dms_y4</f>
        <v>2027-28</v>
      </c>
      <c r="G91" s="305" t="str">
        <f ca="1">dms_y5</f>
        <v>2028-29</v>
      </c>
      <c r="H91" s="305" t="str">
        <f ca="1">dms_y6</f>
        <v>2029-30</v>
      </c>
      <c r="I91" s="406" t="str">
        <f ca="1">dms_y7</f>
        <v>2030-31</v>
      </c>
      <c r="J91"/>
      <c r="K91"/>
      <c r="L91"/>
      <c r="M91"/>
      <c r="N91"/>
      <c r="O91"/>
      <c r="P91"/>
      <c r="Q91"/>
      <c r="R91"/>
      <c r="S91"/>
      <c r="T91"/>
      <c r="U91"/>
      <c r="V91"/>
    </row>
    <row r="92" spans="1:85" outlineLevel="1" x14ac:dyDescent="0.25">
      <c r="B92" s="36" t="str">
        <f t="shared" ref="B92:B123" si="53">IF(ISBLANK(B11),"",B11)</f>
        <v>Residential - SA excl New Towns (GJ/d)</v>
      </c>
      <c r="C92" s="271">
        <v>475958.90455134207</v>
      </c>
      <c r="D92" s="271">
        <v>476609.60911882925</v>
      </c>
      <c r="E92" s="271">
        <v>476727.66416087915</v>
      </c>
      <c r="F92" s="271">
        <v>476214.53392139764</v>
      </c>
      <c r="G92" s="271">
        <v>479187.73559491063</v>
      </c>
      <c r="H92" s="271">
        <v>481628.18873681902</v>
      </c>
      <c r="I92" s="272">
        <v>483283.77882984432</v>
      </c>
    </row>
    <row r="93" spans="1:85" outlineLevel="1" x14ac:dyDescent="0.25">
      <c r="B93" s="36" t="str">
        <f t="shared" si="53"/>
        <v>Residential - New Towns (GJ/d)</v>
      </c>
      <c r="C93" s="271">
        <v>417.26404865794007</v>
      </c>
      <c r="D93" s="271">
        <v>473.23580290407</v>
      </c>
      <c r="E93" s="271">
        <v>536.71560219617368</v>
      </c>
      <c r="F93" s="271">
        <v>608.71057488267627</v>
      </c>
      <c r="G93" s="271">
        <v>690.36294539946539</v>
      </c>
      <c r="H93" s="271">
        <v>782.96815604441565</v>
      </c>
      <c r="I93" s="272">
        <v>887.99541960478336</v>
      </c>
    </row>
    <row r="94" spans="1:85" outlineLevel="1" x14ac:dyDescent="0.25">
      <c r="B94" s="36" t="str">
        <f t="shared" si="53"/>
        <v>Commercial - SA excl New Towns (GJ/d)</v>
      </c>
      <c r="C94" s="271">
        <v>11464.765726027397</v>
      </c>
      <c r="D94" s="271">
        <v>11478.487182841096</v>
      </c>
      <c r="E94" s="271">
        <v>11488.773223448597</v>
      </c>
      <c r="F94" s="271">
        <v>11492.154163970854</v>
      </c>
      <c r="G94" s="271">
        <v>11486.311105044992</v>
      </c>
      <c r="H94" s="271">
        <v>11465.483891782855</v>
      </c>
      <c r="I94" s="272">
        <v>11441.237565095178</v>
      </c>
    </row>
    <row r="95" spans="1:85" outlineLevel="1" x14ac:dyDescent="0.25">
      <c r="B95" s="36" t="str">
        <f t="shared" si="53"/>
        <v>Commercial - New Towns (GJ/d)</v>
      </c>
      <c r="C95" s="271">
        <v>36.460273972602735</v>
      </c>
      <c r="D95" s="271">
        <v>37.690410958904103</v>
      </c>
      <c r="E95" s="271">
        <v>38.92054794520547</v>
      </c>
      <c r="F95" s="271">
        <v>40.150684931506838</v>
      </c>
      <c r="G95" s="271">
        <v>41.380821917808206</v>
      </c>
      <c r="H95" s="271">
        <v>42.610958904109573</v>
      </c>
      <c r="I95" s="272">
        <v>43.841095890410941</v>
      </c>
    </row>
    <row r="96" spans="1:85" outlineLevel="1" x14ac:dyDescent="0.25">
      <c r="B96" s="36" t="str">
        <f t="shared" si="53"/>
        <v xml:space="preserve">Tariff D Zone - Northern </v>
      </c>
      <c r="C96" s="271">
        <v>58.760000000000005</v>
      </c>
      <c r="D96" s="271">
        <v>58.24</v>
      </c>
      <c r="E96" s="271">
        <v>57.72</v>
      </c>
      <c r="F96" s="271">
        <v>57.2</v>
      </c>
      <c r="G96" s="271">
        <v>56.68</v>
      </c>
      <c r="H96" s="271">
        <v>56.160000000000004</v>
      </c>
      <c r="I96" s="272">
        <v>55.64</v>
      </c>
    </row>
    <row r="97" spans="2:9" outlineLevel="1" x14ac:dyDescent="0.25">
      <c r="B97" s="36" t="str">
        <f t="shared" si="53"/>
        <v>Tariff D Zone - Central</v>
      </c>
      <c r="C97" s="271">
        <v>35.256</v>
      </c>
      <c r="D97" s="271">
        <v>34.944000000000003</v>
      </c>
      <c r="E97" s="271">
        <v>34.631999999999998</v>
      </c>
      <c r="F97" s="271">
        <v>34.32</v>
      </c>
      <c r="G97" s="271">
        <v>34.008000000000003</v>
      </c>
      <c r="H97" s="271">
        <v>33.695999999999998</v>
      </c>
      <c r="I97" s="272">
        <v>33.384</v>
      </c>
    </row>
    <row r="98" spans="2:9" outlineLevel="1" x14ac:dyDescent="0.25">
      <c r="B98" s="36" t="str">
        <f t="shared" si="53"/>
        <v xml:space="preserve">Tariff D Zone - Southern </v>
      </c>
      <c r="C98" s="271">
        <v>12.656000000000001</v>
      </c>
      <c r="D98" s="271">
        <v>12.544</v>
      </c>
      <c r="E98" s="271">
        <v>12.432</v>
      </c>
      <c r="F98" s="271">
        <v>12.32</v>
      </c>
      <c r="G98" s="271">
        <v>12.208</v>
      </c>
      <c r="H98" s="271">
        <v>12.096</v>
      </c>
      <c r="I98" s="272">
        <v>11.984</v>
      </c>
    </row>
    <row r="99" spans="2:9" outlineLevel="1" x14ac:dyDescent="0.25">
      <c r="B99" s="36" t="str">
        <f t="shared" si="53"/>
        <v>Tariff D Zone - Peterborough</v>
      </c>
      <c r="C99" s="271">
        <v>0</v>
      </c>
      <c r="D99" s="271">
        <v>0</v>
      </c>
      <c r="E99" s="271">
        <v>0</v>
      </c>
      <c r="F99" s="271">
        <v>0</v>
      </c>
      <c r="G99" s="271">
        <v>0</v>
      </c>
      <c r="H99" s="271">
        <v>0</v>
      </c>
      <c r="I99" s="272">
        <v>0</v>
      </c>
    </row>
    <row r="100" spans="2:9" outlineLevel="1" x14ac:dyDescent="0.25">
      <c r="B100" s="36" t="str">
        <f t="shared" si="53"/>
        <v>Tariff D Zone - Port Pirie</v>
      </c>
      <c r="C100" s="1513"/>
      <c r="D100" s="1513"/>
      <c r="E100" s="1513"/>
      <c r="F100" s="1513"/>
      <c r="G100" s="1513"/>
      <c r="H100" s="1513"/>
      <c r="I100" s="1545"/>
    </row>
    <row r="101" spans="2:9" outlineLevel="1" x14ac:dyDescent="0.25">
      <c r="B101" s="36" t="str">
        <f t="shared" si="53"/>
        <v>Tariff D Zone - Riverland</v>
      </c>
      <c r="C101" s="1513"/>
      <c r="D101" s="1513"/>
      <c r="E101" s="1513"/>
      <c r="F101" s="1513"/>
      <c r="G101" s="1513"/>
      <c r="H101" s="1513"/>
      <c r="I101" s="1545"/>
    </row>
    <row r="102" spans="2:9" outlineLevel="1" x14ac:dyDescent="0.25">
      <c r="B102" s="36" t="str">
        <f t="shared" si="53"/>
        <v>Tariff D Zone - South East</v>
      </c>
      <c r="C102" s="1513"/>
      <c r="D102" s="1513"/>
      <c r="E102" s="1513"/>
      <c r="F102" s="1513"/>
      <c r="G102" s="1513"/>
      <c r="H102" s="1513"/>
      <c r="I102" s="1545"/>
    </row>
    <row r="103" spans="2:9" outlineLevel="1" x14ac:dyDescent="0.25">
      <c r="B103" s="36" t="str">
        <f t="shared" si="53"/>
        <v>Tariff D Zone - Whyalla</v>
      </c>
      <c r="C103" s="1513"/>
      <c r="D103" s="1513"/>
      <c r="E103" s="1513"/>
      <c r="F103" s="1513"/>
      <c r="G103" s="1513"/>
      <c r="H103" s="1513"/>
      <c r="I103" s="1545"/>
    </row>
    <row r="104" spans="2:9" outlineLevel="1" x14ac:dyDescent="0.25">
      <c r="B104" s="36" t="str">
        <f t="shared" si="53"/>
        <v/>
      </c>
      <c r="C104" s="271"/>
      <c r="D104" s="271"/>
      <c r="E104" s="271"/>
      <c r="F104" s="271"/>
      <c r="G104" s="271"/>
      <c r="H104" s="271"/>
      <c r="I104" s="272"/>
    </row>
    <row r="105" spans="2:9" outlineLevel="1" x14ac:dyDescent="0.25">
      <c r="B105" s="36" t="str">
        <f t="shared" si="53"/>
        <v/>
      </c>
      <c r="C105" s="271"/>
      <c r="D105" s="271"/>
      <c r="E105" s="271"/>
      <c r="F105" s="271"/>
      <c r="G105" s="271"/>
      <c r="H105" s="271"/>
      <c r="I105" s="272"/>
    </row>
    <row r="106" spans="2:9" outlineLevel="1" x14ac:dyDescent="0.25">
      <c r="B106" s="36" t="str">
        <f t="shared" si="53"/>
        <v/>
      </c>
      <c r="C106" s="271"/>
      <c r="D106" s="271"/>
      <c r="E106" s="271"/>
      <c r="F106" s="271"/>
      <c r="G106" s="271"/>
      <c r="H106" s="271"/>
      <c r="I106" s="272"/>
    </row>
    <row r="107" spans="2:9" outlineLevel="1" x14ac:dyDescent="0.25">
      <c r="B107" s="36" t="str">
        <f t="shared" si="53"/>
        <v/>
      </c>
      <c r="C107" s="271"/>
      <c r="D107" s="271"/>
      <c r="E107" s="271"/>
      <c r="F107" s="271"/>
      <c r="G107" s="271"/>
      <c r="H107" s="271"/>
      <c r="I107" s="272"/>
    </row>
    <row r="108" spans="2:9" outlineLevel="1" x14ac:dyDescent="0.25">
      <c r="B108" s="36" t="str">
        <f t="shared" si="53"/>
        <v/>
      </c>
      <c r="C108" s="271"/>
      <c r="D108" s="271"/>
      <c r="E108" s="271"/>
      <c r="F108" s="271"/>
      <c r="G108" s="271"/>
      <c r="H108" s="271"/>
      <c r="I108" s="272"/>
    </row>
    <row r="109" spans="2:9" outlineLevel="1" x14ac:dyDescent="0.25">
      <c r="B109" s="36" t="str">
        <f t="shared" si="53"/>
        <v/>
      </c>
      <c r="C109" s="271"/>
      <c r="D109" s="271"/>
      <c r="E109" s="271"/>
      <c r="F109" s="271"/>
      <c r="G109" s="271"/>
      <c r="H109" s="271"/>
      <c r="I109" s="272"/>
    </row>
    <row r="110" spans="2:9" outlineLevel="1" x14ac:dyDescent="0.25">
      <c r="B110" s="36" t="str">
        <f t="shared" si="53"/>
        <v/>
      </c>
      <c r="C110" s="271"/>
      <c r="D110" s="271"/>
      <c r="E110" s="271"/>
      <c r="F110" s="271"/>
      <c r="G110" s="271"/>
      <c r="H110" s="271"/>
      <c r="I110" s="272"/>
    </row>
    <row r="111" spans="2:9" outlineLevel="1" x14ac:dyDescent="0.25">
      <c r="B111" s="36" t="str">
        <f t="shared" si="53"/>
        <v/>
      </c>
      <c r="C111" s="271"/>
      <c r="D111" s="271"/>
      <c r="E111" s="271"/>
      <c r="F111" s="271"/>
      <c r="G111" s="271"/>
      <c r="H111" s="271"/>
      <c r="I111" s="272"/>
    </row>
    <row r="112" spans="2:9" outlineLevel="1" x14ac:dyDescent="0.25">
      <c r="B112" s="36" t="str">
        <f t="shared" si="53"/>
        <v/>
      </c>
      <c r="C112" s="271"/>
      <c r="D112" s="271"/>
      <c r="E112" s="271"/>
      <c r="F112" s="271"/>
      <c r="G112" s="271"/>
      <c r="H112" s="271"/>
      <c r="I112" s="272"/>
    </row>
    <row r="113" spans="2:9" outlineLevel="1" x14ac:dyDescent="0.25">
      <c r="B113" s="36" t="str">
        <f t="shared" si="53"/>
        <v/>
      </c>
      <c r="C113" s="271"/>
      <c r="D113" s="271"/>
      <c r="E113" s="271"/>
      <c r="F113" s="271"/>
      <c r="G113" s="271"/>
      <c r="H113" s="271"/>
      <c r="I113" s="272"/>
    </row>
    <row r="114" spans="2:9" outlineLevel="1" x14ac:dyDescent="0.25">
      <c r="B114" s="36" t="str">
        <f t="shared" si="53"/>
        <v/>
      </c>
      <c r="C114" s="271"/>
      <c r="D114" s="271"/>
      <c r="E114" s="271"/>
      <c r="F114" s="271"/>
      <c r="G114" s="271"/>
      <c r="H114" s="271"/>
      <c r="I114" s="272"/>
    </row>
    <row r="115" spans="2:9" outlineLevel="1" x14ac:dyDescent="0.25">
      <c r="B115" s="36" t="str">
        <f t="shared" si="53"/>
        <v/>
      </c>
      <c r="C115" s="271"/>
      <c r="D115" s="271"/>
      <c r="E115" s="271"/>
      <c r="F115" s="271"/>
      <c r="G115" s="271"/>
      <c r="H115" s="271"/>
      <c r="I115" s="272"/>
    </row>
    <row r="116" spans="2:9" outlineLevel="1" x14ac:dyDescent="0.25">
      <c r="B116" s="36" t="str">
        <f t="shared" si="53"/>
        <v/>
      </c>
      <c r="C116" s="271"/>
      <c r="D116" s="271"/>
      <c r="E116" s="271"/>
      <c r="F116" s="271"/>
      <c r="G116" s="271"/>
      <c r="H116" s="271"/>
      <c r="I116" s="272"/>
    </row>
    <row r="117" spans="2:9" outlineLevel="1" x14ac:dyDescent="0.25">
      <c r="B117" s="36" t="str">
        <f t="shared" si="53"/>
        <v/>
      </c>
      <c r="C117" s="271"/>
      <c r="D117" s="271"/>
      <c r="E117" s="271"/>
      <c r="F117" s="271"/>
      <c r="G117" s="271"/>
      <c r="H117" s="271"/>
      <c r="I117" s="272"/>
    </row>
    <row r="118" spans="2:9" outlineLevel="1" x14ac:dyDescent="0.25">
      <c r="B118" s="36" t="str">
        <f t="shared" si="53"/>
        <v/>
      </c>
      <c r="C118" s="271"/>
      <c r="D118" s="271"/>
      <c r="E118" s="271"/>
      <c r="F118" s="271"/>
      <c r="G118" s="271"/>
      <c r="H118" s="271"/>
      <c r="I118" s="272"/>
    </row>
    <row r="119" spans="2:9" outlineLevel="1" x14ac:dyDescent="0.25">
      <c r="B119" s="36" t="str">
        <f t="shared" si="53"/>
        <v/>
      </c>
      <c r="C119" s="271"/>
      <c r="D119" s="271"/>
      <c r="E119" s="271"/>
      <c r="F119" s="271"/>
      <c r="G119" s="271"/>
      <c r="H119" s="271"/>
      <c r="I119" s="272"/>
    </row>
    <row r="120" spans="2:9" outlineLevel="1" x14ac:dyDescent="0.25">
      <c r="B120" s="36" t="str">
        <f t="shared" si="53"/>
        <v/>
      </c>
      <c r="C120" s="271"/>
      <c r="D120" s="271"/>
      <c r="E120" s="271"/>
      <c r="F120" s="271"/>
      <c r="G120" s="271"/>
      <c r="H120" s="271"/>
      <c r="I120" s="272"/>
    </row>
    <row r="121" spans="2:9" outlineLevel="1" x14ac:dyDescent="0.25">
      <c r="B121" s="36" t="str">
        <f t="shared" si="53"/>
        <v/>
      </c>
      <c r="C121" s="271"/>
      <c r="D121" s="271"/>
      <c r="E121" s="271"/>
      <c r="F121" s="271"/>
      <c r="G121" s="271"/>
      <c r="H121" s="271"/>
      <c r="I121" s="272"/>
    </row>
    <row r="122" spans="2:9" outlineLevel="1" x14ac:dyDescent="0.25">
      <c r="B122" s="36" t="str">
        <f t="shared" si="53"/>
        <v/>
      </c>
      <c r="C122" s="271"/>
      <c r="D122" s="271"/>
      <c r="E122" s="271"/>
      <c r="F122" s="271"/>
      <c r="G122" s="271"/>
      <c r="H122" s="271"/>
      <c r="I122" s="272"/>
    </row>
    <row r="123" spans="2:9" outlineLevel="1" x14ac:dyDescent="0.25">
      <c r="B123" s="36" t="str">
        <f t="shared" si="53"/>
        <v/>
      </c>
      <c r="C123" s="271"/>
      <c r="D123" s="271"/>
      <c r="E123" s="271"/>
      <c r="F123" s="271"/>
      <c r="G123" s="271"/>
      <c r="H123" s="271"/>
      <c r="I123" s="272"/>
    </row>
    <row r="124" spans="2:9" outlineLevel="1" x14ac:dyDescent="0.25">
      <c r="B124" s="36" t="str">
        <f t="shared" ref="B124:B140" si="54">IF(ISBLANK(B43),"",B43)</f>
        <v/>
      </c>
      <c r="C124" s="271"/>
      <c r="D124" s="271"/>
      <c r="E124" s="271"/>
      <c r="F124" s="271"/>
      <c r="G124" s="271"/>
      <c r="H124" s="271"/>
      <c r="I124" s="272"/>
    </row>
    <row r="125" spans="2:9" outlineLevel="1" x14ac:dyDescent="0.25">
      <c r="B125" s="36" t="str">
        <f t="shared" si="54"/>
        <v/>
      </c>
      <c r="C125" s="271"/>
      <c r="D125" s="271"/>
      <c r="E125" s="271"/>
      <c r="F125" s="271"/>
      <c r="G125" s="271"/>
      <c r="H125" s="271"/>
      <c r="I125" s="272"/>
    </row>
    <row r="126" spans="2:9" outlineLevel="1" x14ac:dyDescent="0.25">
      <c r="B126" s="36" t="str">
        <f t="shared" si="54"/>
        <v/>
      </c>
      <c r="C126" s="271"/>
      <c r="D126" s="271"/>
      <c r="E126" s="271"/>
      <c r="F126" s="271"/>
      <c r="G126" s="271"/>
      <c r="H126" s="271"/>
      <c r="I126" s="272"/>
    </row>
    <row r="127" spans="2:9" outlineLevel="1" x14ac:dyDescent="0.25">
      <c r="B127" s="36" t="str">
        <f t="shared" si="54"/>
        <v/>
      </c>
      <c r="C127" s="271"/>
      <c r="D127" s="271"/>
      <c r="E127" s="271"/>
      <c r="F127" s="271"/>
      <c r="G127" s="271"/>
      <c r="H127" s="271"/>
      <c r="I127" s="272"/>
    </row>
    <row r="128" spans="2:9" outlineLevel="1" x14ac:dyDescent="0.25">
      <c r="B128" s="36" t="str">
        <f t="shared" si="54"/>
        <v/>
      </c>
      <c r="C128" s="271"/>
      <c r="D128" s="271"/>
      <c r="E128" s="271"/>
      <c r="F128" s="271"/>
      <c r="G128" s="271"/>
      <c r="H128" s="271"/>
      <c r="I128" s="272"/>
    </row>
    <row r="129" spans="2:9" outlineLevel="1" x14ac:dyDescent="0.25">
      <c r="B129" s="36" t="str">
        <f t="shared" si="54"/>
        <v/>
      </c>
      <c r="C129" s="271"/>
      <c r="D129" s="271"/>
      <c r="E129" s="271"/>
      <c r="F129" s="271"/>
      <c r="G129" s="271"/>
      <c r="H129" s="271"/>
      <c r="I129" s="272"/>
    </row>
    <row r="130" spans="2:9" outlineLevel="1" x14ac:dyDescent="0.25">
      <c r="B130" s="36" t="str">
        <f t="shared" si="54"/>
        <v/>
      </c>
      <c r="C130" s="271"/>
      <c r="D130" s="271"/>
      <c r="E130" s="271"/>
      <c r="F130" s="271"/>
      <c r="G130" s="271"/>
      <c r="H130" s="271"/>
      <c r="I130" s="272"/>
    </row>
    <row r="131" spans="2:9" outlineLevel="1" x14ac:dyDescent="0.25">
      <c r="B131" s="36" t="str">
        <f t="shared" si="54"/>
        <v/>
      </c>
      <c r="C131" s="271"/>
      <c r="D131" s="271"/>
      <c r="E131" s="271"/>
      <c r="F131" s="271"/>
      <c r="G131" s="271"/>
      <c r="H131" s="271"/>
      <c r="I131" s="272"/>
    </row>
    <row r="132" spans="2:9" outlineLevel="1" x14ac:dyDescent="0.25">
      <c r="B132" s="36" t="str">
        <f t="shared" si="54"/>
        <v/>
      </c>
      <c r="C132" s="271"/>
      <c r="D132" s="271"/>
      <c r="E132" s="271"/>
      <c r="F132" s="271"/>
      <c r="G132" s="271"/>
      <c r="H132" s="271"/>
      <c r="I132" s="272"/>
    </row>
    <row r="133" spans="2:9" outlineLevel="1" x14ac:dyDescent="0.25">
      <c r="B133" s="36" t="str">
        <f t="shared" si="54"/>
        <v/>
      </c>
      <c r="C133" s="271"/>
      <c r="D133" s="271"/>
      <c r="E133" s="271"/>
      <c r="F133" s="271"/>
      <c r="G133" s="271"/>
      <c r="H133" s="271"/>
      <c r="I133" s="272"/>
    </row>
    <row r="134" spans="2:9" outlineLevel="1" x14ac:dyDescent="0.25">
      <c r="B134" s="36" t="str">
        <f t="shared" si="54"/>
        <v/>
      </c>
      <c r="C134" s="271"/>
      <c r="D134" s="271"/>
      <c r="E134" s="271"/>
      <c r="F134" s="271"/>
      <c r="G134" s="271"/>
      <c r="H134" s="271"/>
      <c r="I134" s="272"/>
    </row>
    <row r="135" spans="2:9" outlineLevel="1" x14ac:dyDescent="0.25">
      <c r="B135" s="36" t="str">
        <f t="shared" si="54"/>
        <v/>
      </c>
      <c r="C135" s="271"/>
      <c r="D135" s="271"/>
      <c r="E135" s="271"/>
      <c r="F135" s="271"/>
      <c r="G135" s="271"/>
      <c r="H135" s="271"/>
      <c r="I135" s="272"/>
    </row>
    <row r="136" spans="2:9" outlineLevel="1" x14ac:dyDescent="0.25">
      <c r="B136" s="36" t="str">
        <f t="shared" si="54"/>
        <v/>
      </c>
      <c r="C136" s="271"/>
      <c r="D136" s="271"/>
      <c r="E136" s="271"/>
      <c r="F136" s="271"/>
      <c r="G136" s="271"/>
      <c r="H136" s="271"/>
      <c r="I136" s="272"/>
    </row>
    <row r="137" spans="2:9" outlineLevel="1" x14ac:dyDescent="0.25">
      <c r="B137" s="36" t="str">
        <f t="shared" si="54"/>
        <v/>
      </c>
      <c r="C137" s="271"/>
      <c r="D137" s="271"/>
      <c r="E137" s="271"/>
      <c r="F137" s="271"/>
      <c r="G137" s="271"/>
      <c r="H137" s="271"/>
      <c r="I137" s="272"/>
    </row>
    <row r="138" spans="2:9" outlineLevel="1" x14ac:dyDescent="0.25">
      <c r="B138" s="36" t="str">
        <f t="shared" si="54"/>
        <v/>
      </c>
      <c r="C138" s="271"/>
      <c r="D138" s="271"/>
      <c r="E138" s="271"/>
      <c r="F138" s="271"/>
      <c r="G138" s="271"/>
      <c r="H138" s="271"/>
      <c r="I138" s="272"/>
    </row>
    <row r="139" spans="2:9" outlineLevel="1" x14ac:dyDescent="0.25">
      <c r="B139" s="36" t="str">
        <f t="shared" si="54"/>
        <v/>
      </c>
      <c r="C139" s="271"/>
      <c r="D139" s="271"/>
      <c r="E139" s="271"/>
      <c r="F139" s="271"/>
      <c r="G139" s="271"/>
      <c r="H139" s="271"/>
      <c r="I139" s="272"/>
    </row>
    <row r="140" spans="2:9" outlineLevel="1" x14ac:dyDescent="0.25">
      <c r="B140" s="36" t="str">
        <f t="shared" si="54"/>
        <v/>
      </c>
      <c r="C140" s="271"/>
      <c r="D140" s="271"/>
      <c r="E140" s="271"/>
      <c r="F140" s="271"/>
      <c r="G140" s="271"/>
      <c r="H140" s="271"/>
      <c r="I140" s="272"/>
    </row>
    <row r="141" spans="2:9" outlineLevel="1" x14ac:dyDescent="0.25">
      <c r="B141" s="36" t="str">
        <f t="shared" ref="B141:B166" si="55">IF(ISBLANK(B60),"",B60)</f>
        <v/>
      </c>
      <c r="C141" s="271"/>
      <c r="D141" s="271"/>
      <c r="E141" s="271"/>
      <c r="F141" s="271"/>
      <c r="G141" s="271"/>
      <c r="H141" s="271"/>
      <c r="I141" s="272"/>
    </row>
    <row r="142" spans="2:9" outlineLevel="1" x14ac:dyDescent="0.25">
      <c r="B142" s="36" t="str">
        <f t="shared" si="55"/>
        <v/>
      </c>
      <c r="C142" s="271"/>
      <c r="D142" s="271"/>
      <c r="E142" s="271"/>
      <c r="F142" s="271"/>
      <c r="G142" s="271"/>
      <c r="H142" s="271"/>
      <c r="I142" s="272"/>
    </row>
    <row r="143" spans="2:9" outlineLevel="1" x14ac:dyDescent="0.25">
      <c r="B143" s="36" t="str">
        <f t="shared" si="55"/>
        <v/>
      </c>
      <c r="C143" s="271"/>
      <c r="D143" s="271"/>
      <c r="E143" s="271"/>
      <c r="F143" s="271"/>
      <c r="G143" s="271"/>
      <c r="H143" s="271"/>
      <c r="I143" s="272"/>
    </row>
    <row r="144" spans="2:9" outlineLevel="1" x14ac:dyDescent="0.25">
      <c r="B144" s="36" t="str">
        <f t="shared" si="55"/>
        <v/>
      </c>
      <c r="C144" s="271"/>
      <c r="D144" s="271"/>
      <c r="E144" s="271"/>
      <c r="F144" s="271"/>
      <c r="G144" s="271"/>
      <c r="H144" s="271"/>
      <c r="I144" s="272"/>
    </row>
    <row r="145" spans="2:9" outlineLevel="1" x14ac:dyDescent="0.25">
      <c r="B145" s="36" t="str">
        <f t="shared" si="55"/>
        <v/>
      </c>
      <c r="C145" s="271"/>
      <c r="D145" s="271"/>
      <c r="E145" s="271"/>
      <c r="F145" s="271"/>
      <c r="G145" s="271"/>
      <c r="H145" s="271"/>
      <c r="I145" s="272"/>
    </row>
    <row r="146" spans="2:9" outlineLevel="1" x14ac:dyDescent="0.25">
      <c r="B146" s="36" t="str">
        <f t="shared" si="55"/>
        <v/>
      </c>
      <c r="C146" s="271"/>
      <c r="D146" s="271"/>
      <c r="E146" s="271"/>
      <c r="F146" s="271"/>
      <c r="G146" s="271"/>
      <c r="H146" s="271"/>
      <c r="I146" s="272"/>
    </row>
    <row r="147" spans="2:9" outlineLevel="1" x14ac:dyDescent="0.25">
      <c r="B147" s="36" t="str">
        <f t="shared" si="55"/>
        <v/>
      </c>
      <c r="C147" s="271"/>
      <c r="D147" s="271"/>
      <c r="E147" s="271"/>
      <c r="F147" s="271"/>
      <c r="G147" s="271"/>
      <c r="H147" s="271"/>
      <c r="I147" s="272"/>
    </row>
    <row r="148" spans="2:9" outlineLevel="1" x14ac:dyDescent="0.25">
      <c r="B148" s="36" t="str">
        <f t="shared" si="55"/>
        <v/>
      </c>
      <c r="C148" s="271"/>
      <c r="D148" s="271"/>
      <c r="E148" s="271"/>
      <c r="F148" s="271"/>
      <c r="G148" s="271"/>
      <c r="H148" s="271"/>
      <c r="I148" s="272"/>
    </row>
    <row r="149" spans="2:9" outlineLevel="1" x14ac:dyDescent="0.25">
      <c r="B149" s="36" t="str">
        <f t="shared" si="55"/>
        <v/>
      </c>
      <c r="C149" s="271"/>
      <c r="D149" s="271"/>
      <c r="E149" s="271"/>
      <c r="F149" s="271"/>
      <c r="G149" s="271"/>
      <c r="H149" s="271"/>
      <c r="I149" s="272"/>
    </row>
    <row r="150" spans="2:9" outlineLevel="1" x14ac:dyDescent="0.25">
      <c r="B150" s="36" t="str">
        <f t="shared" si="55"/>
        <v/>
      </c>
      <c r="C150" s="271"/>
      <c r="D150" s="271"/>
      <c r="E150" s="271"/>
      <c r="F150" s="271"/>
      <c r="G150" s="271"/>
      <c r="H150" s="271"/>
      <c r="I150" s="272"/>
    </row>
    <row r="151" spans="2:9" outlineLevel="1" x14ac:dyDescent="0.25">
      <c r="B151" s="36" t="str">
        <f t="shared" si="55"/>
        <v/>
      </c>
      <c r="C151" s="271"/>
      <c r="D151" s="271"/>
      <c r="E151" s="271"/>
      <c r="F151" s="271"/>
      <c r="G151" s="271"/>
      <c r="H151" s="271"/>
      <c r="I151" s="272"/>
    </row>
    <row r="152" spans="2:9" outlineLevel="1" x14ac:dyDescent="0.25">
      <c r="B152" s="36" t="str">
        <f t="shared" si="55"/>
        <v/>
      </c>
      <c r="C152" s="271"/>
      <c r="D152" s="271"/>
      <c r="E152" s="271"/>
      <c r="F152" s="271"/>
      <c r="G152" s="271"/>
      <c r="H152" s="271"/>
      <c r="I152" s="272"/>
    </row>
    <row r="153" spans="2:9" outlineLevel="1" x14ac:dyDescent="0.25">
      <c r="B153" s="36" t="str">
        <f t="shared" si="55"/>
        <v/>
      </c>
      <c r="C153" s="271"/>
      <c r="D153" s="271"/>
      <c r="E153" s="271"/>
      <c r="F153" s="271"/>
      <c r="G153" s="271"/>
      <c r="H153" s="271"/>
      <c r="I153" s="272"/>
    </row>
    <row r="154" spans="2:9" outlineLevel="1" x14ac:dyDescent="0.25">
      <c r="B154" s="36" t="str">
        <f t="shared" si="55"/>
        <v/>
      </c>
      <c r="C154" s="271"/>
      <c r="D154" s="271"/>
      <c r="E154" s="271"/>
      <c r="F154" s="271"/>
      <c r="G154" s="271"/>
      <c r="H154" s="271"/>
      <c r="I154" s="272"/>
    </row>
    <row r="155" spans="2:9" outlineLevel="1" x14ac:dyDescent="0.25">
      <c r="B155" s="36" t="str">
        <f t="shared" si="55"/>
        <v/>
      </c>
      <c r="C155" s="271"/>
      <c r="D155" s="271"/>
      <c r="E155" s="271"/>
      <c r="F155" s="271"/>
      <c r="G155" s="271"/>
      <c r="H155" s="271"/>
      <c r="I155" s="272"/>
    </row>
    <row r="156" spans="2:9" outlineLevel="1" x14ac:dyDescent="0.25">
      <c r="B156" s="36" t="str">
        <f t="shared" si="55"/>
        <v/>
      </c>
      <c r="C156" s="271"/>
      <c r="D156" s="271"/>
      <c r="E156" s="271"/>
      <c r="F156" s="271"/>
      <c r="G156" s="271"/>
      <c r="H156" s="271"/>
      <c r="I156" s="272"/>
    </row>
    <row r="157" spans="2:9" outlineLevel="1" x14ac:dyDescent="0.25">
      <c r="B157" s="36" t="str">
        <f t="shared" si="55"/>
        <v/>
      </c>
      <c r="C157" s="271"/>
      <c r="D157" s="271"/>
      <c r="E157" s="271"/>
      <c r="F157" s="271"/>
      <c r="G157" s="271"/>
      <c r="H157" s="271"/>
      <c r="I157" s="272"/>
    </row>
    <row r="158" spans="2:9" outlineLevel="1" x14ac:dyDescent="0.25">
      <c r="B158" s="36" t="str">
        <f t="shared" si="55"/>
        <v/>
      </c>
      <c r="C158" s="271"/>
      <c r="D158" s="271"/>
      <c r="E158" s="271"/>
      <c r="F158" s="271"/>
      <c r="G158" s="271"/>
      <c r="H158" s="271"/>
      <c r="I158" s="272"/>
    </row>
    <row r="159" spans="2:9" outlineLevel="1" x14ac:dyDescent="0.25">
      <c r="B159" s="36" t="str">
        <f t="shared" si="55"/>
        <v/>
      </c>
      <c r="C159" s="271"/>
      <c r="D159" s="271"/>
      <c r="E159" s="271"/>
      <c r="F159" s="271"/>
      <c r="G159" s="271"/>
      <c r="H159" s="271"/>
      <c r="I159" s="272"/>
    </row>
    <row r="160" spans="2:9" outlineLevel="1" x14ac:dyDescent="0.25">
      <c r="B160" s="36" t="str">
        <f t="shared" si="55"/>
        <v/>
      </c>
      <c r="C160" s="271"/>
      <c r="D160" s="271"/>
      <c r="E160" s="271"/>
      <c r="F160" s="271"/>
      <c r="G160" s="271"/>
      <c r="H160" s="271"/>
      <c r="I160" s="272"/>
    </row>
    <row r="161" spans="2:22" outlineLevel="1" x14ac:dyDescent="0.25">
      <c r="B161" s="36" t="str">
        <f t="shared" si="55"/>
        <v/>
      </c>
      <c r="C161" s="271"/>
      <c r="D161" s="271"/>
      <c r="E161" s="271"/>
      <c r="F161" s="271"/>
      <c r="G161" s="271"/>
      <c r="H161" s="271"/>
      <c r="I161" s="272"/>
    </row>
    <row r="162" spans="2:22" outlineLevel="1" x14ac:dyDescent="0.25">
      <c r="B162" s="36" t="str">
        <f t="shared" si="55"/>
        <v/>
      </c>
      <c r="C162" s="271"/>
      <c r="D162" s="271"/>
      <c r="E162" s="271"/>
      <c r="F162" s="271"/>
      <c r="G162" s="271"/>
      <c r="H162" s="271"/>
      <c r="I162" s="272"/>
    </row>
    <row r="163" spans="2:22" outlineLevel="1" x14ac:dyDescent="0.25">
      <c r="B163" s="36" t="str">
        <f t="shared" si="55"/>
        <v/>
      </c>
      <c r="C163" s="271"/>
      <c r="D163" s="271"/>
      <c r="E163" s="271"/>
      <c r="F163" s="271"/>
      <c r="G163" s="271"/>
      <c r="H163" s="271"/>
      <c r="I163" s="272"/>
    </row>
    <row r="164" spans="2:22" outlineLevel="1" x14ac:dyDescent="0.25">
      <c r="B164" s="36" t="str">
        <f t="shared" si="55"/>
        <v/>
      </c>
      <c r="C164" s="271"/>
      <c r="D164" s="271"/>
      <c r="E164" s="271"/>
      <c r="F164" s="271"/>
      <c r="G164" s="271"/>
      <c r="H164" s="271"/>
      <c r="I164" s="272"/>
    </row>
    <row r="165" spans="2:22" outlineLevel="1" x14ac:dyDescent="0.25">
      <c r="B165" s="36" t="str">
        <f t="shared" si="55"/>
        <v/>
      </c>
      <c r="C165" s="271"/>
      <c r="D165" s="271"/>
      <c r="E165" s="271"/>
      <c r="F165" s="271"/>
      <c r="G165" s="271"/>
      <c r="H165" s="271"/>
      <c r="I165" s="272"/>
    </row>
    <row r="166" spans="2:22" ht="15.75" outlineLevel="1" thickBot="1" x14ac:dyDescent="0.3">
      <c r="B166" s="36" t="str">
        <f t="shared" si="55"/>
        <v/>
      </c>
      <c r="C166" s="271"/>
      <c r="D166" s="271"/>
      <c r="E166" s="271"/>
      <c r="F166" s="271"/>
      <c r="G166" s="271"/>
      <c r="H166" s="271"/>
      <c r="I166" s="272"/>
    </row>
    <row r="167" spans="2:22" ht="15.75" outlineLevel="1" thickBot="1" x14ac:dyDescent="0.3">
      <c r="B167" s="1447" t="s">
        <v>120</v>
      </c>
      <c r="C167" s="1444">
        <f>SUM(C92:C166)</f>
        <v>487984.06660000002</v>
      </c>
      <c r="D167" s="1444">
        <f t="shared" ref="D167" si="56">SUM(D92:D166)</f>
        <v>488704.75051553332</v>
      </c>
      <c r="E167" s="1444">
        <f t="shared" ref="E167" si="57">SUM(E92:E166)</f>
        <v>488896.85753446905</v>
      </c>
      <c r="F167" s="1444">
        <f t="shared" ref="F167" si="58">SUM(F92:F166)</f>
        <v>488459.38934518269</v>
      </c>
      <c r="G167" s="1444">
        <f t="shared" ref="G167" si="59">SUM(G92:G166)</f>
        <v>491508.68646727281</v>
      </c>
      <c r="H167" s="1444">
        <f t="shared" ref="H167" si="60">SUM(H92:H166)</f>
        <v>494021.2037435504</v>
      </c>
      <c r="I167" s="1446">
        <f t="shared" ref="I167" si="61">SUM(I92:I166)</f>
        <v>495757.86091043468</v>
      </c>
    </row>
    <row r="168" spans="2:22" ht="25.5" customHeight="1" thickBot="1" x14ac:dyDescent="0.3"/>
    <row r="169" spans="2:22" ht="25.5" customHeight="1" thickBot="1" x14ac:dyDescent="0.3">
      <c r="B169" s="250" t="s">
        <v>361</v>
      </c>
      <c r="C169" s="251"/>
      <c r="D169" s="251"/>
      <c r="E169" s="251"/>
      <c r="F169" s="251"/>
      <c r="G169" s="251"/>
      <c r="H169" s="251"/>
      <c r="I169" s="252"/>
    </row>
    <row r="170" spans="2:22" s="398" customFormat="1" ht="25.5" customHeight="1" outlineLevel="1" x14ac:dyDescent="0.25">
      <c r="B170"/>
      <c r="C170" s="1382" t="s">
        <v>159</v>
      </c>
      <c r="D170" s="1383"/>
      <c r="E170" s="1383"/>
      <c r="F170" s="1383"/>
      <c r="G170" s="1383"/>
      <c r="H170" s="1383"/>
      <c r="I170" s="1384"/>
      <c r="J170"/>
      <c r="K170"/>
      <c r="L170"/>
      <c r="M170"/>
      <c r="N170"/>
      <c r="O170"/>
      <c r="P170"/>
      <c r="Q170"/>
      <c r="R170"/>
      <c r="S170"/>
      <c r="T170"/>
      <c r="U170"/>
      <c r="V170"/>
    </row>
    <row r="171" spans="2:22" s="398" customFormat="1" ht="18" customHeight="1" outlineLevel="1" x14ac:dyDescent="0.25">
      <c r="B171" s="63"/>
      <c r="C171" s="1375" t="s">
        <v>228</v>
      </c>
      <c r="D171" s="1376"/>
      <c r="E171" s="1376"/>
      <c r="F171" s="1376"/>
      <c r="G171" s="1376"/>
      <c r="H171" s="1376"/>
      <c r="I171" s="1377"/>
      <c r="J171"/>
      <c r="K171"/>
      <c r="L171"/>
      <c r="M171"/>
      <c r="N171"/>
      <c r="O171"/>
      <c r="P171"/>
      <c r="Q171"/>
      <c r="R171"/>
      <c r="S171"/>
      <c r="T171"/>
      <c r="U171"/>
      <c r="V171"/>
    </row>
    <row r="172" spans="2:22" s="398" customFormat="1" ht="15.75" outlineLevel="1" thickBot="1" x14ac:dyDescent="0.3">
      <c r="B172" s="319"/>
      <c r="C172" s="405" t="str">
        <f ca="1">dms_y1</f>
        <v>2024-25</v>
      </c>
      <c r="D172" s="1394" t="str">
        <f ca="1">dms_y2</f>
        <v>2025-26</v>
      </c>
      <c r="E172" s="305" t="str">
        <f ca="1">dms_y3</f>
        <v>2026-27</v>
      </c>
      <c r="F172" s="305" t="str">
        <f ca="1">dms_y4</f>
        <v>2027-28</v>
      </c>
      <c r="G172" s="305" t="str">
        <f ca="1">dms_y5</f>
        <v>2028-29</v>
      </c>
      <c r="H172" s="305" t="str">
        <f ca="1">dms_y6</f>
        <v>2029-30</v>
      </c>
      <c r="I172" s="406" t="str">
        <f ca="1">dms_y7</f>
        <v>2030-31</v>
      </c>
      <c r="J172"/>
      <c r="K172"/>
      <c r="L172"/>
      <c r="M172"/>
      <c r="N172"/>
      <c r="O172"/>
      <c r="P172"/>
      <c r="Q172"/>
      <c r="R172"/>
      <c r="S172"/>
      <c r="T172"/>
      <c r="U172"/>
      <c r="V172"/>
    </row>
    <row r="173" spans="2:22" outlineLevel="1" x14ac:dyDescent="0.25">
      <c r="B173" s="630" t="str">
        <f t="shared" ref="B173:B204" si="62">IF(ISBLANK(B11),"",B11)</f>
        <v>Residential - SA excl New Towns (GJ/d)</v>
      </c>
      <c r="C173" s="271">
        <v>7089.0282801091835</v>
      </c>
      <c r="D173" s="271">
        <v>6913.62824575387</v>
      </c>
      <c r="E173" s="271">
        <v>6623.7602007078958</v>
      </c>
      <c r="F173" s="271">
        <v>6661.9250273134976</v>
      </c>
      <c r="G173" s="271">
        <v>6787.7876294832104</v>
      </c>
      <c r="H173" s="271">
        <v>6567.4047893550505</v>
      </c>
      <c r="I173" s="272">
        <v>6093.7727364396333</v>
      </c>
    </row>
    <row r="174" spans="2:22" outlineLevel="1" x14ac:dyDescent="0.25">
      <c r="B174" s="630" t="str">
        <f t="shared" si="62"/>
        <v>Residential - New Towns (GJ/d)</v>
      </c>
      <c r="C174" s="271">
        <v>49.351719890816753</v>
      </c>
      <c r="D174" s="271">
        <v>55.971754246129933</v>
      </c>
      <c r="E174" s="271">
        <v>63.479799292103678</v>
      </c>
      <c r="F174" s="271">
        <v>71.994972686502592</v>
      </c>
      <c r="G174" s="271">
        <v>81.652370516789119</v>
      </c>
      <c r="H174" s="271">
        <v>92.605210644950262</v>
      </c>
      <c r="I174" s="272">
        <v>105.02726356036771</v>
      </c>
    </row>
    <row r="175" spans="2:22" outlineLevel="1" x14ac:dyDescent="0.25">
      <c r="B175" s="630" t="str">
        <f t="shared" si="62"/>
        <v>Commercial - SA excl New Towns (GJ/d)</v>
      </c>
      <c r="C175" s="271">
        <v>165.28786301369863</v>
      </c>
      <c r="D175" s="271">
        <v>163.23739481369864</v>
      </c>
      <c r="E175" s="271">
        <v>159.99634932689864</v>
      </c>
      <c r="F175" s="271">
        <v>159.00480643607247</v>
      </c>
      <c r="G175" s="271">
        <v>155.60920895877072</v>
      </c>
      <c r="H175" s="271">
        <v>152.08816564230386</v>
      </c>
      <c r="I175" s="272">
        <v>148.37509607262916</v>
      </c>
    </row>
    <row r="176" spans="2:22" outlineLevel="1" x14ac:dyDescent="0.25">
      <c r="B176" s="630" t="str">
        <f t="shared" si="62"/>
        <v>Commercial - New Towns (GJ/d)</v>
      </c>
      <c r="C176" s="271">
        <v>1.2301369863013676</v>
      </c>
      <c r="D176" s="271">
        <v>1.2301369863013676</v>
      </c>
      <c r="E176" s="271">
        <v>1.2301369863013676</v>
      </c>
      <c r="F176" s="271">
        <v>1.2301369863013676</v>
      </c>
      <c r="G176" s="271">
        <v>1.2301369863013676</v>
      </c>
      <c r="H176" s="271">
        <v>1.2301369863013676</v>
      </c>
      <c r="I176" s="272">
        <v>1.2301369863013676</v>
      </c>
    </row>
    <row r="177" spans="2:9" outlineLevel="1" x14ac:dyDescent="0.25">
      <c r="B177" s="630" t="str">
        <f t="shared" si="62"/>
        <v xml:space="preserve">Tariff D Zone - Northern </v>
      </c>
      <c r="C177" s="271">
        <v>0</v>
      </c>
      <c r="D177" s="271">
        <v>0</v>
      </c>
      <c r="E177" s="271">
        <v>0</v>
      </c>
      <c r="F177" s="271">
        <v>0</v>
      </c>
      <c r="G177" s="271">
        <v>0</v>
      </c>
      <c r="H177" s="271">
        <v>0</v>
      </c>
      <c r="I177" s="272">
        <v>0</v>
      </c>
    </row>
    <row r="178" spans="2:9" outlineLevel="1" x14ac:dyDescent="0.25">
      <c r="B178" s="630" t="str">
        <f t="shared" si="62"/>
        <v>Tariff D Zone - Central</v>
      </c>
      <c r="C178" s="271">
        <v>0</v>
      </c>
      <c r="D178" s="271">
        <v>0</v>
      </c>
      <c r="E178" s="271">
        <v>0</v>
      </c>
      <c r="F178" s="271">
        <v>0</v>
      </c>
      <c r="G178" s="271">
        <v>0</v>
      </c>
      <c r="H178" s="271">
        <v>0</v>
      </c>
      <c r="I178" s="272">
        <v>0</v>
      </c>
    </row>
    <row r="179" spans="2:9" outlineLevel="1" x14ac:dyDescent="0.25">
      <c r="B179" s="630" t="str">
        <f t="shared" si="62"/>
        <v xml:space="preserve">Tariff D Zone - Southern </v>
      </c>
      <c r="C179" s="271">
        <v>0</v>
      </c>
      <c r="D179" s="271">
        <v>0</v>
      </c>
      <c r="E179" s="271">
        <v>0</v>
      </c>
      <c r="F179" s="271">
        <v>0</v>
      </c>
      <c r="G179" s="271">
        <v>0</v>
      </c>
      <c r="H179" s="271">
        <v>0</v>
      </c>
      <c r="I179" s="272">
        <v>0</v>
      </c>
    </row>
    <row r="180" spans="2:9" outlineLevel="1" x14ac:dyDescent="0.25">
      <c r="B180" s="630" t="str">
        <f t="shared" si="62"/>
        <v>Tariff D Zone - Peterborough</v>
      </c>
      <c r="C180" s="271">
        <v>0</v>
      </c>
      <c r="D180" s="271">
        <v>0</v>
      </c>
      <c r="E180" s="271">
        <v>0</v>
      </c>
      <c r="F180" s="271">
        <v>0</v>
      </c>
      <c r="G180" s="271">
        <v>0</v>
      </c>
      <c r="H180" s="271">
        <v>0</v>
      </c>
      <c r="I180" s="272">
        <v>0</v>
      </c>
    </row>
    <row r="181" spans="2:9" outlineLevel="1" x14ac:dyDescent="0.25">
      <c r="B181" s="630" t="str">
        <f t="shared" si="62"/>
        <v>Tariff D Zone - Port Pirie</v>
      </c>
      <c r="C181" s="1513"/>
      <c r="D181" s="1513"/>
      <c r="E181" s="1513"/>
      <c r="F181" s="1513"/>
      <c r="G181" s="1513"/>
      <c r="H181" s="1513"/>
      <c r="I181" s="1545"/>
    </row>
    <row r="182" spans="2:9" outlineLevel="1" x14ac:dyDescent="0.25">
      <c r="B182" s="630" t="str">
        <f t="shared" si="62"/>
        <v>Tariff D Zone - Riverland</v>
      </c>
      <c r="C182" s="1513"/>
      <c r="D182" s="1513"/>
      <c r="E182" s="1513"/>
      <c r="F182" s="1513"/>
      <c r="G182" s="1513"/>
      <c r="H182" s="1513"/>
      <c r="I182" s="1545"/>
    </row>
    <row r="183" spans="2:9" outlineLevel="1" x14ac:dyDescent="0.25">
      <c r="B183" s="630" t="str">
        <f t="shared" si="62"/>
        <v>Tariff D Zone - South East</v>
      </c>
      <c r="C183" s="1513"/>
      <c r="D183" s="1513"/>
      <c r="E183" s="1513"/>
      <c r="F183" s="1513"/>
      <c r="G183" s="1513"/>
      <c r="H183" s="1513"/>
      <c r="I183" s="1545"/>
    </row>
    <row r="184" spans="2:9" outlineLevel="1" x14ac:dyDescent="0.25">
      <c r="B184" s="630" t="str">
        <f t="shared" si="62"/>
        <v>Tariff D Zone - Whyalla</v>
      </c>
      <c r="C184" s="1513"/>
      <c r="D184" s="1513"/>
      <c r="E184" s="1513"/>
      <c r="F184" s="1513"/>
      <c r="G184" s="1513"/>
      <c r="H184" s="1513"/>
      <c r="I184" s="1545"/>
    </row>
    <row r="185" spans="2:9" outlineLevel="1" x14ac:dyDescent="0.25">
      <c r="B185" s="630" t="str">
        <f t="shared" si="62"/>
        <v/>
      </c>
      <c r="C185" s="271"/>
      <c r="D185" s="271"/>
      <c r="E185" s="271"/>
      <c r="F185" s="271"/>
      <c r="G185" s="271"/>
      <c r="H185" s="271"/>
      <c r="I185" s="272"/>
    </row>
    <row r="186" spans="2:9" outlineLevel="1" x14ac:dyDescent="0.25">
      <c r="B186" s="630" t="str">
        <f t="shared" si="62"/>
        <v/>
      </c>
      <c r="C186" s="271"/>
      <c r="D186" s="271"/>
      <c r="E186" s="271"/>
      <c r="F186" s="271"/>
      <c r="G186" s="271"/>
      <c r="H186" s="271"/>
      <c r="I186" s="272"/>
    </row>
    <row r="187" spans="2:9" outlineLevel="1" x14ac:dyDescent="0.25">
      <c r="B187" s="630" t="str">
        <f t="shared" si="62"/>
        <v/>
      </c>
      <c r="C187" s="271"/>
      <c r="D187" s="271"/>
      <c r="E187" s="271"/>
      <c r="F187" s="271"/>
      <c r="G187" s="271"/>
      <c r="H187" s="271"/>
      <c r="I187" s="272"/>
    </row>
    <row r="188" spans="2:9" outlineLevel="1" x14ac:dyDescent="0.25">
      <c r="B188" s="630" t="str">
        <f t="shared" si="62"/>
        <v/>
      </c>
      <c r="C188" s="271"/>
      <c r="D188" s="271"/>
      <c r="E188" s="271"/>
      <c r="F188" s="271"/>
      <c r="G188" s="271"/>
      <c r="H188" s="271"/>
      <c r="I188" s="272"/>
    </row>
    <row r="189" spans="2:9" outlineLevel="1" x14ac:dyDescent="0.25">
      <c r="B189" s="630" t="str">
        <f t="shared" si="62"/>
        <v/>
      </c>
      <c r="C189" s="271"/>
      <c r="D189" s="271"/>
      <c r="E189" s="271"/>
      <c r="F189" s="271"/>
      <c r="G189" s="271"/>
      <c r="H189" s="271"/>
      <c r="I189" s="272"/>
    </row>
    <row r="190" spans="2:9" outlineLevel="1" x14ac:dyDescent="0.25">
      <c r="B190" s="630" t="str">
        <f t="shared" si="62"/>
        <v/>
      </c>
      <c r="C190" s="271"/>
      <c r="D190" s="271"/>
      <c r="E190" s="271"/>
      <c r="F190" s="271"/>
      <c r="G190" s="271"/>
      <c r="H190" s="271"/>
      <c r="I190" s="272"/>
    </row>
    <row r="191" spans="2:9" outlineLevel="1" x14ac:dyDescent="0.25">
      <c r="B191" s="630" t="str">
        <f t="shared" si="62"/>
        <v/>
      </c>
      <c r="C191" s="271"/>
      <c r="D191" s="271"/>
      <c r="E191" s="271"/>
      <c r="F191" s="271"/>
      <c r="G191" s="271"/>
      <c r="H191" s="271"/>
      <c r="I191" s="272"/>
    </row>
    <row r="192" spans="2:9" outlineLevel="1" x14ac:dyDescent="0.25">
      <c r="B192" s="630" t="str">
        <f t="shared" si="62"/>
        <v/>
      </c>
      <c r="C192" s="271"/>
      <c r="D192" s="271"/>
      <c r="E192" s="271"/>
      <c r="F192" s="271"/>
      <c r="G192" s="271"/>
      <c r="H192" s="271"/>
      <c r="I192" s="272"/>
    </row>
    <row r="193" spans="2:9" outlineLevel="1" x14ac:dyDescent="0.25">
      <c r="B193" s="630" t="str">
        <f t="shared" si="62"/>
        <v/>
      </c>
      <c r="C193" s="271"/>
      <c r="D193" s="271"/>
      <c r="E193" s="271"/>
      <c r="F193" s="271"/>
      <c r="G193" s="271"/>
      <c r="H193" s="271"/>
      <c r="I193" s="272"/>
    </row>
    <row r="194" spans="2:9" outlineLevel="1" x14ac:dyDescent="0.25">
      <c r="B194" s="630" t="str">
        <f t="shared" si="62"/>
        <v/>
      </c>
      <c r="C194" s="271"/>
      <c r="D194" s="271"/>
      <c r="E194" s="271"/>
      <c r="F194" s="271"/>
      <c r="G194" s="271"/>
      <c r="H194" s="271"/>
      <c r="I194" s="272"/>
    </row>
    <row r="195" spans="2:9" outlineLevel="1" x14ac:dyDescent="0.25">
      <c r="B195" s="36" t="str">
        <f t="shared" si="62"/>
        <v/>
      </c>
      <c r="C195" s="271"/>
      <c r="D195" s="271"/>
      <c r="E195" s="271"/>
      <c r="F195" s="271"/>
      <c r="G195" s="271"/>
      <c r="H195" s="271"/>
      <c r="I195" s="272"/>
    </row>
    <row r="196" spans="2:9" outlineLevel="1" x14ac:dyDescent="0.25">
      <c r="B196" s="36" t="str">
        <f t="shared" si="62"/>
        <v/>
      </c>
      <c r="C196" s="271"/>
      <c r="D196" s="271"/>
      <c r="E196" s="271"/>
      <c r="F196" s="271"/>
      <c r="G196" s="271"/>
      <c r="H196" s="271"/>
      <c r="I196" s="272"/>
    </row>
    <row r="197" spans="2:9" outlineLevel="1" x14ac:dyDescent="0.25">
      <c r="B197" s="36" t="str">
        <f t="shared" si="62"/>
        <v/>
      </c>
      <c r="C197" s="271"/>
      <c r="D197" s="271"/>
      <c r="E197" s="271"/>
      <c r="F197" s="271"/>
      <c r="G197" s="271"/>
      <c r="H197" s="271"/>
      <c r="I197" s="272"/>
    </row>
    <row r="198" spans="2:9" outlineLevel="1" x14ac:dyDescent="0.25">
      <c r="B198" s="36" t="str">
        <f t="shared" si="62"/>
        <v/>
      </c>
      <c r="C198" s="271"/>
      <c r="D198" s="271"/>
      <c r="E198" s="271"/>
      <c r="F198" s="271"/>
      <c r="G198" s="271"/>
      <c r="H198" s="271"/>
      <c r="I198" s="272"/>
    </row>
    <row r="199" spans="2:9" outlineLevel="1" x14ac:dyDescent="0.25">
      <c r="B199" s="36" t="str">
        <f t="shared" si="62"/>
        <v/>
      </c>
      <c r="C199" s="271"/>
      <c r="D199" s="271"/>
      <c r="E199" s="271"/>
      <c r="F199" s="271"/>
      <c r="G199" s="271"/>
      <c r="H199" s="271"/>
      <c r="I199" s="272"/>
    </row>
    <row r="200" spans="2:9" outlineLevel="1" x14ac:dyDescent="0.25">
      <c r="B200" s="36" t="str">
        <f t="shared" si="62"/>
        <v/>
      </c>
      <c r="C200" s="271"/>
      <c r="D200" s="271"/>
      <c r="E200" s="271"/>
      <c r="F200" s="271"/>
      <c r="G200" s="271"/>
      <c r="H200" s="271"/>
      <c r="I200" s="272"/>
    </row>
    <row r="201" spans="2:9" outlineLevel="1" x14ac:dyDescent="0.25">
      <c r="B201" s="36" t="str">
        <f t="shared" si="62"/>
        <v/>
      </c>
      <c r="C201" s="271"/>
      <c r="D201" s="271"/>
      <c r="E201" s="271"/>
      <c r="F201" s="271"/>
      <c r="G201" s="271"/>
      <c r="H201" s="271"/>
      <c r="I201" s="272"/>
    </row>
    <row r="202" spans="2:9" outlineLevel="1" x14ac:dyDescent="0.25">
      <c r="B202" s="36" t="str">
        <f t="shared" si="62"/>
        <v/>
      </c>
      <c r="C202" s="271"/>
      <c r="D202" s="271"/>
      <c r="E202" s="271"/>
      <c r="F202" s="271"/>
      <c r="G202" s="271"/>
      <c r="H202" s="271"/>
      <c r="I202" s="272"/>
    </row>
    <row r="203" spans="2:9" outlineLevel="1" x14ac:dyDescent="0.25">
      <c r="B203" s="36" t="str">
        <f t="shared" si="62"/>
        <v/>
      </c>
      <c r="C203" s="271"/>
      <c r="D203" s="271"/>
      <c r="E203" s="271"/>
      <c r="F203" s="271"/>
      <c r="G203" s="271"/>
      <c r="H203" s="271"/>
      <c r="I203" s="272"/>
    </row>
    <row r="204" spans="2:9" outlineLevel="1" x14ac:dyDescent="0.25">
      <c r="B204" s="36" t="str">
        <f t="shared" si="62"/>
        <v/>
      </c>
      <c r="C204" s="271"/>
      <c r="D204" s="271"/>
      <c r="E204" s="271"/>
      <c r="F204" s="271"/>
      <c r="G204" s="271"/>
      <c r="H204" s="271"/>
      <c r="I204" s="272"/>
    </row>
    <row r="205" spans="2:9" outlineLevel="1" x14ac:dyDescent="0.25">
      <c r="B205" s="36" t="str">
        <f t="shared" ref="B205:B221" si="63">IF(ISBLANK(B43),"",B43)</f>
        <v/>
      </c>
      <c r="C205" s="271"/>
      <c r="D205" s="271"/>
      <c r="E205" s="271"/>
      <c r="F205" s="271"/>
      <c r="G205" s="271"/>
      <c r="H205" s="271"/>
      <c r="I205" s="272"/>
    </row>
    <row r="206" spans="2:9" outlineLevel="1" x14ac:dyDescent="0.25">
      <c r="B206" s="36" t="str">
        <f t="shared" si="63"/>
        <v/>
      </c>
      <c r="C206" s="271"/>
      <c r="D206" s="271"/>
      <c r="E206" s="271"/>
      <c r="F206" s="271"/>
      <c r="G206" s="271"/>
      <c r="H206" s="271"/>
      <c r="I206" s="272"/>
    </row>
    <row r="207" spans="2:9" outlineLevel="1" x14ac:dyDescent="0.25">
      <c r="B207" s="36" t="str">
        <f t="shared" si="63"/>
        <v/>
      </c>
      <c r="C207" s="271"/>
      <c r="D207" s="271"/>
      <c r="E207" s="271"/>
      <c r="F207" s="271"/>
      <c r="G207" s="271"/>
      <c r="H207" s="271"/>
      <c r="I207" s="272"/>
    </row>
    <row r="208" spans="2:9" outlineLevel="1" x14ac:dyDescent="0.25">
      <c r="B208" s="36" t="str">
        <f t="shared" si="63"/>
        <v/>
      </c>
      <c r="C208" s="271"/>
      <c r="D208" s="271"/>
      <c r="E208" s="271"/>
      <c r="F208" s="271"/>
      <c r="G208" s="271"/>
      <c r="H208" s="271"/>
      <c r="I208" s="272"/>
    </row>
    <row r="209" spans="2:9" outlineLevel="1" x14ac:dyDescent="0.25">
      <c r="B209" s="36" t="str">
        <f t="shared" si="63"/>
        <v/>
      </c>
      <c r="C209" s="271"/>
      <c r="D209" s="271"/>
      <c r="E209" s="271"/>
      <c r="F209" s="271"/>
      <c r="G209" s="271"/>
      <c r="H209" s="271"/>
      <c r="I209" s="272"/>
    </row>
    <row r="210" spans="2:9" outlineLevel="1" x14ac:dyDescent="0.25">
      <c r="B210" s="36" t="str">
        <f t="shared" si="63"/>
        <v/>
      </c>
      <c r="C210" s="271"/>
      <c r="D210" s="271"/>
      <c r="E210" s="271"/>
      <c r="F210" s="271"/>
      <c r="G210" s="271"/>
      <c r="H210" s="271"/>
      <c r="I210" s="272"/>
    </row>
    <row r="211" spans="2:9" outlineLevel="1" x14ac:dyDescent="0.25">
      <c r="B211" s="36" t="str">
        <f t="shared" si="63"/>
        <v/>
      </c>
      <c r="C211" s="271"/>
      <c r="D211" s="271"/>
      <c r="E211" s="271"/>
      <c r="F211" s="271"/>
      <c r="G211" s="271"/>
      <c r="H211" s="271"/>
      <c r="I211" s="272"/>
    </row>
    <row r="212" spans="2:9" outlineLevel="1" x14ac:dyDescent="0.25">
      <c r="B212" s="36" t="str">
        <f t="shared" si="63"/>
        <v/>
      </c>
      <c r="C212" s="271"/>
      <c r="D212" s="271"/>
      <c r="E212" s="271"/>
      <c r="F212" s="271"/>
      <c r="G212" s="271"/>
      <c r="H212" s="271"/>
      <c r="I212" s="272"/>
    </row>
    <row r="213" spans="2:9" outlineLevel="1" x14ac:dyDescent="0.25">
      <c r="B213" s="36" t="str">
        <f t="shared" si="63"/>
        <v/>
      </c>
      <c r="C213" s="271"/>
      <c r="D213" s="271"/>
      <c r="E213" s="271"/>
      <c r="F213" s="271"/>
      <c r="G213" s="271"/>
      <c r="H213" s="271"/>
      <c r="I213" s="272"/>
    </row>
    <row r="214" spans="2:9" outlineLevel="1" x14ac:dyDescent="0.25">
      <c r="B214" s="36" t="str">
        <f t="shared" si="63"/>
        <v/>
      </c>
      <c r="C214" s="271"/>
      <c r="D214" s="271"/>
      <c r="E214" s="271"/>
      <c r="F214" s="271"/>
      <c r="G214" s="271"/>
      <c r="H214" s="271"/>
      <c r="I214" s="272"/>
    </row>
    <row r="215" spans="2:9" outlineLevel="1" x14ac:dyDescent="0.25">
      <c r="B215" s="36" t="str">
        <f t="shared" si="63"/>
        <v/>
      </c>
      <c r="C215" s="271"/>
      <c r="D215" s="271"/>
      <c r="E215" s="271"/>
      <c r="F215" s="271"/>
      <c r="G215" s="271"/>
      <c r="H215" s="271"/>
      <c r="I215" s="272"/>
    </row>
    <row r="216" spans="2:9" outlineLevel="1" x14ac:dyDescent="0.25">
      <c r="B216" s="36" t="str">
        <f t="shared" si="63"/>
        <v/>
      </c>
      <c r="C216" s="271"/>
      <c r="D216" s="271"/>
      <c r="E216" s="271"/>
      <c r="F216" s="271"/>
      <c r="G216" s="271"/>
      <c r="H216" s="271"/>
      <c r="I216" s="272"/>
    </row>
    <row r="217" spans="2:9" outlineLevel="1" x14ac:dyDescent="0.25">
      <c r="B217" s="36" t="str">
        <f t="shared" si="63"/>
        <v/>
      </c>
      <c r="C217" s="271"/>
      <c r="D217" s="271"/>
      <c r="E217" s="271"/>
      <c r="F217" s="271"/>
      <c r="G217" s="271"/>
      <c r="H217" s="271"/>
      <c r="I217" s="272"/>
    </row>
    <row r="218" spans="2:9" outlineLevel="1" x14ac:dyDescent="0.25">
      <c r="B218" s="36" t="str">
        <f t="shared" si="63"/>
        <v/>
      </c>
      <c r="C218" s="271"/>
      <c r="D218" s="271"/>
      <c r="E218" s="271"/>
      <c r="F218" s="271"/>
      <c r="G218" s="271"/>
      <c r="H218" s="271"/>
      <c r="I218" s="272"/>
    </row>
    <row r="219" spans="2:9" outlineLevel="1" x14ac:dyDescent="0.25">
      <c r="B219" s="36" t="str">
        <f t="shared" si="63"/>
        <v/>
      </c>
      <c r="C219" s="271"/>
      <c r="D219" s="271"/>
      <c r="E219" s="271"/>
      <c r="F219" s="271"/>
      <c r="G219" s="271"/>
      <c r="H219" s="271"/>
      <c r="I219" s="272"/>
    </row>
    <row r="220" spans="2:9" outlineLevel="1" x14ac:dyDescent="0.25">
      <c r="B220" s="36" t="str">
        <f t="shared" si="63"/>
        <v/>
      </c>
      <c r="C220" s="271"/>
      <c r="D220" s="271"/>
      <c r="E220" s="271"/>
      <c r="F220" s="271"/>
      <c r="G220" s="271"/>
      <c r="H220" s="271"/>
      <c r="I220" s="272"/>
    </row>
    <row r="221" spans="2:9" outlineLevel="1" x14ac:dyDescent="0.25">
      <c r="B221" s="36" t="str">
        <f t="shared" si="63"/>
        <v/>
      </c>
      <c r="C221" s="271"/>
      <c r="D221" s="271"/>
      <c r="E221" s="271"/>
      <c r="F221" s="271"/>
      <c r="G221" s="271"/>
      <c r="H221" s="271"/>
      <c r="I221" s="272"/>
    </row>
    <row r="222" spans="2:9" outlineLevel="1" x14ac:dyDescent="0.25">
      <c r="B222" s="36" t="str">
        <f t="shared" ref="B222:B247" si="64">IF(ISBLANK(B60),"",B60)</f>
        <v/>
      </c>
      <c r="C222" s="557"/>
      <c r="D222" s="557"/>
      <c r="E222" s="557"/>
      <c r="F222" s="557"/>
      <c r="G222" s="557"/>
      <c r="H222" s="557"/>
      <c r="I222" s="662"/>
    </row>
    <row r="223" spans="2:9" outlineLevel="1" x14ac:dyDescent="0.25">
      <c r="B223" s="36" t="str">
        <f t="shared" si="64"/>
        <v/>
      </c>
      <c r="C223" s="557"/>
      <c r="D223" s="557"/>
      <c r="E223" s="557"/>
      <c r="F223" s="557"/>
      <c r="G223" s="557"/>
      <c r="H223" s="557"/>
      <c r="I223" s="662"/>
    </row>
    <row r="224" spans="2:9" outlineLevel="1" x14ac:dyDescent="0.25">
      <c r="B224" s="36" t="str">
        <f t="shared" si="64"/>
        <v/>
      </c>
      <c r="C224" s="557"/>
      <c r="D224" s="557"/>
      <c r="E224" s="557"/>
      <c r="F224" s="557"/>
      <c r="G224" s="557"/>
      <c r="H224" s="557"/>
      <c r="I224" s="662"/>
    </row>
    <row r="225" spans="2:9" outlineLevel="1" x14ac:dyDescent="0.25">
      <c r="B225" s="36" t="str">
        <f t="shared" si="64"/>
        <v/>
      </c>
      <c r="C225" s="557"/>
      <c r="D225" s="557"/>
      <c r="E225" s="557"/>
      <c r="F225" s="557"/>
      <c r="G225" s="557"/>
      <c r="H225" s="557"/>
      <c r="I225" s="662"/>
    </row>
    <row r="226" spans="2:9" outlineLevel="1" x14ac:dyDescent="0.25">
      <c r="B226" s="36" t="str">
        <f t="shared" si="64"/>
        <v/>
      </c>
      <c r="C226" s="557"/>
      <c r="D226" s="557"/>
      <c r="E226" s="557"/>
      <c r="F226" s="557"/>
      <c r="G226" s="557"/>
      <c r="H226" s="557"/>
      <c r="I226" s="662"/>
    </row>
    <row r="227" spans="2:9" outlineLevel="1" x14ac:dyDescent="0.25">
      <c r="B227" s="36" t="str">
        <f t="shared" si="64"/>
        <v/>
      </c>
      <c r="C227" s="557"/>
      <c r="D227" s="557"/>
      <c r="E227" s="557"/>
      <c r="F227" s="557"/>
      <c r="G227" s="557"/>
      <c r="H227" s="557"/>
      <c r="I227" s="662"/>
    </row>
    <row r="228" spans="2:9" outlineLevel="1" x14ac:dyDescent="0.25">
      <c r="B228" s="36" t="str">
        <f t="shared" si="64"/>
        <v/>
      </c>
      <c r="C228" s="557"/>
      <c r="D228" s="557"/>
      <c r="E228" s="557"/>
      <c r="F228" s="557"/>
      <c r="G228" s="557"/>
      <c r="H228" s="557"/>
      <c r="I228" s="662"/>
    </row>
    <row r="229" spans="2:9" outlineLevel="1" x14ac:dyDescent="0.25">
      <c r="B229" s="36" t="str">
        <f t="shared" si="64"/>
        <v/>
      </c>
      <c r="C229" s="557"/>
      <c r="D229" s="557"/>
      <c r="E229" s="557"/>
      <c r="F229" s="557"/>
      <c r="G229" s="557"/>
      <c r="H229" s="557"/>
      <c r="I229" s="662"/>
    </row>
    <row r="230" spans="2:9" outlineLevel="1" x14ac:dyDescent="0.25">
      <c r="B230" s="36" t="str">
        <f t="shared" si="64"/>
        <v/>
      </c>
      <c r="C230" s="557"/>
      <c r="D230" s="557"/>
      <c r="E230" s="557"/>
      <c r="F230" s="557"/>
      <c r="G230" s="557"/>
      <c r="H230" s="557"/>
      <c r="I230" s="662"/>
    </row>
    <row r="231" spans="2:9" outlineLevel="1" x14ac:dyDescent="0.25">
      <c r="B231" s="36" t="str">
        <f t="shared" si="64"/>
        <v/>
      </c>
      <c r="C231" s="557"/>
      <c r="D231" s="557"/>
      <c r="E231" s="557"/>
      <c r="F231" s="557"/>
      <c r="G231" s="557"/>
      <c r="H231" s="557"/>
      <c r="I231" s="662"/>
    </row>
    <row r="232" spans="2:9" outlineLevel="1" x14ac:dyDescent="0.25">
      <c r="B232" s="36" t="str">
        <f t="shared" si="64"/>
        <v/>
      </c>
      <c r="C232" s="557"/>
      <c r="D232" s="557"/>
      <c r="E232" s="557"/>
      <c r="F232" s="557"/>
      <c r="G232" s="557"/>
      <c r="H232" s="557"/>
      <c r="I232" s="662"/>
    </row>
    <row r="233" spans="2:9" outlineLevel="1" x14ac:dyDescent="0.25">
      <c r="B233" s="36" t="str">
        <f t="shared" si="64"/>
        <v/>
      </c>
      <c r="C233" s="557"/>
      <c r="D233" s="557"/>
      <c r="E233" s="557"/>
      <c r="F233" s="557"/>
      <c r="G233" s="557"/>
      <c r="H233" s="557"/>
      <c r="I233" s="662"/>
    </row>
    <row r="234" spans="2:9" outlineLevel="1" x14ac:dyDescent="0.25">
      <c r="B234" s="36" t="str">
        <f t="shared" si="64"/>
        <v/>
      </c>
      <c r="C234" s="557"/>
      <c r="D234" s="557"/>
      <c r="E234" s="557"/>
      <c r="F234" s="557"/>
      <c r="G234" s="557"/>
      <c r="H234" s="557"/>
      <c r="I234" s="662"/>
    </row>
    <row r="235" spans="2:9" outlineLevel="1" x14ac:dyDescent="0.25">
      <c r="B235" s="36" t="str">
        <f t="shared" si="64"/>
        <v/>
      </c>
      <c r="C235" s="557"/>
      <c r="D235" s="557"/>
      <c r="E235" s="557"/>
      <c r="F235" s="557"/>
      <c r="G235" s="557"/>
      <c r="H235" s="557"/>
      <c r="I235" s="662"/>
    </row>
    <row r="236" spans="2:9" outlineLevel="1" x14ac:dyDescent="0.25">
      <c r="B236" s="36" t="str">
        <f t="shared" si="64"/>
        <v/>
      </c>
      <c r="C236" s="557"/>
      <c r="D236" s="557"/>
      <c r="E236" s="557"/>
      <c r="F236" s="557"/>
      <c r="G236" s="557"/>
      <c r="H236" s="557"/>
      <c r="I236" s="662"/>
    </row>
    <row r="237" spans="2:9" outlineLevel="1" x14ac:dyDescent="0.25">
      <c r="B237" s="36" t="str">
        <f t="shared" si="64"/>
        <v/>
      </c>
      <c r="C237" s="557"/>
      <c r="D237" s="557"/>
      <c r="E237" s="557"/>
      <c r="F237" s="557"/>
      <c r="G237" s="557"/>
      <c r="H237" s="557"/>
      <c r="I237" s="662"/>
    </row>
    <row r="238" spans="2:9" outlineLevel="1" x14ac:dyDescent="0.25">
      <c r="B238" s="36" t="str">
        <f t="shared" si="64"/>
        <v/>
      </c>
      <c r="C238" s="557"/>
      <c r="D238" s="557"/>
      <c r="E238" s="557"/>
      <c r="F238" s="557"/>
      <c r="G238" s="557"/>
      <c r="H238" s="557"/>
      <c r="I238" s="662"/>
    </row>
    <row r="239" spans="2:9" outlineLevel="1" x14ac:dyDescent="0.25">
      <c r="B239" s="36" t="str">
        <f t="shared" si="64"/>
        <v/>
      </c>
      <c r="C239" s="557"/>
      <c r="D239" s="557"/>
      <c r="E239" s="557"/>
      <c r="F239" s="557"/>
      <c r="G239" s="557"/>
      <c r="H239" s="557"/>
      <c r="I239" s="662"/>
    </row>
    <row r="240" spans="2:9" outlineLevel="1" x14ac:dyDescent="0.25">
      <c r="B240" s="36" t="str">
        <f t="shared" si="64"/>
        <v/>
      </c>
      <c r="C240" s="557"/>
      <c r="D240" s="557"/>
      <c r="E240" s="557"/>
      <c r="F240" s="557"/>
      <c r="G240" s="557"/>
      <c r="H240" s="557"/>
      <c r="I240" s="662"/>
    </row>
    <row r="241" spans="1:85" outlineLevel="1" x14ac:dyDescent="0.25">
      <c r="B241" s="36" t="str">
        <f t="shared" si="64"/>
        <v/>
      </c>
      <c r="C241" s="557"/>
      <c r="D241" s="557"/>
      <c r="E241" s="557"/>
      <c r="F241" s="557"/>
      <c r="G241" s="557"/>
      <c r="H241" s="557"/>
      <c r="I241" s="662"/>
    </row>
    <row r="242" spans="1:85" outlineLevel="1" x14ac:dyDescent="0.25">
      <c r="B242" s="36" t="str">
        <f t="shared" si="64"/>
        <v/>
      </c>
      <c r="C242" s="557"/>
      <c r="D242" s="557"/>
      <c r="E242" s="557"/>
      <c r="F242" s="557"/>
      <c r="G242" s="557"/>
      <c r="H242" s="557"/>
      <c r="I242" s="662"/>
    </row>
    <row r="243" spans="1:85" outlineLevel="1" x14ac:dyDescent="0.25">
      <c r="B243" s="36" t="str">
        <f t="shared" si="64"/>
        <v/>
      </c>
      <c r="C243" s="557"/>
      <c r="D243" s="557"/>
      <c r="E243" s="557"/>
      <c r="F243" s="557"/>
      <c r="G243" s="557"/>
      <c r="H243" s="557"/>
      <c r="I243" s="662"/>
    </row>
    <row r="244" spans="1:85" outlineLevel="1" x14ac:dyDescent="0.25">
      <c r="B244" s="36" t="str">
        <f t="shared" si="64"/>
        <v/>
      </c>
      <c r="C244" s="557"/>
      <c r="D244" s="557"/>
      <c r="E244" s="557"/>
      <c r="F244" s="557"/>
      <c r="G244" s="557"/>
      <c r="H244" s="557"/>
      <c r="I244" s="662"/>
    </row>
    <row r="245" spans="1:85" outlineLevel="1" x14ac:dyDescent="0.25">
      <c r="B245" s="36" t="str">
        <f t="shared" si="64"/>
        <v/>
      </c>
      <c r="C245" s="557"/>
      <c r="D245" s="557"/>
      <c r="E245" s="557"/>
      <c r="F245" s="557"/>
      <c r="G245" s="557"/>
      <c r="H245" s="557"/>
      <c r="I245" s="662"/>
    </row>
    <row r="246" spans="1:85" outlineLevel="1" x14ac:dyDescent="0.25">
      <c r="B246" s="36" t="str">
        <f t="shared" si="64"/>
        <v/>
      </c>
      <c r="C246" s="557"/>
      <c r="D246" s="557"/>
      <c r="E246" s="557"/>
      <c r="F246" s="557"/>
      <c r="G246" s="557"/>
      <c r="H246" s="557"/>
      <c r="I246" s="662"/>
    </row>
    <row r="247" spans="1:85" ht="15.75" outlineLevel="1" thickBot="1" x14ac:dyDescent="0.3">
      <c r="B247" s="36" t="str">
        <f t="shared" si="64"/>
        <v/>
      </c>
      <c r="C247" s="301"/>
      <c r="D247" s="301"/>
      <c r="E247" s="301"/>
      <c r="F247" s="301"/>
      <c r="G247" s="301"/>
      <c r="H247" s="301"/>
      <c r="I247" s="302"/>
    </row>
    <row r="248" spans="1:85" ht="15.75" outlineLevel="1" thickBot="1" x14ac:dyDescent="0.3">
      <c r="B248" s="1447" t="s">
        <v>120</v>
      </c>
      <c r="C248" s="1444">
        <f>SUM(C173:C247)</f>
        <v>7304.8980000000001</v>
      </c>
      <c r="D248" s="1444">
        <f t="shared" ref="D248" si="65">SUM(D173:D247)</f>
        <v>7134.0675318000003</v>
      </c>
      <c r="E248" s="1444">
        <f t="shared" ref="E248" si="66">SUM(E173:E247)</f>
        <v>6848.4664863132002</v>
      </c>
      <c r="F248" s="1444">
        <f t="shared" ref="F248" si="67">SUM(F173:F247)</f>
        <v>6894.1549434223743</v>
      </c>
      <c r="G248" s="1444">
        <f t="shared" ref="G248" si="68">SUM(G173:G247)</f>
        <v>7026.2793459450722</v>
      </c>
      <c r="H248" s="1444">
        <f t="shared" ref="H248" si="69">SUM(H173:H247)</f>
        <v>6813.3283026286063</v>
      </c>
      <c r="I248" s="1446">
        <f t="shared" ref="I248" si="70">SUM(I173:I247)</f>
        <v>6348.405233058932</v>
      </c>
    </row>
    <row r="249" spans="1:85" s="618" customFormat="1" ht="25.5" customHeight="1" thickBot="1" x14ac:dyDescent="0.3">
      <c r="A249"/>
      <c r="B249"/>
      <c r="C249"/>
      <c r="D249"/>
      <c r="E249"/>
      <c r="F249"/>
      <c r="G249"/>
      <c r="H249"/>
      <c r="I249"/>
      <c r="J249"/>
      <c r="K249"/>
      <c r="BH249" s="619"/>
      <c r="BI249" s="619"/>
      <c r="BJ249" s="619"/>
      <c r="BK249" s="619"/>
      <c r="BL249" s="619"/>
      <c r="BM249" s="619"/>
      <c r="BN249" s="619"/>
      <c r="BO249" s="619"/>
      <c r="BP249" s="619"/>
      <c r="BQ249" s="619"/>
      <c r="BR249" s="619"/>
      <c r="BS249" s="619"/>
      <c r="BT249" s="619"/>
      <c r="BU249" s="619"/>
      <c r="BV249" s="619"/>
      <c r="BW249" s="619"/>
      <c r="BX249" s="619"/>
      <c r="BY249" s="619"/>
      <c r="BZ249" s="619"/>
      <c r="CA249" s="619"/>
      <c r="CB249" s="619"/>
      <c r="CC249" s="619"/>
      <c r="CD249" s="619"/>
      <c r="CE249" s="619"/>
      <c r="CF249" s="619"/>
      <c r="CG249" s="619"/>
    </row>
    <row r="250" spans="1:85" ht="25.5" customHeight="1" thickBot="1" x14ac:dyDescent="0.3">
      <c r="B250" s="250" t="s">
        <v>362</v>
      </c>
      <c r="C250" s="251"/>
      <c r="D250" s="251"/>
      <c r="E250" s="251"/>
      <c r="F250" s="251"/>
      <c r="G250" s="251"/>
      <c r="H250" s="251"/>
      <c r="I250" s="252"/>
    </row>
    <row r="251" spans="1:85" s="398" customFormat="1" ht="25.5" customHeight="1" outlineLevel="1" x14ac:dyDescent="0.25">
      <c r="B251"/>
      <c r="C251" s="1382" t="s">
        <v>159</v>
      </c>
      <c r="D251" s="1383"/>
      <c r="E251" s="1383"/>
      <c r="F251" s="1383"/>
      <c r="G251" s="1383"/>
      <c r="H251" s="1383"/>
      <c r="I251" s="1384"/>
      <c r="J251"/>
      <c r="K251"/>
      <c r="L251"/>
      <c r="M251"/>
      <c r="N251"/>
      <c r="O251"/>
      <c r="P251"/>
      <c r="Q251"/>
      <c r="R251"/>
      <c r="S251"/>
      <c r="T251"/>
      <c r="U251"/>
      <c r="V251"/>
    </row>
    <row r="252" spans="1:85" s="398" customFormat="1" ht="18" customHeight="1" outlineLevel="1" x14ac:dyDescent="0.25">
      <c r="B252" s="63"/>
      <c r="C252" s="1375" t="s">
        <v>228</v>
      </c>
      <c r="D252" s="1376"/>
      <c r="E252" s="1376"/>
      <c r="F252" s="1376"/>
      <c r="G252" s="1376"/>
      <c r="H252" s="1376"/>
      <c r="I252" s="1377"/>
      <c r="J252"/>
      <c r="K252"/>
      <c r="L252"/>
      <c r="M252"/>
      <c r="N252"/>
      <c r="O252"/>
      <c r="P252"/>
      <c r="Q252"/>
      <c r="R252"/>
      <c r="S252"/>
      <c r="T252"/>
      <c r="U252"/>
      <c r="V252"/>
    </row>
    <row r="253" spans="1:85" s="398" customFormat="1" ht="15.75" outlineLevel="1" thickBot="1" x14ac:dyDescent="0.3">
      <c r="B253" s="319"/>
      <c r="C253" s="405" t="str">
        <f ca="1">dms_y1</f>
        <v>2024-25</v>
      </c>
      <c r="D253" s="1394" t="str">
        <f ca="1">dms_y2</f>
        <v>2025-26</v>
      </c>
      <c r="E253" s="305" t="str">
        <f ca="1">dms_y3</f>
        <v>2026-27</v>
      </c>
      <c r="F253" s="305" t="str">
        <f ca="1">dms_y4</f>
        <v>2027-28</v>
      </c>
      <c r="G253" s="305" t="str">
        <f ca="1">dms_y5</f>
        <v>2028-29</v>
      </c>
      <c r="H253" s="305" t="str">
        <f ca="1">dms_y6</f>
        <v>2029-30</v>
      </c>
      <c r="I253" s="406" t="str">
        <f ca="1">dms_y7</f>
        <v>2030-31</v>
      </c>
      <c r="J253"/>
      <c r="K253"/>
      <c r="L253"/>
      <c r="M253"/>
      <c r="N253"/>
      <c r="O253"/>
      <c r="P253"/>
      <c r="Q253"/>
      <c r="R253"/>
      <c r="S253"/>
      <c r="T253"/>
      <c r="U253"/>
      <c r="V253"/>
    </row>
    <row r="254" spans="1:85" outlineLevel="1" x14ac:dyDescent="0.25">
      <c r="B254" s="36" t="str">
        <f t="shared" ref="B254:B285" si="71">IF(ISBLANK(B11),"",B11)</f>
        <v>Residential - SA excl New Towns (GJ/d)</v>
      </c>
      <c r="C254" s="271">
        <v>2500.2113999999997</v>
      </c>
      <c r="D254" s="271">
        <v>6263.2570116000006</v>
      </c>
      <c r="E254" s="271">
        <v>6506.0384919912667</v>
      </c>
      <c r="F254" s="271">
        <v>7175.3886001282954</v>
      </c>
      <c r="G254" s="271">
        <v>3814.5859559702426</v>
      </c>
      <c r="H254" s="271">
        <v>4126.9516474466673</v>
      </c>
      <c r="I254" s="272">
        <v>4438.1826434143441</v>
      </c>
    </row>
    <row r="255" spans="1:85" outlineLevel="1" x14ac:dyDescent="0.25">
      <c r="B255" s="36" t="str">
        <f t="shared" si="71"/>
        <v>Residential - New Towns (GJ/d)</v>
      </c>
      <c r="C255" s="271">
        <v>0</v>
      </c>
      <c r="D255" s="271">
        <v>0</v>
      </c>
      <c r="E255" s="271">
        <v>0</v>
      </c>
      <c r="F255" s="271">
        <v>0</v>
      </c>
      <c r="G255" s="271">
        <v>0</v>
      </c>
      <c r="H255" s="271">
        <v>0</v>
      </c>
      <c r="I255" s="272">
        <v>0</v>
      </c>
    </row>
    <row r="256" spans="1:85" outlineLevel="1" x14ac:dyDescent="0.25">
      <c r="B256" s="36" t="str">
        <f t="shared" si="71"/>
        <v>Commercial - SA excl New Towns (GJ/d)</v>
      </c>
      <c r="C256" s="271">
        <v>149.292</v>
      </c>
      <c r="D256" s="271">
        <v>149.51593800000001</v>
      </c>
      <c r="E256" s="271">
        <v>149.71030871940002</v>
      </c>
      <c r="F256" s="271">
        <v>155.62386591381633</v>
      </c>
      <c r="G256" s="271">
        <v>161.45226788463305</v>
      </c>
      <c r="H256" s="271">
        <v>172.91537890444198</v>
      </c>
      <c r="I256" s="272">
        <v>172.62142276030445</v>
      </c>
    </row>
    <row r="257" spans="2:9" outlineLevel="1" x14ac:dyDescent="0.25">
      <c r="B257" s="36" t="str">
        <f t="shared" si="71"/>
        <v>Commercial - New Towns (GJ/d)</v>
      </c>
      <c r="C257" s="271">
        <v>0</v>
      </c>
      <c r="D257" s="271">
        <v>0</v>
      </c>
      <c r="E257" s="271">
        <v>0</v>
      </c>
      <c r="F257" s="271">
        <v>0</v>
      </c>
      <c r="G257" s="271">
        <v>0</v>
      </c>
      <c r="H257" s="271">
        <v>0</v>
      </c>
      <c r="I257" s="272">
        <v>0</v>
      </c>
    </row>
    <row r="258" spans="2:9" outlineLevel="1" x14ac:dyDescent="0.25">
      <c r="B258" s="36" t="str">
        <f t="shared" si="71"/>
        <v xml:space="preserve">Tariff D Zone - Northern </v>
      </c>
      <c r="C258" s="271">
        <v>1</v>
      </c>
      <c r="D258" s="271">
        <v>0</v>
      </c>
      <c r="E258" s="271">
        <v>1</v>
      </c>
      <c r="F258" s="271">
        <v>0</v>
      </c>
      <c r="G258" s="271">
        <v>1</v>
      </c>
      <c r="H258" s="271">
        <v>0</v>
      </c>
      <c r="I258" s="272">
        <v>1</v>
      </c>
    </row>
    <row r="259" spans="2:9" outlineLevel="1" x14ac:dyDescent="0.25">
      <c r="B259" s="36" t="str">
        <f t="shared" si="71"/>
        <v>Tariff D Zone - Central</v>
      </c>
      <c r="C259" s="271">
        <v>0</v>
      </c>
      <c r="D259" s="271">
        <v>1</v>
      </c>
      <c r="E259" s="271">
        <v>0</v>
      </c>
      <c r="F259" s="271">
        <v>1</v>
      </c>
      <c r="G259" s="271">
        <v>0</v>
      </c>
      <c r="H259" s="271">
        <v>1</v>
      </c>
      <c r="I259" s="272">
        <v>0</v>
      </c>
    </row>
    <row r="260" spans="2:9" outlineLevel="1" x14ac:dyDescent="0.25">
      <c r="B260" s="36" t="str">
        <f t="shared" si="71"/>
        <v xml:space="preserve">Tariff D Zone - Southern </v>
      </c>
      <c r="C260" s="271">
        <v>0</v>
      </c>
      <c r="D260" s="271">
        <v>0</v>
      </c>
      <c r="E260" s="271">
        <v>0</v>
      </c>
      <c r="F260" s="271">
        <v>0</v>
      </c>
      <c r="G260" s="271">
        <v>0</v>
      </c>
      <c r="H260" s="271">
        <v>0</v>
      </c>
      <c r="I260" s="272">
        <v>0</v>
      </c>
    </row>
    <row r="261" spans="2:9" outlineLevel="1" x14ac:dyDescent="0.25">
      <c r="B261" s="36" t="str">
        <f t="shared" si="71"/>
        <v>Tariff D Zone - Peterborough</v>
      </c>
      <c r="C261" s="271">
        <v>0</v>
      </c>
      <c r="D261" s="271">
        <v>0</v>
      </c>
      <c r="E261" s="271">
        <v>0</v>
      </c>
      <c r="F261" s="271">
        <v>0</v>
      </c>
      <c r="G261" s="271">
        <v>0</v>
      </c>
      <c r="H261" s="271">
        <v>0</v>
      </c>
      <c r="I261" s="272">
        <v>0</v>
      </c>
    </row>
    <row r="262" spans="2:9" outlineLevel="1" x14ac:dyDescent="0.25">
      <c r="B262" s="36" t="str">
        <f t="shared" si="71"/>
        <v>Tariff D Zone - Port Pirie</v>
      </c>
      <c r="C262" s="1513"/>
      <c r="D262" s="1513"/>
      <c r="E262" s="1513"/>
      <c r="F262" s="1513"/>
      <c r="G262" s="1513"/>
      <c r="H262" s="1513"/>
      <c r="I262" s="1545"/>
    </row>
    <row r="263" spans="2:9" outlineLevel="1" x14ac:dyDescent="0.25">
      <c r="B263" s="36" t="str">
        <f t="shared" si="71"/>
        <v>Tariff D Zone - Riverland</v>
      </c>
      <c r="C263" s="1513"/>
      <c r="D263" s="1513"/>
      <c r="E263" s="1513"/>
      <c r="F263" s="1513"/>
      <c r="G263" s="1513"/>
      <c r="H263" s="1513"/>
      <c r="I263" s="1545"/>
    </row>
    <row r="264" spans="2:9" outlineLevel="1" x14ac:dyDescent="0.25">
      <c r="B264" s="36" t="str">
        <f t="shared" si="71"/>
        <v>Tariff D Zone - South East</v>
      </c>
      <c r="C264" s="1513"/>
      <c r="D264" s="1513"/>
      <c r="E264" s="1513"/>
      <c r="F264" s="1513"/>
      <c r="G264" s="1513"/>
      <c r="H264" s="1513"/>
      <c r="I264" s="1545"/>
    </row>
    <row r="265" spans="2:9" outlineLevel="1" x14ac:dyDescent="0.25">
      <c r="B265" s="36" t="str">
        <f t="shared" si="71"/>
        <v>Tariff D Zone - Whyalla</v>
      </c>
      <c r="C265" s="1513"/>
      <c r="D265" s="1513"/>
      <c r="E265" s="1513"/>
      <c r="F265" s="1513"/>
      <c r="G265" s="1513"/>
      <c r="H265" s="1513"/>
      <c r="I265" s="1545"/>
    </row>
    <row r="266" spans="2:9" outlineLevel="1" x14ac:dyDescent="0.25">
      <c r="B266" s="36" t="str">
        <f t="shared" si="71"/>
        <v/>
      </c>
      <c r="C266" s="271"/>
      <c r="D266" s="271"/>
      <c r="E266" s="271"/>
      <c r="F266" s="271"/>
      <c r="G266" s="271"/>
      <c r="H266" s="271"/>
      <c r="I266" s="272"/>
    </row>
    <row r="267" spans="2:9" outlineLevel="1" x14ac:dyDescent="0.25">
      <c r="B267" s="36" t="str">
        <f t="shared" si="71"/>
        <v/>
      </c>
      <c r="C267" s="271"/>
      <c r="D267" s="271"/>
      <c r="E267" s="271"/>
      <c r="F267" s="271"/>
      <c r="G267" s="271"/>
      <c r="H267" s="271"/>
      <c r="I267" s="272"/>
    </row>
    <row r="268" spans="2:9" outlineLevel="1" x14ac:dyDescent="0.25">
      <c r="B268" s="36" t="str">
        <f t="shared" si="71"/>
        <v/>
      </c>
      <c r="C268" s="271"/>
      <c r="D268" s="271"/>
      <c r="E268" s="271"/>
      <c r="F268" s="271"/>
      <c r="G268" s="271"/>
      <c r="H268" s="271"/>
      <c r="I268" s="272"/>
    </row>
    <row r="269" spans="2:9" outlineLevel="1" x14ac:dyDescent="0.25">
      <c r="B269" s="36" t="str">
        <f t="shared" si="71"/>
        <v/>
      </c>
      <c r="C269" s="271"/>
      <c r="D269" s="271"/>
      <c r="E269" s="271"/>
      <c r="F269" s="271"/>
      <c r="G269" s="271"/>
      <c r="H269" s="271"/>
      <c r="I269" s="272"/>
    </row>
    <row r="270" spans="2:9" outlineLevel="1" x14ac:dyDescent="0.25">
      <c r="B270" s="36" t="str">
        <f t="shared" si="71"/>
        <v/>
      </c>
      <c r="C270" s="271"/>
      <c r="D270" s="271"/>
      <c r="E270" s="271"/>
      <c r="F270" s="271"/>
      <c r="G270" s="271"/>
      <c r="H270" s="271"/>
      <c r="I270" s="272"/>
    </row>
    <row r="271" spans="2:9" outlineLevel="1" x14ac:dyDescent="0.25">
      <c r="B271" s="36" t="str">
        <f t="shared" si="71"/>
        <v/>
      </c>
      <c r="C271" s="271"/>
      <c r="D271" s="271"/>
      <c r="E271" s="271"/>
      <c r="F271" s="271"/>
      <c r="G271" s="271"/>
      <c r="H271" s="271"/>
      <c r="I271" s="272"/>
    </row>
    <row r="272" spans="2:9" outlineLevel="1" x14ac:dyDescent="0.25">
      <c r="B272" s="36" t="str">
        <f t="shared" si="71"/>
        <v/>
      </c>
      <c r="C272" s="271"/>
      <c r="D272" s="271"/>
      <c r="E272" s="271"/>
      <c r="F272" s="271"/>
      <c r="G272" s="271"/>
      <c r="H272" s="271"/>
      <c r="I272" s="272"/>
    </row>
    <row r="273" spans="2:9" outlineLevel="1" x14ac:dyDescent="0.25">
      <c r="B273" s="36" t="str">
        <f t="shared" si="71"/>
        <v/>
      </c>
      <c r="C273" s="271"/>
      <c r="D273" s="271"/>
      <c r="E273" s="271"/>
      <c r="F273" s="271"/>
      <c r="G273" s="271"/>
      <c r="H273" s="271"/>
      <c r="I273" s="272"/>
    </row>
    <row r="274" spans="2:9" outlineLevel="1" x14ac:dyDescent="0.25">
      <c r="B274" s="36" t="str">
        <f t="shared" si="71"/>
        <v/>
      </c>
      <c r="C274" s="271"/>
      <c r="D274" s="271"/>
      <c r="E274" s="271"/>
      <c r="F274" s="271"/>
      <c r="G274" s="271"/>
      <c r="H274" s="271"/>
      <c r="I274" s="272"/>
    </row>
    <row r="275" spans="2:9" outlineLevel="1" x14ac:dyDescent="0.25">
      <c r="B275" s="36" t="str">
        <f t="shared" si="71"/>
        <v/>
      </c>
      <c r="C275" s="271"/>
      <c r="D275" s="271"/>
      <c r="E275" s="271"/>
      <c r="F275" s="271"/>
      <c r="G275" s="271"/>
      <c r="H275" s="271"/>
      <c r="I275" s="272"/>
    </row>
    <row r="276" spans="2:9" outlineLevel="1" x14ac:dyDescent="0.25">
      <c r="B276" s="36" t="str">
        <f t="shared" si="71"/>
        <v/>
      </c>
      <c r="C276" s="271"/>
      <c r="D276" s="271"/>
      <c r="E276" s="271"/>
      <c r="F276" s="271"/>
      <c r="G276" s="271"/>
      <c r="H276" s="271"/>
      <c r="I276" s="272"/>
    </row>
    <row r="277" spans="2:9" outlineLevel="1" x14ac:dyDescent="0.25">
      <c r="B277" s="36" t="str">
        <f t="shared" si="71"/>
        <v/>
      </c>
      <c r="C277" s="271"/>
      <c r="D277" s="271"/>
      <c r="E277" s="271"/>
      <c r="F277" s="271"/>
      <c r="G277" s="271"/>
      <c r="H277" s="271"/>
      <c r="I277" s="272"/>
    </row>
    <row r="278" spans="2:9" outlineLevel="1" x14ac:dyDescent="0.25">
      <c r="B278" s="36" t="str">
        <f t="shared" si="71"/>
        <v/>
      </c>
      <c r="C278" s="271"/>
      <c r="D278" s="271"/>
      <c r="E278" s="271"/>
      <c r="F278" s="271"/>
      <c r="G278" s="271"/>
      <c r="H278" s="271"/>
      <c r="I278" s="272"/>
    </row>
    <row r="279" spans="2:9" outlineLevel="1" x14ac:dyDescent="0.25">
      <c r="B279" s="36" t="str">
        <f t="shared" si="71"/>
        <v/>
      </c>
      <c r="C279" s="271"/>
      <c r="D279" s="271"/>
      <c r="E279" s="271"/>
      <c r="F279" s="271"/>
      <c r="G279" s="271"/>
      <c r="H279" s="271"/>
      <c r="I279" s="272"/>
    </row>
    <row r="280" spans="2:9" outlineLevel="1" x14ac:dyDescent="0.25">
      <c r="B280" s="36" t="str">
        <f t="shared" si="71"/>
        <v/>
      </c>
      <c r="C280" s="271"/>
      <c r="D280" s="271"/>
      <c r="E280" s="271"/>
      <c r="F280" s="271"/>
      <c r="G280" s="271"/>
      <c r="H280" s="271"/>
      <c r="I280" s="272"/>
    </row>
    <row r="281" spans="2:9" outlineLevel="1" x14ac:dyDescent="0.25">
      <c r="B281" s="36" t="str">
        <f t="shared" si="71"/>
        <v/>
      </c>
      <c r="C281" s="271"/>
      <c r="D281" s="271"/>
      <c r="E281" s="271"/>
      <c r="F281" s="271"/>
      <c r="G281" s="271"/>
      <c r="H281" s="271"/>
      <c r="I281" s="272"/>
    </row>
    <row r="282" spans="2:9" outlineLevel="1" x14ac:dyDescent="0.25">
      <c r="B282" s="36" t="str">
        <f t="shared" si="71"/>
        <v/>
      </c>
      <c r="C282" s="271"/>
      <c r="D282" s="271"/>
      <c r="E282" s="271"/>
      <c r="F282" s="271"/>
      <c r="G282" s="271"/>
      <c r="H282" s="271"/>
      <c r="I282" s="272"/>
    </row>
    <row r="283" spans="2:9" outlineLevel="1" x14ac:dyDescent="0.25">
      <c r="B283" s="36" t="str">
        <f t="shared" si="71"/>
        <v/>
      </c>
      <c r="C283" s="271"/>
      <c r="D283" s="271"/>
      <c r="E283" s="271"/>
      <c r="F283" s="271"/>
      <c r="G283" s="271"/>
      <c r="H283" s="271"/>
      <c r="I283" s="272"/>
    </row>
    <row r="284" spans="2:9" outlineLevel="1" x14ac:dyDescent="0.25">
      <c r="B284" s="36" t="str">
        <f t="shared" si="71"/>
        <v/>
      </c>
      <c r="C284" s="271"/>
      <c r="D284" s="271"/>
      <c r="E284" s="271"/>
      <c r="F284" s="271"/>
      <c r="G284" s="271"/>
      <c r="H284" s="271"/>
      <c r="I284" s="272"/>
    </row>
    <row r="285" spans="2:9" outlineLevel="1" x14ac:dyDescent="0.25">
      <c r="B285" s="36" t="str">
        <f t="shared" si="71"/>
        <v/>
      </c>
      <c r="C285" s="271"/>
      <c r="D285" s="271"/>
      <c r="E285" s="271"/>
      <c r="F285" s="271"/>
      <c r="G285" s="271"/>
      <c r="H285" s="271"/>
      <c r="I285" s="272"/>
    </row>
    <row r="286" spans="2:9" outlineLevel="1" x14ac:dyDescent="0.25">
      <c r="B286" s="36" t="str">
        <f t="shared" ref="B286:B302" si="72">IF(ISBLANK(B43),"",B43)</f>
        <v/>
      </c>
      <c r="C286" s="271"/>
      <c r="D286" s="271"/>
      <c r="E286" s="271"/>
      <c r="F286" s="271"/>
      <c r="G286" s="271"/>
      <c r="H286" s="271"/>
      <c r="I286" s="272"/>
    </row>
    <row r="287" spans="2:9" outlineLevel="1" x14ac:dyDescent="0.25">
      <c r="B287" s="36" t="str">
        <f t="shared" si="72"/>
        <v/>
      </c>
      <c r="C287" s="271"/>
      <c r="D287" s="271"/>
      <c r="E287" s="271"/>
      <c r="F287" s="271"/>
      <c r="G287" s="271"/>
      <c r="H287" s="271"/>
      <c r="I287" s="272"/>
    </row>
    <row r="288" spans="2:9" outlineLevel="1" x14ac:dyDescent="0.25">
      <c r="B288" s="36" t="str">
        <f t="shared" si="72"/>
        <v/>
      </c>
      <c r="C288" s="271"/>
      <c r="D288" s="271"/>
      <c r="E288" s="271"/>
      <c r="F288" s="271"/>
      <c r="G288" s="271"/>
      <c r="H288" s="271"/>
      <c r="I288" s="272"/>
    </row>
    <row r="289" spans="2:9" outlineLevel="1" x14ac:dyDescent="0.25">
      <c r="B289" s="36" t="str">
        <f t="shared" si="72"/>
        <v/>
      </c>
      <c r="C289" s="271"/>
      <c r="D289" s="271"/>
      <c r="E289" s="271"/>
      <c r="F289" s="271"/>
      <c r="G289" s="271"/>
      <c r="H289" s="271"/>
      <c r="I289" s="272"/>
    </row>
    <row r="290" spans="2:9" outlineLevel="1" x14ac:dyDescent="0.25">
      <c r="B290" s="36" t="str">
        <f t="shared" si="72"/>
        <v/>
      </c>
      <c r="C290" s="271"/>
      <c r="D290" s="271"/>
      <c r="E290" s="271"/>
      <c r="F290" s="271"/>
      <c r="G290" s="271"/>
      <c r="H290" s="271"/>
      <c r="I290" s="272"/>
    </row>
    <row r="291" spans="2:9" outlineLevel="1" x14ac:dyDescent="0.25">
      <c r="B291" s="36" t="str">
        <f t="shared" si="72"/>
        <v/>
      </c>
      <c r="C291" s="271"/>
      <c r="D291" s="271"/>
      <c r="E291" s="271"/>
      <c r="F291" s="271"/>
      <c r="G291" s="271"/>
      <c r="H291" s="271"/>
      <c r="I291" s="272"/>
    </row>
    <row r="292" spans="2:9" outlineLevel="1" x14ac:dyDescent="0.25">
      <c r="B292" s="36" t="str">
        <f t="shared" si="72"/>
        <v/>
      </c>
      <c r="C292" s="271"/>
      <c r="D292" s="271"/>
      <c r="E292" s="271"/>
      <c r="F292" s="271"/>
      <c r="G292" s="271"/>
      <c r="H292" s="271"/>
      <c r="I292" s="272"/>
    </row>
    <row r="293" spans="2:9" outlineLevel="1" x14ac:dyDescent="0.25">
      <c r="B293" s="36" t="str">
        <f t="shared" si="72"/>
        <v/>
      </c>
      <c r="C293" s="271"/>
      <c r="D293" s="271"/>
      <c r="E293" s="271"/>
      <c r="F293" s="271"/>
      <c r="G293" s="271"/>
      <c r="H293" s="271"/>
      <c r="I293" s="272"/>
    </row>
    <row r="294" spans="2:9" outlineLevel="1" x14ac:dyDescent="0.25">
      <c r="B294" s="36" t="str">
        <f t="shared" si="72"/>
        <v/>
      </c>
      <c r="C294" s="271"/>
      <c r="D294" s="271"/>
      <c r="E294" s="271"/>
      <c r="F294" s="271"/>
      <c r="G294" s="271"/>
      <c r="H294" s="271"/>
      <c r="I294" s="272"/>
    </row>
    <row r="295" spans="2:9" outlineLevel="1" x14ac:dyDescent="0.25">
      <c r="B295" s="36" t="str">
        <f t="shared" si="72"/>
        <v/>
      </c>
      <c r="C295" s="271"/>
      <c r="D295" s="271"/>
      <c r="E295" s="271"/>
      <c r="F295" s="271"/>
      <c r="G295" s="271"/>
      <c r="H295" s="271"/>
      <c r="I295" s="272"/>
    </row>
    <row r="296" spans="2:9" outlineLevel="1" x14ac:dyDescent="0.25">
      <c r="B296" s="36" t="str">
        <f t="shared" si="72"/>
        <v/>
      </c>
      <c r="C296" s="271"/>
      <c r="D296" s="271"/>
      <c r="E296" s="271"/>
      <c r="F296" s="271"/>
      <c r="G296" s="271"/>
      <c r="H296" s="271"/>
      <c r="I296" s="272"/>
    </row>
    <row r="297" spans="2:9" outlineLevel="1" x14ac:dyDescent="0.25">
      <c r="B297" s="36" t="str">
        <f t="shared" si="72"/>
        <v/>
      </c>
      <c r="C297" s="271"/>
      <c r="D297" s="271"/>
      <c r="E297" s="271"/>
      <c r="F297" s="271"/>
      <c r="G297" s="271"/>
      <c r="H297" s="271"/>
      <c r="I297" s="272"/>
    </row>
    <row r="298" spans="2:9" outlineLevel="1" x14ac:dyDescent="0.25">
      <c r="B298" s="36" t="str">
        <f t="shared" si="72"/>
        <v/>
      </c>
      <c r="C298" s="271"/>
      <c r="D298" s="271"/>
      <c r="E298" s="271"/>
      <c r="F298" s="271"/>
      <c r="G298" s="271"/>
      <c r="H298" s="271"/>
      <c r="I298" s="272"/>
    </row>
    <row r="299" spans="2:9" outlineLevel="1" x14ac:dyDescent="0.25">
      <c r="B299" s="36" t="str">
        <f t="shared" si="72"/>
        <v/>
      </c>
      <c r="C299" s="271"/>
      <c r="D299" s="271"/>
      <c r="E299" s="271"/>
      <c r="F299" s="271"/>
      <c r="G299" s="271"/>
      <c r="H299" s="271"/>
      <c r="I299" s="272"/>
    </row>
    <row r="300" spans="2:9" outlineLevel="1" x14ac:dyDescent="0.25">
      <c r="B300" s="36" t="str">
        <f t="shared" si="72"/>
        <v/>
      </c>
      <c r="C300" s="271"/>
      <c r="D300" s="271"/>
      <c r="E300" s="271"/>
      <c r="F300" s="271"/>
      <c r="G300" s="271"/>
      <c r="H300" s="271"/>
      <c r="I300" s="272"/>
    </row>
    <row r="301" spans="2:9" outlineLevel="1" x14ac:dyDescent="0.25">
      <c r="B301" s="36" t="str">
        <f t="shared" si="72"/>
        <v/>
      </c>
      <c r="C301" s="271"/>
      <c r="D301" s="271"/>
      <c r="E301" s="271"/>
      <c r="F301" s="271"/>
      <c r="G301" s="271"/>
      <c r="H301" s="271"/>
      <c r="I301" s="272"/>
    </row>
    <row r="302" spans="2:9" outlineLevel="1" x14ac:dyDescent="0.25">
      <c r="B302" s="36" t="str">
        <f t="shared" si="72"/>
        <v/>
      </c>
      <c r="C302" s="271"/>
      <c r="D302" s="271"/>
      <c r="E302" s="271"/>
      <c r="F302" s="271"/>
      <c r="G302" s="271"/>
      <c r="H302" s="271"/>
      <c r="I302" s="272"/>
    </row>
    <row r="303" spans="2:9" outlineLevel="1" x14ac:dyDescent="0.25">
      <c r="B303" s="36" t="str">
        <f t="shared" ref="B303:B328" si="73">IF(ISBLANK(B60),"",B60)</f>
        <v/>
      </c>
      <c r="C303" s="557"/>
      <c r="D303" s="557"/>
      <c r="E303" s="557"/>
      <c r="F303" s="557"/>
      <c r="G303" s="557"/>
      <c r="H303" s="557"/>
      <c r="I303" s="662"/>
    </row>
    <row r="304" spans="2:9" outlineLevel="1" x14ac:dyDescent="0.25">
      <c r="B304" s="36" t="str">
        <f t="shared" si="73"/>
        <v/>
      </c>
      <c r="C304" s="557"/>
      <c r="D304" s="557"/>
      <c r="E304" s="557"/>
      <c r="F304" s="557"/>
      <c r="G304" s="557"/>
      <c r="H304" s="557"/>
      <c r="I304" s="662"/>
    </row>
    <row r="305" spans="2:9" outlineLevel="1" x14ac:dyDescent="0.25">
      <c r="B305" s="36" t="str">
        <f t="shared" si="73"/>
        <v/>
      </c>
      <c r="C305" s="557"/>
      <c r="D305" s="557"/>
      <c r="E305" s="557"/>
      <c r="F305" s="557"/>
      <c r="G305" s="557"/>
      <c r="H305" s="557"/>
      <c r="I305" s="662"/>
    </row>
    <row r="306" spans="2:9" outlineLevel="1" x14ac:dyDescent="0.25">
      <c r="B306" s="36" t="str">
        <f t="shared" si="73"/>
        <v/>
      </c>
      <c r="C306" s="557"/>
      <c r="D306" s="557"/>
      <c r="E306" s="557"/>
      <c r="F306" s="557"/>
      <c r="G306" s="557"/>
      <c r="H306" s="557"/>
      <c r="I306" s="662"/>
    </row>
    <row r="307" spans="2:9" outlineLevel="1" x14ac:dyDescent="0.25">
      <c r="B307" s="36" t="str">
        <f t="shared" si="73"/>
        <v/>
      </c>
      <c r="C307" s="557"/>
      <c r="D307" s="557"/>
      <c r="E307" s="557"/>
      <c r="F307" s="557"/>
      <c r="G307" s="557"/>
      <c r="H307" s="557"/>
      <c r="I307" s="662"/>
    </row>
    <row r="308" spans="2:9" outlineLevel="1" x14ac:dyDescent="0.25">
      <c r="B308" s="36" t="str">
        <f t="shared" si="73"/>
        <v/>
      </c>
      <c r="C308" s="557"/>
      <c r="D308" s="557"/>
      <c r="E308" s="557"/>
      <c r="F308" s="557"/>
      <c r="G308" s="557"/>
      <c r="H308" s="557"/>
      <c r="I308" s="662"/>
    </row>
    <row r="309" spans="2:9" outlineLevel="1" x14ac:dyDescent="0.25">
      <c r="B309" s="36" t="str">
        <f t="shared" si="73"/>
        <v/>
      </c>
      <c r="C309" s="557"/>
      <c r="D309" s="557"/>
      <c r="E309" s="557"/>
      <c r="F309" s="557"/>
      <c r="G309" s="557"/>
      <c r="H309" s="557"/>
      <c r="I309" s="662"/>
    </row>
    <row r="310" spans="2:9" outlineLevel="1" x14ac:dyDescent="0.25">
      <c r="B310" s="36" t="str">
        <f t="shared" si="73"/>
        <v/>
      </c>
      <c r="C310" s="557"/>
      <c r="D310" s="557"/>
      <c r="E310" s="557"/>
      <c r="F310" s="557"/>
      <c r="G310" s="557"/>
      <c r="H310" s="557"/>
      <c r="I310" s="662"/>
    </row>
    <row r="311" spans="2:9" outlineLevel="1" x14ac:dyDescent="0.25">
      <c r="B311" s="36" t="str">
        <f t="shared" si="73"/>
        <v/>
      </c>
      <c r="C311" s="557"/>
      <c r="D311" s="557"/>
      <c r="E311" s="557"/>
      <c r="F311" s="557"/>
      <c r="G311" s="557"/>
      <c r="H311" s="557"/>
      <c r="I311" s="662"/>
    </row>
    <row r="312" spans="2:9" outlineLevel="1" x14ac:dyDescent="0.25">
      <c r="B312" s="36" t="str">
        <f t="shared" si="73"/>
        <v/>
      </c>
      <c r="C312" s="557"/>
      <c r="D312" s="557"/>
      <c r="E312" s="557"/>
      <c r="F312" s="557"/>
      <c r="G312" s="557"/>
      <c r="H312" s="557"/>
      <c r="I312" s="662"/>
    </row>
    <row r="313" spans="2:9" outlineLevel="1" x14ac:dyDescent="0.25">
      <c r="B313" s="36" t="str">
        <f t="shared" si="73"/>
        <v/>
      </c>
      <c r="C313" s="557"/>
      <c r="D313" s="557"/>
      <c r="E313" s="557"/>
      <c r="F313" s="557"/>
      <c r="G313" s="557"/>
      <c r="H313" s="557"/>
      <c r="I313" s="662"/>
    </row>
    <row r="314" spans="2:9" outlineLevel="1" x14ac:dyDescent="0.25">
      <c r="B314" s="36" t="str">
        <f t="shared" si="73"/>
        <v/>
      </c>
      <c r="C314" s="557"/>
      <c r="D314" s="557"/>
      <c r="E314" s="557"/>
      <c r="F314" s="557"/>
      <c r="G314" s="557"/>
      <c r="H314" s="557"/>
      <c r="I314" s="662"/>
    </row>
    <row r="315" spans="2:9" outlineLevel="1" x14ac:dyDescent="0.25">
      <c r="B315" s="36" t="str">
        <f t="shared" si="73"/>
        <v/>
      </c>
      <c r="C315" s="557"/>
      <c r="D315" s="557"/>
      <c r="E315" s="557"/>
      <c r="F315" s="557"/>
      <c r="G315" s="557"/>
      <c r="H315" s="557"/>
      <c r="I315" s="662"/>
    </row>
    <row r="316" spans="2:9" outlineLevel="1" x14ac:dyDescent="0.25">
      <c r="B316" s="36" t="str">
        <f t="shared" si="73"/>
        <v/>
      </c>
      <c r="C316" s="557"/>
      <c r="D316" s="557"/>
      <c r="E316" s="557"/>
      <c r="F316" s="557"/>
      <c r="G316" s="557"/>
      <c r="H316" s="557"/>
      <c r="I316" s="662"/>
    </row>
    <row r="317" spans="2:9" outlineLevel="1" x14ac:dyDescent="0.25">
      <c r="B317" s="36" t="str">
        <f t="shared" si="73"/>
        <v/>
      </c>
      <c r="C317" s="557"/>
      <c r="D317" s="557"/>
      <c r="E317" s="557"/>
      <c r="F317" s="557"/>
      <c r="G317" s="557"/>
      <c r="H317" s="557"/>
      <c r="I317" s="662"/>
    </row>
    <row r="318" spans="2:9" outlineLevel="1" x14ac:dyDescent="0.25">
      <c r="B318" s="36" t="str">
        <f t="shared" si="73"/>
        <v/>
      </c>
      <c r="C318" s="557"/>
      <c r="D318" s="557"/>
      <c r="E318" s="557"/>
      <c r="F318" s="557"/>
      <c r="G318" s="557"/>
      <c r="H318" s="557"/>
      <c r="I318" s="662"/>
    </row>
    <row r="319" spans="2:9" outlineLevel="1" x14ac:dyDescent="0.25">
      <c r="B319" s="36" t="str">
        <f t="shared" si="73"/>
        <v/>
      </c>
      <c r="C319" s="557"/>
      <c r="D319" s="557"/>
      <c r="E319" s="557"/>
      <c r="F319" s="557"/>
      <c r="G319" s="557"/>
      <c r="H319" s="557"/>
      <c r="I319" s="662"/>
    </row>
    <row r="320" spans="2:9" outlineLevel="1" x14ac:dyDescent="0.25">
      <c r="B320" s="36" t="str">
        <f t="shared" si="73"/>
        <v/>
      </c>
      <c r="C320" s="557"/>
      <c r="D320" s="557"/>
      <c r="E320" s="557"/>
      <c r="F320" s="557"/>
      <c r="G320" s="557"/>
      <c r="H320" s="557"/>
      <c r="I320" s="662"/>
    </row>
    <row r="321" spans="2:9" outlineLevel="1" x14ac:dyDescent="0.25">
      <c r="B321" s="36" t="str">
        <f t="shared" si="73"/>
        <v/>
      </c>
      <c r="C321" s="557"/>
      <c r="D321" s="557"/>
      <c r="E321" s="557"/>
      <c r="F321" s="557"/>
      <c r="G321" s="557"/>
      <c r="H321" s="557"/>
      <c r="I321" s="662"/>
    </row>
    <row r="322" spans="2:9" outlineLevel="1" x14ac:dyDescent="0.25">
      <c r="B322" s="36" t="str">
        <f t="shared" si="73"/>
        <v/>
      </c>
      <c r="C322" s="557"/>
      <c r="D322" s="557"/>
      <c r="E322" s="557"/>
      <c r="F322" s="557"/>
      <c r="G322" s="557"/>
      <c r="H322" s="557"/>
      <c r="I322" s="662"/>
    </row>
    <row r="323" spans="2:9" outlineLevel="1" x14ac:dyDescent="0.25">
      <c r="B323" s="36" t="str">
        <f t="shared" si="73"/>
        <v/>
      </c>
      <c r="C323" s="557"/>
      <c r="D323" s="557"/>
      <c r="E323" s="557"/>
      <c r="F323" s="557"/>
      <c r="G323" s="557"/>
      <c r="H323" s="557"/>
      <c r="I323" s="662"/>
    </row>
    <row r="324" spans="2:9" outlineLevel="1" x14ac:dyDescent="0.25">
      <c r="B324" s="36" t="str">
        <f t="shared" si="73"/>
        <v/>
      </c>
      <c r="C324" s="557"/>
      <c r="D324" s="557"/>
      <c r="E324" s="557"/>
      <c r="F324" s="557"/>
      <c r="G324" s="557"/>
      <c r="H324" s="557"/>
      <c r="I324" s="662"/>
    </row>
    <row r="325" spans="2:9" outlineLevel="1" x14ac:dyDescent="0.25">
      <c r="B325" s="36" t="str">
        <f t="shared" si="73"/>
        <v/>
      </c>
      <c r="C325" s="557"/>
      <c r="D325" s="557"/>
      <c r="E325" s="557"/>
      <c r="F325" s="557"/>
      <c r="G325" s="557"/>
      <c r="H325" s="557"/>
      <c r="I325" s="662"/>
    </row>
    <row r="326" spans="2:9" outlineLevel="1" x14ac:dyDescent="0.25">
      <c r="B326" s="36" t="str">
        <f t="shared" si="73"/>
        <v/>
      </c>
      <c r="C326" s="557"/>
      <c r="D326" s="557"/>
      <c r="E326" s="557"/>
      <c r="F326" s="557"/>
      <c r="G326" s="557"/>
      <c r="H326" s="557"/>
      <c r="I326" s="662"/>
    </row>
    <row r="327" spans="2:9" outlineLevel="1" x14ac:dyDescent="0.25">
      <c r="B327" s="36" t="str">
        <f t="shared" si="73"/>
        <v/>
      </c>
      <c r="C327" s="557"/>
      <c r="D327" s="557"/>
      <c r="E327" s="557"/>
      <c r="F327" s="557"/>
      <c r="G327" s="557"/>
      <c r="H327" s="557"/>
      <c r="I327" s="662"/>
    </row>
    <row r="328" spans="2:9" ht="15.75" outlineLevel="1" thickBot="1" x14ac:dyDescent="0.3">
      <c r="B328" s="1445" t="str">
        <f t="shared" si="73"/>
        <v/>
      </c>
      <c r="C328" s="557"/>
      <c r="D328" s="557"/>
      <c r="E328" s="557"/>
      <c r="F328" s="557"/>
      <c r="G328" s="557"/>
      <c r="H328" s="557"/>
      <c r="I328" s="662"/>
    </row>
    <row r="329" spans="2:9" ht="15.75" outlineLevel="1" thickBot="1" x14ac:dyDescent="0.3">
      <c r="B329" s="1447" t="s">
        <v>120</v>
      </c>
      <c r="C329" s="1444">
        <f>SUM(C254:C328)</f>
        <v>2650.5033999999996</v>
      </c>
      <c r="D329" s="1444">
        <f t="shared" ref="D329" si="74">SUM(D254:D328)</f>
        <v>6413.7729496000011</v>
      </c>
      <c r="E329" s="1444">
        <f t="shared" ref="E329" si="75">SUM(E254:E328)</f>
        <v>6656.7488007106667</v>
      </c>
      <c r="F329" s="1444">
        <f t="shared" ref="F329" si="76">SUM(F254:F328)</f>
        <v>7332.0124660421116</v>
      </c>
      <c r="G329" s="1444">
        <f t="shared" ref="G329" si="77">SUM(G254:G328)</f>
        <v>3977.0382238548755</v>
      </c>
      <c r="H329" s="1444">
        <f t="shared" ref="H329" si="78">SUM(H254:H328)</f>
        <v>4300.8670263511094</v>
      </c>
      <c r="I329" s="1446">
        <f t="shared" ref="I329" si="79">SUM(I254:I328)</f>
        <v>4611.8040661746481</v>
      </c>
    </row>
  </sheetData>
  <dataValidations xWindow="80" yWindow="503" count="1">
    <dataValidation allowBlank="1" showInputMessage="1" showErrorMessage="1" promptTitle="Tariff" prompt="For consistency in AER database, tariff names in this worksheet are populated from tariffs names entered in worksheet N1.2 - Demand - by tariff." sqref="B173:B247 B11:B85 B92:B166 B254:B328" xr:uid="{00000000-0002-0000-1700-000000000000}"/>
  </dataValidations>
  <pageMargins left="0.7" right="0.7" top="0.75" bottom="0.75" header="0.3" footer="0.3"/>
  <pageSetup paperSize="9" orientation="portrait" r:id="rId1"/>
  <ignoredErrors>
    <ignoredError sqref="D11:I11"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tabColor theme="9" tint="-0.249977111117893"/>
  </sheetPr>
  <dimension ref="A1:I14"/>
  <sheetViews>
    <sheetView showGridLines="0" zoomScaleNormal="100" workbookViewId="0"/>
  </sheetViews>
  <sheetFormatPr defaultColWidth="9.140625" defaultRowHeight="15" x14ac:dyDescent="0.25"/>
  <cols>
    <col min="1" max="1" width="22.7109375" customWidth="1"/>
    <col min="2" max="2" width="52" customWidth="1"/>
    <col min="3" max="9" width="18.7109375" customWidth="1"/>
  </cols>
  <sheetData>
    <row r="1" spans="1:9" ht="30" customHeight="1" x14ac:dyDescent="0.25">
      <c r="A1" s="1112"/>
      <c r="B1" s="1112" t="str">
        <f>INDEX(dms_Worksheet_List,MATCH(dms_Model,dms_Model_List))</f>
        <v>REGULATORY REPORTING STATEMENT</v>
      </c>
      <c r="C1" s="26"/>
      <c r="D1" s="26"/>
      <c r="E1" s="26"/>
      <c r="F1" s="26"/>
      <c r="G1" s="1502" t="s">
        <v>96</v>
      </c>
      <c r="H1" s="1503" t="s">
        <v>97</v>
      </c>
      <c r="I1" s="26"/>
    </row>
    <row r="2" spans="1:9" ht="30" customHeight="1" x14ac:dyDescent="0.25">
      <c r="A2" s="1113"/>
      <c r="B2" s="1113" t="str">
        <f>dms_TradingNameFull</f>
        <v>Australian Gas Networks Limited (reporting data for SA)</v>
      </c>
      <c r="C2" s="26"/>
      <c r="D2" s="26"/>
      <c r="E2" s="26"/>
      <c r="F2" s="26"/>
      <c r="G2" s="1504" t="s">
        <v>98</v>
      </c>
      <c r="H2" s="1505" t="s">
        <v>92</v>
      </c>
      <c r="I2" s="26"/>
    </row>
    <row r="3" spans="1:9" ht="30" customHeight="1" x14ac:dyDescent="0.25">
      <c r="A3" s="1115"/>
      <c r="B3" s="1115" t="str">
        <f ca="1">dms_Header_Span</f>
        <v>2024-25 to 2030-31</v>
      </c>
      <c r="C3" s="26"/>
      <c r="D3" s="26"/>
      <c r="E3" s="26"/>
      <c r="F3" s="26"/>
      <c r="G3" s="1506" t="s">
        <v>99</v>
      </c>
      <c r="H3" s="1507" t="s">
        <v>100</v>
      </c>
      <c r="I3" s="26"/>
    </row>
    <row r="4" spans="1:9" ht="30" customHeight="1" x14ac:dyDescent="0.25">
      <c r="A4" s="621"/>
      <c r="B4" s="621" t="s">
        <v>363</v>
      </c>
      <c r="C4" s="621"/>
      <c r="D4" s="621"/>
      <c r="E4" s="621"/>
      <c r="F4" s="621"/>
      <c r="G4" s="1508" t="s">
        <v>102</v>
      </c>
      <c r="H4" s="1509" t="s">
        <v>103</v>
      </c>
      <c r="I4" s="621"/>
    </row>
    <row r="5" spans="1:9" ht="30" customHeight="1" x14ac:dyDescent="0.25">
      <c r="B5" s="1492" t="s">
        <v>104</v>
      </c>
      <c r="C5" s="1492"/>
      <c r="D5" s="1492"/>
      <c r="E5" s="1492"/>
      <c r="F5" s="1492"/>
      <c r="G5" s="1492"/>
      <c r="H5" s="1492"/>
      <c r="I5" s="1492"/>
    </row>
    <row r="6" spans="1:9" ht="29.25" customHeight="1" thickBot="1" x14ac:dyDescent="0.3"/>
    <row r="7" spans="1:9" ht="22.5" customHeight="1" thickBot="1" x14ac:dyDescent="0.3">
      <c r="B7" s="32" t="s">
        <v>364</v>
      </c>
      <c r="C7" s="32"/>
      <c r="D7" s="32"/>
      <c r="E7" s="32"/>
      <c r="F7" s="32"/>
      <c r="G7" s="32"/>
      <c r="H7" s="32"/>
      <c r="I7" s="32"/>
    </row>
    <row r="8" spans="1:9" ht="15.75" thickBot="1" x14ac:dyDescent="0.3">
      <c r="C8" s="1382" t="s">
        <v>365</v>
      </c>
      <c r="D8" s="1383"/>
      <c r="E8" s="1383"/>
      <c r="F8" s="1383"/>
      <c r="G8" s="1383"/>
      <c r="H8" s="1383"/>
      <c r="I8" s="1384"/>
    </row>
    <row r="9" spans="1:9" ht="15.75" thickBot="1" x14ac:dyDescent="0.3">
      <c r="C9" s="1396" t="str">
        <f ca="1">dms_y1</f>
        <v>2024-25</v>
      </c>
      <c r="D9" s="1397" t="str">
        <f ca="1">dms_y2</f>
        <v>2025-26</v>
      </c>
      <c r="E9" s="1397" t="str">
        <f ca="1">dms_y3</f>
        <v>2026-27</v>
      </c>
      <c r="F9" s="1397" t="str">
        <f ca="1">dms_y4</f>
        <v>2027-28</v>
      </c>
      <c r="G9" s="1397" t="str">
        <f ca="1">dms_y5</f>
        <v>2028-29</v>
      </c>
      <c r="H9" s="1397" t="str">
        <f ca="1">dms_y6</f>
        <v>2029-30</v>
      </c>
      <c r="I9" s="1398" t="str">
        <f ca="1">dms_y7</f>
        <v>2030-31</v>
      </c>
    </row>
    <row r="10" spans="1:9" x14ac:dyDescent="0.25">
      <c r="B10" s="637" t="s">
        <v>366</v>
      </c>
      <c r="C10" s="378">
        <v>0</v>
      </c>
      <c r="D10" s="1395">
        <v>0</v>
      </c>
      <c r="E10" s="379">
        <v>0</v>
      </c>
      <c r="F10" s="379">
        <v>0</v>
      </c>
      <c r="G10" s="396">
        <v>0</v>
      </c>
      <c r="H10" s="502">
        <v>0</v>
      </c>
      <c r="I10" s="495">
        <v>0</v>
      </c>
    </row>
    <row r="11" spans="1:9" x14ac:dyDescent="0.25">
      <c r="B11" s="638" t="s">
        <v>367</v>
      </c>
      <c r="C11" s="380">
        <v>0</v>
      </c>
      <c r="D11" s="266">
        <v>0</v>
      </c>
      <c r="E11" s="260">
        <v>0</v>
      </c>
      <c r="F11" s="260">
        <v>0</v>
      </c>
      <c r="G11" s="384">
        <v>0</v>
      </c>
      <c r="H11" s="259">
        <v>0</v>
      </c>
      <c r="I11" s="245">
        <v>0</v>
      </c>
    </row>
    <row r="12" spans="1:9" x14ac:dyDescent="0.25">
      <c r="B12" s="638" t="s">
        <v>368</v>
      </c>
      <c r="C12" s="380">
        <v>227</v>
      </c>
      <c r="D12" s="266">
        <v>217</v>
      </c>
      <c r="E12" s="260">
        <v>207</v>
      </c>
      <c r="F12" s="260">
        <v>197</v>
      </c>
      <c r="G12" s="384">
        <v>187</v>
      </c>
      <c r="H12" s="259">
        <v>177</v>
      </c>
      <c r="I12" s="245">
        <v>167</v>
      </c>
    </row>
    <row r="13" spans="1:9" x14ac:dyDescent="0.25">
      <c r="B13" s="638" t="s">
        <v>369</v>
      </c>
      <c r="C13" s="380">
        <v>0</v>
      </c>
      <c r="D13" s="266">
        <v>0</v>
      </c>
      <c r="E13" s="260">
        <v>0</v>
      </c>
      <c r="F13" s="260">
        <v>0</v>
      </c>
      <c r="G13" s="384">
        <v>0</v>
      </c>
      <c r="H13" s="259">
        <v>0</v>
      </c>
      <c r="I13" s="245">
        <v>0</v>
      </c>
    </row>
    <row r="14" spans="1:9" ht="15.75" thickBot="1" x14ac:dyDescent="0.3">
      <c r="B14" s="639" t="s">
        <v>370</v>
      </c>
      <c r="C14" s="381">
        <v>40</v>
      </c>
      <c r="D14" s="268">
        <v>38</v>
      </c>
      <c r="E14" s="262">
        <v>36</v>
      </c>
      <c r="F14" s="262">
        <v>34</v>
      </c>
      <c r="G14" s="397">
        <v>32</v>
      </c>
      <c r="H14" s="261">
        <v>30</v>
      </c>
      <c r="I14" s="494">
        <v>28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9" tint="-0.249977111117893"/>
  </sheetPr>
  <dimension ref="A1:J40"/>
  <sheetViews>
    <sheetView showGridLines="0" zoomScaleNormal="100" workbookViewId="0"/>
  </sheetViews>
  <sheetFormatPr defaultColWidth="9.140625" defaultRowHeight="15" outlineLevelRow="2" x14ac:dyDescent="0.25"/>
  <cols>
    <col min="1" max="1" width="22.7109375" customWidth="1"/>
    <col min="2" max="2" width="52" customWidth="1"/>
    <col min="3" max="9" width="20.7109375" customWidth="1"/>
  </cols>
  <sheetData>
    <row r="1" spans="1:9" ht="30" customHeight="1" x14ac:dyDescent="0.25">
      <c r="A1" s="1112"/>
      <c r="B1" s="1112" t="str">
        <f>INDEX(dms_Worksheet_List,MATCH(dms_Model,dms_Model_List))</f>
        <v>REGULATORY REPORTING STATEMENT</v>
      </c>
      <c r="C1" s="26"/>
      <c r="D1" s="26"/>
      <c r="E1" s="26"/>
      <c r="F1" s="26"/>
      <c r="G1" s="1502" t="s">
        <v>96</v>
      </c>
      <c r="H1" s="1503" t="s">
        <v>97</v>
      </c>
      <c r="I1" s="26"/>
    </row>
    <row r="2" spans="1:9" ht="30" customHeight="1" x14ac:dyDescent="0.25">
      <c r="A2" s="1113"/>
      <c r="B2" s="1113" t="str">
        <f>dms_TradingNameFull</f>
        <v>Australian Gas Networks Limited (reporting data for SA)</v>
      </c>
      <c r="C2" s="26"/>
      <c r="D2" s="26"/>
      <c r="E2" s="26"/>
      <c r="F2" s="26"/>
      <c r="G2" s="1504" t="s">
        <v>98</v>
      </c>
      <c r="H2" s="1505" t="s">
        <v>92</v>
      </c>
      <c r="I2" s="26"/>
    </row>
    <row r="3" spans="1:9" ht="30" customHeight="1" x14ac:dyDescent="0.25">
      <c r="A3" s="1115"/>
      <c r="B3" s="1115" t="str">
        <f ca="1">dms_Header_Span</f>
        <v>2024-25 to 2030-31</v>
      </c>
      <c r="C3" s="26"/>
      <c r="D3" s="26"/>
      <c r="E3" s="26"/>
      <c r="F3" s="26"/>
      <c r="G3" s="1506" t="s">
        <v>99</v>
      </c>
      <c r="H3" s="1507" t="s">
        <v>100</v>
      </c>
      <c r="I3" s="26"/>
    </row>
    <row r="4" spans="1:9" ht="30" customHeight="1" x14ac:dyDescent="0.25">
      <c r="A4" s="621"/>
      <c r="B4" s="621" t="s">
        <v>371</v>
      </c>
      <c r="C4" s="621"/>
      <c r="D4" s="621"/>
      <c r="E4" s="621"/>
      <c r="F4" s="621"/>
      <c r="G4" s="1508" t="s">
        <v>102</v>
      </c>
      <c r="H4" s="1509" t="s">
        <v>103</v>
      </c>
      <c r="I4" s="621"/>
    </row>
    <row r="5" spans="1:9" ht="30" customHeight="1" x14ac:dyDescent="0.25">
      <c r="B5" s="1492" t="s">
        <v>104</v>
      </c>
      <c r="C5" s="1492"/>
      <c r="D5" s="1492"/>
      <c r="E5" s="1492"/>
      <c r="F5" s="1492"/>
      <c r="G5" s="1492"/>
      <c r="H5" s="1492"/>
      <c r="I5" s="1492"/>
    </row>
    <row r="6" spans="1:9" ht="15.75" thickBot="1" x14ac:dyDescent="0.3"/>
    <row r="7" spans="1:9" ht="29.25" customHeight="1" thickBot="1" x14ac:dyDescent="0.3">
      <c r="B7" s="32" t="s">
        <v>372</v>
      </c>
      <c r="C7" s="32"/>
      <c r="D7" s="32"/>
      <c r="E7" s="32"/>
      <c r="F7" s="32"/>
      <c r="G7" s="32"/>
      <c r="H7" s="32"/>
      <c r="I7" s="32"/>
    </row>
    <row r="8" spans="1:9" ht="22.5" customHeight="1" outlineLevel="1" thickBot="1" x14ac:dyDescent="0.3">
      <c r="B8" s="247" t="s">
        <v>373</v>
      </c>
      <c r="C8" s="248"/>
      <c r="D8" s="248"/>
      <c r="E8" s="248"/>
      <c r="F8" s="248"/>
      <c r="G8" s="248"/>
      <c r="H8" s="248"/>
      <c r="I8" s="248"/>
    </row>
    <row r="9" spans="1:9" ht="15.75" outlineLevel="2" thickBot="1" x14ac:dyDescent="0.3">
      <c r="C9" s="1382" t="s">
        <v>365</v>
      </c>
      <c r="D9" s="1383"/>
      <c r="E9" s="1383"/>
      <c r="F9" s="1383"/>
      <c r="G9" s="1383"/>
      <c r="H9" s="1383"/>
      <c r="I9" s="1384"/>
    </row>
    <row r="10" spans="1:9" ht="15.75" outlineLevel="2" thickBot="1" x14ac:dyDescent="0.3">
      <c r="C10" s="1396" t="str">
        <f ca="1">dms_y1</f>
        <v>2024-25</v>
      </c>
      <c r="D10" s="1397" t="str">
        <f ca="1">dms_y2</f>
        <v>2025-26</v>
      </c>
      <c r="E10" s="1397" t="str">
        <f ca="1">dms_y3</f>
        <v>2026-27</v>
      </c>
      <c r="F10" s="1397" t="str">
        <f ca="1">dms_y4</f>
        <v>2027-28</v>
      </c>
      <c r="G10" s="1397" t="str">
        <f ca="1">dms_y5</f>
        <v>2028-29</v>
      </c>
      <c r="H10" s="1397" t="str">
        <f ca="1">dms_y6</f>
        <v>2029-30</v>
      </c>
      <c r="I10" s="1398" t="str">
        <f ca="1">dms_y7</f>
        <v>2030-31</v>
      </c>
    </row>
    <row r="11" spans="1:9" s="340" customFormat="1" outlineLevel="2" x14ac:dyDescent="0.25">
      <c r="A11"/>
      <c r="B11" s="637" t="s">
        <v>374</v>
      </c>
      <c r="C11" s="264">
        <v>8006</v>
      </c>
      <c r="D11" s="265">
        <v>1100</v>
      </c>
      <c r="E11" s="256">
        <v>1100</v>
      </c>
      <c r="F11" s="257">
        <v>1100</v>
      </c>
      <c r="G11" s="257">
        <v>1100</v>
      </c>
      <c r="H11" s="257">
        <v>1100</v>
      </c>
      <c r="I11" s="257">
        <v>1100</v>
      </c>
    </row>
    <row r="12" spans="1:9" s="340" customFormat="1" outlineLevel="2" x14ac:dyDescent="0.25">
      <c r="A12"/>
      <c r="B12" s="638" t="s">
        <v>375</v>
      </c>
      <c r="C12" s="266"/>
      <c r="D12" s="267"/>
      <c r="E12" s="259"/>
      <c r="F12" s="260"/>
      <c r="G12" s="260"/>
      <c r="H12" s="260"/>
      <c r="I12" s="260"/>
    </row>
    <row r="13" spans="1:9" s="340" customFormat="1" ht="15.75" outlineLevel="2" thickBot="1" x14ac:dyDescent="0.3">
      <c r="A13"/>
      <c r="B13" s="639" t="s">
        <v>376</v>
      </c>
      <c r="C13" s="268"/>
      <c r="D13" s="269"/>
      <c r="E13" s="261"/>
      <c r="F13" s="262"/>
      <c r="G13" s="262"/>
      <c r="H13" s="262"/>
      <c r="I13" s="262"/>
    </row>
    <row r="14" spans="1:9" ht="15.75" outlineLevel="1" thickBot="1" x14ac:dyDescent="0.3"/>
    <row r="15" spans="1:9" ht="25.5" customHeight="1" outlineLevel="1" thickBot="1" x14ac:dyDescent="0.3">
      <c r="B15" s="247" t="s">
        <v>377</v>
      </c>
      <c r="C15" s="248"/>
      <c r="D15" s="248"/>
      <c r="E15" s="248"/>
      <c r="F15" s="248"/>
      <c r="G15" s="248"/>
      <c r="H15" s="248"/>
      <c r="I15" s="248"/>
    </row>
    <row r="16" spans="1:9" ht="15.75" outlineLevel="2" thickBot="1" x14ac:dyDescent="0.3">
      <c r="C16" s="1382" t="s">
        <v>365</v>
      </c>
      <c r="D16" s="1383"/>
      <c r="E16" s="1383"/>
      <c r="F16" s="1383"/>
      <c r="G16" s="1383"/>
      <c r="H16" s="1383"/>
      <c r="I16" s="1384"/>
    </row>
    <row r="17" spans="1:10" ht="15.75" outlineLevel="2" thickBot="1" x14ac:dyDescent="0.3">
      <c r="B17" s="319"/>
      <c r="C17" s="1396" t="str">
        <f ca="1">dms_y1</f>
        <v>2024-25</v>
      </c>
      <c r="D17" s="1397" t="str">
        <f ca="1">dms_y2</f>
        <v>2025-26</v>
      </c>
      <c r="E17" s="1397" t="str">
        <f ca="1">dms_y3</f>
        <v>2026-27</v>
      </c>
      <c r="F17" s="1397" t="str">
        <f ca="1">dms_y4</f>
        <v>2027-28</v>
      </c>
      <c r="G17" s="1397" t="str">
        <f ca="1">dms_y5</f>
        <v>2028-29</v>
      </c>
      <c r="H17" s="1397" t="str">
        <f ca="1">dms_y6</f>
        <v>2029-30</v>
      </c>
      <c r="I17" s="1398" t="str">
        <f ca="1">dms_y7</f>
        <v>2030-31</v>
      </c>
    </row>
    <row r="18" spans="1:10" s="340" customFormat="1" outlineLevel="2" x14ac:dyDescent="0.25">
      <c r="A18"/>
      <c r="B18" s="637" t="s">
        <v>374</v>
      </c>
      <c r="C18" s="264">
        <v>279</v>
      </c>
      <c r="D18" s="265">
        <v>277</v>
      </c>
      <c r="E18" s="256">
        <v>271</v>
      </c>
      <c r="F18" s="257">
        <v>266</v>
      </c>
      <c r="G18" s="257">
        <v>260</v>
      </c>
      <c r="H18" s="257">
        <v>255</v>
      </c>
      <c r="I18" s="257">
        <v>250</v>
      </c>
    </row>
    <row r="19" spans="1:10" s="340" customFormat="1" outlineLevel="2" x14ac:dyDescent="0.25">
      <c r="A19"/>
      <c r="B19" s="638" t="s">
        <v>375</v>
      </c>
      <c r="C19" s="266">
        <v>24</v>
      </c>
      <c r="D19" s="267">
        <v>23</v>
      </c>
      <c r="E19" s="259">
        <v>22</v>
      </c>
      <c r="F19" s="260">
        <v>21</v>
      </c>
      <c r="G19" s="260">
        <v>20</v>
      </c>
      <c r="H19" s="260">
        <v>19</v>
      </c>
      <c r="I19" s="260">
        <v>18</v>
      </c>
    </row>
    <row r="20" spans="1:10" s="340" customFormat="1" ht="15.75" outlineLevel="2" thickBot="1" x14ac:dyDescent="0.3">
      <c r="A20"/>
      <c r="B20" s="639" t="s">
        <v>376</v>
      </c>
      <c r="C20" s="268">
        <v>16</v>
      </c>
      <c r="D20" s="269">
        <v>15</v>
      </c>
      <c r="E20" s="261">
        <v>14</v>
      </c>
      <c r="F20" s="262">
        <v>13</v>
      </c>
      <c r="G20" s="262">
        <v>12</v>
      </c>
      <c r="H20" s="262">
        <v>11</v>
      </c>
      <c r="I20" s="262">
        <v>10</v>
      </c>
    </row>
    <row r="21" spans="1:10" outlineLevel="1" x14ac:dyDescent="0.25"/>
    <row r="22" spans="1:10" s="340" customFormat="1" ht="12.75" x14ac:dyDescent="0.2"/>
    <row r="23" spans="1:10" ht="15.75" thickBot="1" x14ac:dyDescent="0.3"/>
    <row r="24" spans="1:10" ht="24.95" customHeight="1" thickBot="1" x14ac:dyDescent="0.3">
      <c r="A24" s="253"/>
      <c r="B24" s="32" t="s">
        <v>378</v>
      </c>
      <c r="C24" s="32"/>
      <c r="D24" s="32"/>
      <c r="E24" s="32"/>
      <c r="F24" s="32"/>
      <c r="G24" s="32"/>
      <c r="H24" s="32"/>
      <c r="I24" s="32"/>
    </row>
    <row r="25" spans="1:10" s="39" customFormat="1" ht="21.75" customHeight="1" outlineLevel="2" x14ac:dyDescent="0.25">
      <c r="A25" s="303"/>
      <c r="B25"/>
      <c r="C25" s="1382" t="s">
        <v>306</v>
      </c>
      <c r="D25" s="1383"/>
      <c r="E25" s="1383"/>
      <c r="F25" s="1383"/>
      <c r="G25" s="1383"/>
      <c r="H25" s="1383"/>
      <c r="I25" s="1384"/>
      <c r="J25"/>
    </row>
    <row r="26" spans="1:10" s="39" customFormat="1" ht="15.75" outlineLevel="2" thickBot="1" x14ac:dyDescent="0.3">
      <c r="A26" s="303"/>
      <c r="B26"/>
      <c r="C26" s="1375" t="s">
        <v>307</v>
      </c>
      <c r="D26" s="1376"/>
      <c r="E26" s="1376"/>
      <c r="F26" s="1376"/>
      <c r="G26" s="1376"/>
      <c r="H26" s="1376"/>
      <c r="I26" s="1377"/>
      <c r="J26"/>
    </row>
    <row r="27" spans="1:10" s="39" customFormat="1" ht="18" customHeight="1" outlineLevel="2" thickBot="1" x14ac:dyDescent="0.3">
      <c r="A27" s="303"/>
      <c r="B27" s="594" t="s">
        <v>379</v>
      </c>
      <c r="C27" s="1396" t="str">
        <f ca="1">dms_y1</f>
        <v>2024-25</v>
      </c>
      <c r="D27" s="1397" t="str">
        <f ca="1">dms_y2</f>
        <v>2025-26</v>
      </c>
      <c r="E27" s="1397" t="str">
        <f ca="1">dms_y3</f>
        <v>2026-27</v>
      </c>
      <c r="F27" s="1397" t="str">
        <f ca="1">dms_y4</f>
        <v>2027-28</v>
      </c>
      <c r="G27" s="1397" t="str">
        <f ca="1">dms_y5</f>
        <v>2028-29</v>
      </c>
      <c r="H27" s="1397" t="str">
        <f ca="1">dms_y6</f>
        <v>2029-30</v>
      </c>
      <c r="I27" s="1398" t="str">
        <f ca="1">dms_y7</f>
        <v>2030-31</v>
      </c>
      <c r="J27"/>
    </row>
    <row r="28" spans="1:10" s="338" customFormat="1" ht="15" customHeight="1" outlineLevel="2" x14ac:dyDescent="0.25">
      <c r="A28" s="390"/>
      <c r="B28" s="616" t="s">
        <v>1509</v>
      </c>
      <c r="C28" s="609">
        <v>313504</v>
      </c>
      <c r="D28" s="610">
        <v>313504</v>
      </c>
      <c r="E28" s="609">
        <v>313504</v>
      </c>
      <c r="F28" s="611">
        <v>313504</v>
      </c>
      <c r="G28" s="611">
        <v>313504</v>
      </c>
      <c r="H28" s="611">
        <v>313504</v>
      </c>
      <c r="I28" s="612">
        <v>313504</v>
      </c>
      <c r="J28"/>
    </row>
    <row r="29" spans="1:10" s="338" customFormat="1" ht="15" customHeight="1" outlineLevel="2" x14ac:dyDescent="0.25">
      <c r="A29" s="390"/>
      <c r="B29" s="631"/>
      <c r="C29" s="498"/>
      <c r="D29" s="497"/>
      <c r="E29" s="498"/>
      <c r="F29" s="499"/>
      <c r="G29" s="499"/>
      <c r="H29" s="499"/>
      <c r="I29" s="605"/>
      <c r="J29"/>
    </row>
    <row r="30" spans="1:10" s="338" customFormat="1" ht="15" customHeight="1" outlineLevel="2" x14ac:dyDescent="0.25">
      <c r="A30" s="390"/>
      <c r="B30" s="631"/>
      <c r="C30" s="498"/>
      <c r="D30" s="497"/>
      <c r="E30" s="498"/>
      <c r="F30" s="499"/>
      <c r="G30" s="499"/>
      <c r="H30" s="499"/>
      <c r="I30" s="605"/>
      <c r="J30"/>
    </row>
    <row r="31" spans="1:10" s="338" customFormat="1" ht="15" customHeight="1" outlineLevel="2" x14ac:dyDescent="0.25">
      <c r="A31" s="390"/>
      <c r="B31" s="631"/>
      <c r="C31" s="498"/>
      <c r="D31" s="497"/>
      <c r="E31" s="498"/>
      <c r="F31" s="499"/>
      <c r="G31" s="499"/>
      <c r="H31" s="499"/>
      <c r="I31" s="605"/>
      <c r="J31"/>
    </row>
    <row r="32" spans="1:10" s="338" customFormat="1" ht="15" customHeight="1" outlineLevel="2" x14ac:dyDescent="0.25">
      <c r="A32" s="390"/>
      <c r="B32" s="631"/>
      <c r="C32" s="498"/>
      <c r="D32" s="497"/>
      <c r="E32" s="498"/>
      <c r="F32" s="499"/>
      <c r="G32" s="499"/>
      <c r="H32" s="499"/>
      <c r="I32" s="605"/>
      <c r="J32"/>
    </row>
    <row r="33" spans="1:10" s="338" customFormat="1" ht="15" customHeight="1" outlineLevel="2" x14ac:dyDescent="0.25">
      <c r="A33" s="390"/>
      <c r="B33" s="505"/>
      <c r="C33" s="448"/>
      <c r="D33" s="449"/>
      <c r="E33" s="448"/>
      <c r="F33" s="450"/>
      <c r="G33" s="450"/>
      <c r="H33" s="450"/>
      <c r="I33" s="606"/>
      <c r="J33"/>
    </row>
    <row r="34" spans="1:10" s="338" customFormat="1" ht="15" customHeight="1" outlineLevel="2" x14ac:dyDescent="0.25">
      <c r="A34" s="390"/>
      <c r="B34" s="505"/>
      <c r="C34" s="448"/>
      <c r="D34" s="449"/>
      <c r="E34" s="448"/>
      <c r="F34" s="450"/>
      <c r="G34" s="450"/>
      <c r="H34" s="450"/>
      <c r="I34" s="606"/>
      <c r="J34"/>
    </row>
    <row r="35" spans="1:10" s="338" customFormat="1" ht="15" customHeight="1" outlineLevel="2" x14ac:dyDescent="0.25">
      <c r="A35" s="390"/>
      <c r="B35" s="505"/>
      <c r="C35" s="448"/>
      <c r="D35" s="449"/>
      <c r="E35" s="448"/>
      <c r="F35" s="450"/>
      <c r="G35" s="450"/>
      <c r="H35" s="450"/>
      <c r="I35" s="606"/>
      <c r="J35"/>
    </row>
    <row r="36" spans="1:10" s="338" customFormat="1" ht="15" customHeight="1" outlineLevel="2" x14ac:dyDescent="0.25">
      <c r="A36" s="390"/>
      <c r="B36" s="505"/>
      <c r="C36" s="448"/>
      <c r="D36" s="449"/>
      <c r="E36" s="448"/>
      <c r="F36" s="450"/>
      <c r="G36" s="450"/>
      <c r="H36" s="450"/>
      <c r="I36" s="606"/>
      <c r="J36"/>
    </row>
    <row r="37" spans="1:10" s="338" customFormat="1" ht="15" customHeight="1" outlineLevel="2" thickBot="1" x14ac:dyDescent="0.3">
      <c r="A37" s="390"/>
      <c r="B37" s="506"/>
      <c r="C37" s="448"/>
      <c r="D37" s="449"/>
      <c r="E37" s="448"/>
      <c r="F37" s="450"/>
      <c r="G37" s="450"/>
      <c r="H37" s="450"/>
      <c r="I37" s="606"/>
      <c r="J37"/>
    </row>
    <row r="38" spans="1:10" s="338" customFormat="1" ht="15.75" outlineLevel="2" thickBot="1" x14ac:dyDescent="0.3">
      <c r="A38" s="390"/>
      <c r="B38" s="295" t="s">
        <v>120</v>
      </c>
      <c r="C38" s="296">
        <f t="shared" ref="C38:I38" si="0">SUM(C28:C37)</f>
        <v>313504</v>
      </c>
      <c r="D38" s="296">
        <f t="shared" si="0"/>
        <v>313504</v>
      </c>
      <c r="E38" s="296">
        <f t="shared" si="0"/>
        <v>313504</v>
      </c>
      <c r="F38" s="296">
        <f t="shared" si="0"/>
        <v>313504</v>
      </c>
      <c r="G38" s="296">
        <f t="shared" si="0"/>
        <v>313504</v>
      </c>
      <c r="H38" s="296">
        <f t="shared" si="0"/>
        <v>313504</v>
      </c>
      <c r="I38" s="297">
        <f t="shared" si="0"/>
        <v>313504</v>
      </c>
      <c r="J38"/>
    </row>
    <row r="39" spans="1:10" s="338" customFormat="1" x14ac:dyDescent="0.25"/>
    <row r="40" spans="1:10" s="338" customFormat="1" x14ac:dyDescent="0.25"/>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2">
    <tabColor theme="3" tint="0.59999389629810485"/>
  </sheetPr>
  <dimension ref="A1:I190"/>
  <sheetViews>
    <sheetView showGridLines="0" zoomScaleNormal="100" workbookViewId="0">
      <selection activeCell="B23" sqref="B23"/>
    </sheetView>
  </sheetViews>
  <sheetFormatPr defaultColWidth="9.140625" defaultRowHeight="15" outlineLevelRow="2" x14ac:dyDescent="0.25"/>
  <cols>
    <col min="1" max="1" width="22.7109375" customWidth="1"/>
    <col min="2" max="2" width="93.7109375" customWidth="1"/>
    <col min="3" max="9" width="20.7109375" customWidth="1"/>
  </cols>
  <sheetData>
    <row r="1" spans="1:9" ht="30" customHeight="1" x14ac:dyDescent="0.25">
      <c r="A1" s="1112"/>
      <c r="B1" s="1112" t="str">
        <f>INDEX(dms_Worksheet_List,MATCH(dms_Model,dms_Model_List))</f>
        <v>REGULATORY REPORTING STATEMENT</v>
      </c>
      <c r="C1" s="26"/>
      <c r="D1" s="26"/>
      <c r="E1" s="26"/>
      <c r="F1" s="26"/>
      <c r="G1" s="1502" t="s">
        <v>96</v>
      </c>
      <c r="H1" s="1503" t="s">
        <v>97</v>
      </c>
      <c r="I1" s="26"/>
    </row>
    <row r="2" spans="1:9" ht="30" customHeight="1" x14ac:dyDescent="0.25">
      <c r="A2" s="1113"/>
      <c r="B2" s="1113" t="str">
        <f>dms_TradingNameFull</f>
        <v>Australian Gas Networks Limited (reporting data for SA)</v>
      </c>
      <c r="C2" s="26"/>
      <c r="D2" s="26"/>
      <c r="E2" s="26"/>
      <c r="F2" s="26"/>
      <c r="G2" s="1504" t="s">
        <v>98</v>
      </c>
      <c r="H2" s="1505" t="s">
        <v>92</v>
      </c>
      <c r="I2" s="26"/>
    </row>
    <row r="3" spans="1:9" ht="30" customHeight="1" x14ac:dyDescent="0.25">
      <c r="A3" s="1115"/>
      <c r="B3" s="1115" t="str">
        <f ca="1">dms_Header_Span</f>
        <v>2024-25 to 2030-31</v>
      </c>
      <c r="C3" s="26"/>
      <c r="D3" s="26"/>
      <c r="E3" s="26"/>
      <c r="F3" s="26"/>
      <c r="G3" s="1506" t="s">
        <v>99</v>
      </c>
      <c r="H3" s="1507" t="s">
        <v>100</v>
      </c>
      <c r="I3" s="26"/>
    </row>
    <row r="4" spans="1:9" ht="30" customHeight="1" x14ac:dyDescent="0.25">
      <c r="A4" s="621"/>
      <c r="B4" s="621" t="s">
        <v>380</v>
      </c>
      <c r="C4" s="621"/>
      <c r="D4" s="621"/>
      <c r="E4" s="621"/>
      <c r="F4" s="621"/>
      <c r="G4" s="1508" t="s">
        <v>102</v>
      </c>
      <c r="H4" s="1509" t="s">
        <v>103</v>
      </c>
      <c r="I4" s="621"/>
    </row>
    <row r="5" spans="1:9" ht="30" customHeight="1" x14ac:dyDescent="0.25">
      <c r="B5" s="1492" t="s">
        <v>104</v>
      </c>
      <c r="C5" s="1492"/>
      <c r="D5" s="1492"/>
      <c r="E5" s="1492"/>
      <c r="F5" s="1492"/>
      <c r="G5" s="1492"/>
      <c r="H5" s="1492"/>
      <c r="I5" s="1492"/>
    </row>
    <row r="6" spans="1:9" ht="15.75" thickBot="1" x14ac:dyDescent="0.3"/>
    <row r="7" spans="1:9" ht="30.75" customHeight="1" thickBot="1" x14ac:dyDescent="0.3">
      <c r="A7" s="253"/>
      <c r="B7" s="32" t="s">
        <v>381</v>
      </c>
      <c r="C7" s="32"/>
      <c r="D7" s="32"/>
      <c r="E7" s="32"/>
      <c r="F7" s="32"/>
      <c r="G7" s="32"/>
      <c r="H7" s="32"/>
      <c r="I7" s="32"/>
    </row>
    <row r="8" spans="1:9" ht="21" customHeight="1" outlineLevel="1" thickBot="1" x14ac:dyDescent="0.3">
      <c r="A8" s="253"/>
      <c r="B8" s="247" t="s">
        <v>382</v>
      </c>
      <c r="C8" s="248"/>
      <c r="D8" s="248"/>
      <c r="E8" s="248"/>
      <c r="F8" s="248"/>
      <c r="G8" s="248"/>
      <c r="H8" s="248"/>
      <c r="I8" s="249"/>
    </row>
    <row r="9" spans="1:9" ht="26.25" customHeight="1" outlineLevel="2" x14ac:dyDescent="0.25">
      <c r="A9" s="253"/>
      <c r="C9" s="1379" t="s">
        <v>383</v>
      </c>
      <c r="D9" s="1379"/>
      <c r="E9" s="1379"/>
      <c r="F9" s="1379"/>
      <c r="G9" s="1379"/>
      <c r="H9" s="1379"/>
      <c r="I9" s="1380"/>
    </row>
    <row r="10" spans="1:9" ht="26.25" customHeight="1" outlineLevel="2" x14ac:dyDescent="0.25">
      <c r="A10" s="253"/>
      <c r="C10" s="1378" t="str">
        <f ca="1">CONCATENATE("$, real ",dms_DollarReal)</f>
        <v>$, real June 2026</v>
      </c>
      <c r="D10" s="1378"/>
      <c r="E10" s="1378"/>
      <c r="F10" s="1378"/>
      <c r="G10" s="1378"/>
      <c r="H10" s="1378"/>
      <c r="I10" s="1381"/>
    </row>
    <row r="11" spans="1:9" ht="27" customHeight="1" outlineLevel="2" thickBot="1" x14ac:dyDescent="0.3">
      <c r="A11" s="253"/>
      <c r="B11" s="633" t="s">
        <v>311</v>
      </c>
      <c r="C11" s="400" t="str">
        <f ca="1">dms_y1</f>
        <v>2024-25</v>
      </c>
      <c r="D11" s="314" t="str">
        <f ca="1">dms_y2</f>
        <v>2025-26</v>
      </c>
      <c r="E11" s="313" t="str">
        <f ca="1">dms_y3</f>
        <v>2026-27</v>
      </c>
      <c r="F11" s="313" t="str">
        <f ca="1">dms_y4</f>
        <v>2027-28</v>
      </c>
      <c r="G11" s="313" t="str">
        <f ca="1">dms_y5</f>
        <v>2028-29</v>
      </c>
      <c r="H11" s="313" t="str">
        <f ca="1">dms_y6</f>
        <v>2029-30</v>
      </c>
      <c r="I11" s="401" t="str">
        <f ca="1">dms_y7</f>
        <v>2030-31</v>
      </c>
    </row>
    <row r="12" spans="1:9" outlineLevel="2" x14ac:dyDescent="0.25">
      <c r="A12" s="253"/>
      <c r="B12" s="635" t="str">
        <f>IF(ISBLANK('N1. Demand'!B22),"",'N1. Demand'!B22)</f>
        <v>Residential - SA excl New Towns (GJ/d)</v>
      </c>
      <c r="C12" s="256">
        <v>198451150.0438692</v>
      </c>
      <c r="D12" s="260">
        <v>206776043.06944016</v>
      </c>
      <c r="E12" s="259">
        <v>198956355.34900391</v>
      </c>
      <c r="F12" s="260">
        <v>200225751.63692868</v>
      </c>
      <c r="G12" s="384">
        <v>199832583.45250642</v>
      </c>
      <c r="H12" s="260">
        <v>199562736.99961281</v>
      </c>
      <c r="I12" s="245">
        <v>199227779.41601104</v>
      </c>
    </row>
    <row r="13" spans="1:9" outlineLevel="2" x14ac:dyDescent="0.25">
      <c r="A13" s="253"/>
      <c r="B13" s="636" t="str">
        <f>IF(ISBLANK('N1. Demand'!B23),"",'N1. Demand'!B23)</f>
        <v>Residential - New Towns (GJ/d)</v>
      </c>
      <c r="C13" s="259">
        <v>100263.21095562365</v>
      </c>
      <c r="D13" s="260">
        <v>104469.1856018845</v>
      </c>
      <c r="E13" s="259">
        <v>109079.36724370896</v>
      </c>
      <c r="F13" s="260">
        <v>119977.62475439841</v>
      </c>
      <c r="G13" s="384">
        <v>132187.79751873686</v>
      </c>
      <c r="H13" s="260">
        <v>146647.08895237045</v>
      </c>
      <c r="I13" s="245">
        <v>163804.3326572559</v>
      </c>
    </row>
    <row r="14" spans="1:9" outlineLevel="2" x14ac:dyDescent="0.25">
      <c r="A14" s="253"/>
      <c r="B14" s="636" t="str">
        <f>IF(ISBLANK('N1. Demand'!B24),"",'N1. Demand'!B24)</f>
        <v>Commercial - SA excl New Towns (GJ/d)</v>
      </c>
      <c r="C14" s="259">
        <v>38220238.448863573</v>
      </c>
      <c r="D14" s="260">
        <v>40680974.999438338</v>
      </c>
      <c r="E14" s="259">
        <v>39989454.981770895</v>
      </c>
      <c r="F14" s="260">
        <v>41101297.223370403</v>
      </c>
      <c r="G14" s="384">
        <v>42195198.312431112</v>
      </c>
      <c r="H14" s="260">
        <v>43172797.229658537</v>
      </c>
      <c r="I14" s="245">
        <v>44035793.135211803</v>
      </c>
    </row>
    <row r="15" spans="1:9" outlineLevel="2" x14ac:dyDescent="0.25">
      <c r="A15" s="253"/>
      <c r="B15" s="636" t="str">
        <f>IF(ISBLANK('N1. Demand'!B25),"",'N1. Demand'!B25)</f>
        <v>Commercial - New Towns (GJ/d)</v>
      </c>
      <c r="C15" s="259">
        <v>137873.37761376757</v>
      </c>
      <c r="D15" s="260">
        <v>146750.08988491987</v>
      </c>
      <c r="E15" s="259">
        <v>144616.68804196035</v>
      </c>
      <c r="F15" s="260">
        <v>149033.89020778862</v>
      </c>
      <c r="G15" s="384">
        <v>153438.53191950094</v>
      </c>
      <c r="H15" s="260">
        <v>157481.59124300207</v>
      </c>
      <c r="I15" s="245">
        <v>161171.59523894096</v>
      </c>
    </row>
    <row r="16" spans="1:9" outlineLevel="2" x14ac:dyDescent="0.25">
      <c r="A16" s="253"/>
      <c r="B16" s="636" t="str">
        <f>IF(ISBLANK('N1. Demand'!B26),"",'N1. Demand'!B26)</f>
        <v xml:space="preserve">Tariff D Zone - Northern </v>
      </c>
      <c r="C16" s="259">
        <v>10023195.559484107</v>
      </c>
      <c r="D16" s="260">
        <v>10683173.005493501</v>
      </c>
      <c r="E16" s="259">
        <v>10577196.802327018</v>
      </c>
      <c r="F16" s="260">
        <v>10866257.811211102</v>
      </c>
      <c r="G16" s="384">
        <v>11139189.110685557</v>
      </c>
      <c r="H16" s="260">
        <v>11368871.183418255</v>
      </c>
      <c r="I16" s="245">
        <v>11555309.662120491</v>
      </c>
    </row>
    <row r="17" spans="1:9" outlineLevel="2" x14ac:dyDescent="0.25">
      <c r="A17" s="253"/>
      <c r="B17" s="636" t="str">
        <f>IF(ISBLANK('N1. Demand'!B27),"",'N1. Demand'!B27)</f>
        <v>Tariff D Zone - Central</v>
      </c>
      <c r="C17" s="259">
        <v>4712633.5326242074</v>
      </c>
      <c r="D17" s="260">
        <v>5022936.950768793</v>
      </c>
      <c r="E17" s="259">
        <v>4973109.8267005617</v>
      </c>
      <c r="F17" s="260">
        <v>5122211.7686324529</v>
      </c>
      <c r="G17" s="384">
        <v>5275178.2278865138</v>
      </c>
      <c r="H17" s="260">
        <v>5433090.3700149292</v>
      </c>
      <c r="I17" s="245">
        <v>5596090.5018250011</v>
      </c>
    </row>
    <row r="18" spans="1:9" outlineLevel="2" x14ac:dyDescent="0.25">
      <c r="A18" s="253"/>
      <c r="B18" s="636" t="str">
        <f>IF(ISBLANK('N1. Demand'!B28),"",'N1. Demand'!B28)</f>
        <v xml:space="preserve">Tariff D Zone - Southern </v>
      </c>
      <c r="C18" s="259">
        <v>1379855.6327125258</v>
      </c>
      <c r="D18" s="260">
        <v>1470712.2453501585</v>
      </c>
      <c r="E18" s="259">
        <v>1456122.9000655208</v>
      </c>
      <c r="F18" s="260">
        <v>1496090.0133616109</v>
      </c>
      <c r="G18" s="384">
        <v>1536901.7027994241</v>
      </c>
      <c r="H18" s="260">
        <v>1578886.7111725605</v>
      </c>
      <c r="I18" s="245">
        <v>1622071.5933354991</v>
      </c>
    </row>
    <row r="19" spans="1:9" outlineLevel="2" x14ac:dyDescent="0.25">
      <c r="A19" s="253"/>
      <c r="B19" s="636" t="str">
        <f>IF(ISBLANK('N1. Demand'!B29),"",'N1. Demand'!B29)</f>
        <v>Tariff D Zone - Peterborough</v>
      </c>
      <c r="C19" s="259">
        <v>0</v>
      </c>
      <c r="D19" s="260">
        <v>0</v>
      </c>
      <c r="E19" s="259">
        <v>0</v>
      </c>
      <c r="F19" s="260">
        <v>0</v>
      </c>
      <c r="G19" s="384">
        <v>0</v>
      </c>
      <c r="H19" s="260">
        <v>0</v>
      </c>
      <c r="I19" s="245">
        <v>0</v>
      </c>
    </row>
    <row r="20" spans="1:9" outlineLevel="2" x14ac:dyDescent="0.25">
      <c r="A20" s="253"/>
      <c r="B20" s="636" t="str">
        <f>IF(ISBLANK('N1. Demand'!B30),"",'N1. Demand'!B30)</f>
        <v>Tariff D Zone - Port Pirie</v>
      </c>
      <c r="C20" s="1563"/>
      <c r="D20" s="1536"/>
      <c r="E20" s="1563"/>
      <c r="F20" s="1536"/>
      <c r="G20" s="1564"/>
      <c r="H20" s="1536"/>
      <c r="I20" s="1537"/>
    </row>
    <row r="21" spans="1:9" outlineLevel="2" x14ac:dyDescent="0.25">
      <c r="A21" s="253"/>
      <c r="B21" s="636" t="str">
        <f>IF(ISBLANK('N1. Demand'!B31),"",'N1. Demand'!B31)</f>
        <v>Tariff D Zone - Riverland</v>
      </c>
      <c r="C21" s="1563"/>
      <c r="D21" s="1536"/>
      <c r="E21" s="1563"/>
      <c r="F21" s="1536"/>
      <c r="G21" s="1564"/>
      <c r="H21" s="1536"/>
      <c r="I21" s="1537"/>
    </row>
    <row r="22" spans="1:9" outlineLevel="2" x14ac:dyDescent="0.25">
      <c r="A22" s="253"/>
      <c r="B22" s="636" t="str">
        <f>IF(ISBLANK('N1. Demand'!B32),"",'N1. Demand'!B32)</f>
        <v>Tariff D Zone - South East</v>
      </c>
      <c r="C22" s="1563"/>
      <c r="D22" s="1536"/>
      <c r="E22" s="1563"/>
      <c r="F22" s="1536"/>
      <c r="G22" s="1564"/>
      <c r="H22" s="1536"/>
      <c r="I22" s="1537"/>
    </row>
    <row r="23" spans="1:9" outlineLevel="2" x14ac:dyDescent="0.25">
      <c r="A23" s="253"/>
      <c r="B23" s="636" t="str">
        <f>IF(ISBLANK('N1. Demand'!B33),"",'N1. Demand'!B33)</f>
        <v>Tariff D Zone - Whyalla</v>
      </c>
      <c r="C23" s="1563"/>
      <c r="D23" s="1536"/>
      <c r="E23" s="1563"/>
      <c r="F23" s="1536"/>
      <c r="G23" s="1564"/>
      <c r="H23" s="1536"/>
      <c r="I23" s="1537"/>
    </row>
    <row r="24" spans="1:9" outlineLevel="2" x14ac:dyDescent="0.25">
      <c r="A24" s="253"/>
      <c r="B24" s="636" t="str">
        <f>IF(ISBLANK('N1. Demand'!B34),"",'N1. Demand'!B34)</f>
        <v/>
      </c>
      <c r="C24" s="259"/>
      <c r="D24" s="260"/>
      <c r="E24" s="259"/>
      <c r="F24" s="260"/>
      <c r="G24" s="384"/>
      <c r="H24" s="260"/>
      <c r="I24" s="245"/>
    </row>
    <row r="25" spans="1:9" outlineLevel="2" x14ac:dyDescent="0.25">
      <c r="A25" s="253"/>
      <c r="B25" s="636" t="str">
        <f>IF(ISBLANK('N1. Demand'!B35),"",'N1. Demand'!B35)</f>
        <v/>
      </c>
      <c r="C25" s="259"/>
      <c r="D25" s="260"/>
      <c r="E25" s="259"/>
      <c r="F25" s="260"/>
      <c r="G25" s="384"/>
      <c r="H25" s="260"/>
      <c r="I25" s="245"/>
    </row>
    <row r="26" spans="1:9" outlineLevel="2" x14ac:dyDescent="0.25">
      <c r="A26" s="253"/>
      <c r="B26" s="636" t="str">
        <f>IF(ISBLANK('N1. Demand'!B36),"",'N1. Demand'!B36)</f>
        <v/>
      </c>
      <c r="C26" s="259"/>
      <c r="D26" s="260"/>
      <c r="E26" s="259"/>
      <c r="F26" s="260"/>
      <c r="G26" s="384"/>
      <c r="H26" s="260"/>
      <c r="I26" s="245"/>
    </row>
    <row r="27" spans="1:9" outlineLevel="2" x14ac:dyDescent="0.25">
      <c r="A27" s="253"/>
      <c r="B27" s="636" t="str">
        <f>IF(ISBLANK('N1. Demand'!B37),"",'N1. Demand'!B37)</f>
        <v/>
      </c>
      <c r="C27" s="259"/>
      <c r="D27" s="260"/>
      <c r="E27" s="259"/>
      <c r="F27" s="260"/>
      <c r="G27" s="384"/>
      <c r="H27" s="260"/>
      <c r="I27" s="245"/>
    </row>
    <row r="28" spans="1:9" outlineLevel="2" x14ac:dyDescent="0.25">
      <c r="A28" s="253"/>
      <c r="B28" s="636" t="str">
        <f>IF(ISBLANK('N1. Demand'!B38),"",'N1. Demand'!B38)</f>
        <v/>
      </c>
      <c r="C28" s="259"/>
      <c r="D28" s="260"/>
      <c r="E28" s="259"/>
      <c r="F28" s="260"/>
      <c r="G28" s="384"/>
      <c r="H28" s="260"/>
      <c r="I28" s="245"/>
    </row>
    <row r="29" spans="1:9" outlineLevel="2" x14ac:dyDescent="0.25">
      <c r="A29" s="253"/>
      <c r="B29" s="636" t="str">
        <f>IF(ISBLANK('N1. Demand'!B39),"",'N1. Demand'!B39)</f>
        <v/>
      </c>
      <c r="C29" s="259"/>
      <c r="D29" s="260"/>
      <c r="E29" s="259"/>
      <c r="F29" s="260"/>
      <c r="G29" s="384"/>
      <c r="H29" s="260"/>
      <c r="I29" s="245"/>
    </row>
    <row r="30" spans="1:9" outlineLevel="2" x14ac:dyDescent="0.25">
      <c r="A30" s="253"/>
      <c r="B30" s="636" t="str">
        <f>IF(ISBLANK('N1. Demand'!B40),"",'N1. Demand'!B40)</f>
        <v/>
      </c>
      <c r="C30" s="259"/>
      <c r="D30" s="260"/>
      <c r="E30" s="259"/>
      <c r="F30" s="260"/>
      <c r="G30" s="384"/>
      <c r="H30" s="260"/>
      <c r="I30" s="245"/>
    </row>
    <row r="31" spans="1:9" outlineLevel="2" x14ac:dyDescent="0.25">
      <c r="A31" s="253"/>
      <c r="B31" s="636" t="str">
        <f>IF(ISBLANK('N1. Demand'!B41),"",'N1. Demand'!B41)</f>
        <v/>
      </c>
      <c r="C31" s="259"/>
      <c r="D31" s="260"/>
      <c r="E31" s="259"/>
      <c r="F31" s="260"/>
      <c r="G31" s="384"/>
      <c r="H31" s="260"/>
      <c r="I31" s="245"/>
    </row>
    <row r="32" spans="1:9" outlineLevel="2" x14ac:dyDescent="0.25">
      <c r="A32" s="253"/>
      <c r="B32" s="636" t="str">
        <f>IF(ISBLANK('N1. Demand'!B42),"",'N1. Demand'!B42)</f>
        <v/>
      </c>
      <c r="C32" s="259"/>
      <c r="D32" s="260"/>
      <c r="E32" s="259"/>
      <c r="F32" s="260"/>
      <c r="G32" s="384"/>
      <c r="H32" s="260"/>
      <c r="I32" s="245"/>
    </row>
    <row r="33" spans="1:9" outlineLevel="2" x14ac:dyDescent="0.25">
      <c r="A33" s="253"/>
      <c r="B33" s="636" t="str">
        <f>IF(ISBLANK('N1. Demand'!B43),"",'N1. Demand'!B43)</f>
        <v/>
      </c>
      <c r="C33" s="259"/>
      <c r="D33" s="260"/>
      <c r="E33" s="259"/>
      <c r="F33" s="260"/>
      <c r="G33" s="384"/>
      <c r="H33" s="260"/>
      <c r="I33" s="245"/>
    </row>
    <row r="34" spans="1:9" outlineLevel="2" x14ac:dyDescent="0.25">
      <c r="A34" s="253"/>
      <c r="B34" s="636" t="str">
        <f>IF(ISBLANK('N1. Demand'!B44),"",'N1. Demand'!B44)</f>
        <v/>
      </c>
      <c r="C34" s="259"/>
      <c r="D34" s="260"/>
      <c r="E34" s="259"/>
      <c r="F34" s="260"/>
      <c r="G34" s="384"/>
      <c r="H34" s="260"/>
      <c r="I34" s="245"/>
    </row>
    <row r="35" spans="1:9" outlineLevel="2" x14ac:dyDescent="0.25">
      <c r="A35" s="253"/>
      <c r="B35" s="636" t="str">
        <f>IF(ISBLANK('N1. Demand'!B45),"",'N1. Demand'!B45)</f>
        <v/>
      </c>
      <c r="C35" s="259"/>
      <c r="D35" s="260"/>
      <c r="E35" s="259"/>
      <c r="F35" s="260"/>
      <c r="G35" s="384"/>
      <c r="H35" s="260"/>
      <c r="I35" s="245"/>
    </row>
    <row r="36" spans="1:9" outlineLevel="2" x14ac:dyDescent="0.25">
      <c r="A36" s="253"/>
      <c r="B36" s="636" t="str">
        <f>IF(ISBLANK('N1. Demand'!B46),"",'N1. Demand'!B46)</f>
        <v/>
      </c>
      <c r="C36" s="259"/>
      <c r="D36" s="260"/>
      <c r="E36" s="259"/>
      <c r="F36" s="260"/>
      <c r="G36" s="384"/>
      <c r="H36" s="260"/>
      <c r="I36" s="245"/>
    </row>
    <row r="37" spans="1:9" outlineLevel="2" x14ac:dyDescent="0.25">
      <c r="A37" s="253"/>
      <c r="B37" s="636" t="str">
        <f>IF(ISBLANK('N1. Demand'!B47),"",'N1. Demand'!B47)</f>
        <v/>
      </c>
      <c r="C37" s="259"/>
      <c r="D37" s="260"/>
      <c r="E37" s="259"/>
      <c r="F37" s="260"/>
      <c r="G37" s="384"/>
      <c r="H37" s="260"/>
      <c r="I37" s="245"/>
    </row>
    <row r="38" spans="1:9" outlineLevel="2" x14ac:dyDescent="0.25">
      <c r="A38" s="253"/>
      <c r="B38" s="636" t="str">
        <f>IF(ISBLANK('N1. Demand'!B48),"",'N1. Demand'!B48)</f>
        <v/>
      </c>
      <c r="C38" s="259"/>
      <c r="D38" s="260"/>
      <c r="E38" s="259"/>
      <c r="F38" s="260"/>
      <c r="G38" s="384"/>
      <c r="H38" s="260"/>
      <c r="I38" s="245"/>
    </row>
    <row r="39" spans="1:9" outlineLevel="2" x14ac:dyDescent="0.25">
      <c r="A39" s="253"/>
      <c r="B39" s="636" t="str">
        <f>IF(ISBLANK('N1. Demand'!B49),"",'N1. Demand'!B49)</f>
        <v/>
      </c>
      <c r="C39" s="259"/>
      <c r="D39" s="260"/>
      <c r="E39" s="259"/>
      <c r="F39" s="260"/>
      <c r="G39" s="384"/>
      <c r="H39" s="260"/>
      <c r="I39" s="245"/>
    </row>
    <row r="40" spans="1:9" outlineLevel="2" x14ac:dyDescent="0.25">
      <c r="A40" s="253"/>
      <c r="B40" s="636" t="str">
        <f>IF(ISBLANK('N1. Demand'!B50),"",'N1. Demand'!B50)</f>
        <v/>
      </c>
      <c r="C40" s="259"/>
      <c r="D40" s="260"/>
      <c r="E40" s="259"/>
      <c r="F40" s="260"/>
      <c r="G40" s="384"/>
      <c r="H40" s="260"/>
      <c r="I40" s="245"/>
    </row>
    <row r="41" spans="1:9" outlineLevel="2" x14ac:dyDescent="0.25">
      <c r="A41" s="253"/>
      <c r="B41" s="636" t="str">
        <f>IF(ISBLANK('N1. Demand'!B51),"",'N1. Demand'!B51)</f>
        <v/>
      </c>
      <c r="C41" s="259"/>
      <c r="D41" s="260"/>
      <c r="E41" s="259"/>
      <c r="F41" s="260"/>
      <c r="G41" s="384"/>
      <c r="H41" s="260"/>
      <c r="I41" s="245"/>
    </row>
    <row r="42" spans="1:9" outlineLevel="2" x14ac:dyDescent="0.25">
      <c r="A42" s="253"/>
      <c r="B42" s="636" t="str">
        <f>IF(ISBLANK('N1. Demand'!B52),"",'N1. Demand'!B52)</f>
        <v/>
      </c>
      <c r="C42" s="259"/>
      <c r="D42" s="260"/>
      <c r="E42" s="259"/>
      <c r="F42" s="260"/>
      <c r="G42" s="384"/>
      <c r="H42" s="260"/>
      <c r="I42" s="245"/>
    </row>
    <row r="43" spans="1:9" outlineLevel="2" x14ac:dyDescent="0.25">
      <c r="A43" s="253"/>
      <c r="B43" s="636" t="str">
        <f>IF(ISBLANK('N1. Demand'!B53),"",'N1. Demand'!B53)</f>
        <v/>
      </c>
      <c r="C43" s="259"/>
      <c r="D43" s="260"/>
      <c r="E43" s="259"/>
      <c r="F43" s="260"/>
      <c r="G43" s="384"/>
      <c r="H43" s="260"/>
      <c r="I43" s="245"/>
    </row>
    <row r="44" spans="1:9" outlineLevel="2" x14ac:dyDescent="0.25">
      <c r="A44" s="253"/>
      <c r="B44" s="636" t="str">
        <f>IF(ISBLANK('N1. Demand'!B54),"",'N1. Demand'!B54)</f>
        <v/>
      </c>
      <c r="C44" s="259"/>
      <c r="D44" s="260"/>
      <c r="E44" s="259"/>
      <c r="F44" s="260"/>
      <c r="G44" s="384"/>
      <c r="H44" s="260"/>
      <c r="I44" s="245"/>
    </row>
    <row r="45" spans="1:9" outlineLevel="2" x14ac:dyDescent="0.25">
      <c r="A45" s="253"/>
      <c r="B45" s="636" t="str">
        <f>IF(ISBLANK('N1. Demand'!B55),"",'N1. Demand'!B55)</f>
        <v/>
      </c>
      <c r="C45" s="259"/>
      <c r="D45" s="260"/>
      <c r="E45" s="259"/>
      <c r="F45" s="260"/>
      <c r="G45" s="384"/>
      <c r="H45" s="260"/>
      <c r="I45" s="245"/>
    </row>
    <row r="46" spans="1:9" outlineLevel="2" x14ac:dyDescent="0.25">
      <c r="A46" s="253"/>
      <c r="B46" s="636" t="str">
        <f>IF(ISBLANK('N1. Demand'!B56),"",'N1. Demand'!B56)</f>
        <v/>
      </c>
      <c r="C46" s="259"/>
      <c r="D46" s="260"/>
      <c r="E46" s="259"/>
      <c r="F46" s="260"/>
      <c r="G46" s="384"/>
      <c r="H46" s="260"/>
      <c r="I46" s="245"/>
    </row>
    <row r="47" spans="1:9" outlineLevel="2" x14ac:dyDescent="0.25">
      <c r="A47" s="253"/>
      <c r="B47" s="636" t="str">
        <f>IF(ISBLANK('N1. Demand'!B57),"",'N1. Demand'!B57)</f>
        <v/>
      </c>
      <c r="C47" s="259"/>
      <c r="D47" s="260"/>
      <c r="E47" s="259"/>
      <c r="F47" s="260"/>
      <c r="G47" s="384"/>
      <c r="H47" s="260"/>
      <c r="I47" s="245"/>
    </row>
    <row r="48" spans="1:9" outlineLevel="2" x14ac:dyDescent="0.25">
      <c r="A48" s="253"/>
      <c r="B48" s="636" t="str">
        <f>IF(ISBLANK('N1. Demand'!B58),"",'N1. Demand'!B58)</f>
        <v/>
      </c>
      <c r="C48" s="259"/>
      <c r="D48" s="260"/>
      <c r="E48" s="259"/>
      <c r="F48" s="260"/>
      <c r="G48" s="384"/>
      <c r="H48" s="260"/>
      <c r="I48" s="245"/>
    </row>
    <row r="49" spans="1:9" outlineLevel="2" x14ac:dyDescent="0.25">
      <c r="A49" s="253"/>
      <c r="B49" s="636" t="str">
        <f>IF(ISBLANK('N1. Demand'!B59),"",'N1. Demand'!B59)</f>
        <v/>
      </c>
      <c r="C49" s="259"/>
      <c r="D49" s="260"/>
      <c r="E49" s="259"/>
      <c r="F49" s="260"/>
      <c r="G49" s="384"/>
      <c r="H49" s="260"/>
      <c r="I49" s="245"/>
    </row>
    <row r="50" spans="1:9" outlineLevel="2" x14ac:dyDescent="0.25">
      <c r="A50" s="253"/>
      <c r="B50" s="636" t="str">
        <f>IF(ISBLANK('N1. Demand'!B60),"",'N1. Demand'!B60)</f>
        <v/>
      </c>
      <c r="C50" s="259"/>
      <c r="D50" s="260"/>
      <c r="E50" s="259"/>
      <c r="F50" s="260"/>
      <c r="G50" s="384"/>
      <c r="H50" s="260"/>
      <c r="I50" s="245"/>
    </row>
    <row r="51" spans="1:9" outlineLevel="2" x14ac:dyDescent="0.25">
      <c r="A51" s="253"/>
      <c r="B51" s="636" t="str">
        <f>IF(ISBLANK('N1. Demand'!B61),"",'N1. Demand'!B61)</f>
        <v/>
      </c>
      <c r="C51" s="259"/>
      <c r="D51" s="260"/>
      <c r="E51" s="259"/>
      <c r="F51" s="260"/>
      <c r="G51" s="384"/>
      <c r="H51" s="260"/>
      <c r="I51" s="245"/>
    </row>
    <row r="52" spans="1:9" outlineLevel="2" x14ac:dyDescent="0.25">
      <c r="A52" s="253"/>
      <c r="B52" s="636" t="str">
        <f>IF(ISBLANK('N1. Demand'!B62),"",'N1. Demand'!B62)</f>
        <v/>
      </c>
      <c r="C52" s="259"/>
      <c r="D52" s="260"/>
      <c r="E52" s="259"/>
      <c r="F52" s="260"/>
      <c r="G52" s="384"/>
      <c r="H52" s="260"/>
      <c r="I52" s="245"/>
    </row>
    <row r="53" spans="1:9" outlineLevel="2" x14ac:dyDescent="0.25">
      <c r="A53" s="253"/>
      <c r="B53" s="636" t="str">
        <f>IF(ISBLANK('N1. Demand'!B63),"",'N1. Demand'!B63)</f>
        <v/>
      </c>
      <c r="C53" s="259"/>
      <c r="D53" s="260"/>
      <c r="E53" s="259"/>
      <c r="F53" s="260"/>
      <c r="G53" s="384"/>
      <c r="H53" s="260"/>
      <c r="I53" s="245"/>
    </row>
    <row r="54" spans="1:9" outlineLevel="2" x14ac:dyDescent="0.25">
      <c r="A54" s="253"/>
      <c r="B54" s="636" t="str">
        <f>IF(ISBLANK('N1. Demand'!B64),"",'N1. Demand'!B64)</f>
        <v/>
      </c>
      <c r="C54" s="259"/>
      <c r="D54" s="260"/>
      <c r="E54" s="259"/>
      <c r="F54" s="260"/>
      <c r="G54" s="384"/>
      <c r="H54" s="260"/>
      <c r="I54" s="245"/>
    </row>
    <row r="55" spans="1:9" outlineLevel="2" x14ac:dyDescent="0.25">
      <c r="A55" s="253"/>
      <c r="B55" s="636" t="str">
        <f>IF(ISBLANK('N1. Demand'!B65),"",'N1. Demand'!B65)</f>
        <v/>
      </c>
      <c r="C55" s="259"/>
      <c r="D55" s="260"/>
      <c r="E55" s="259"/>
      <c r="F55" s="260"/>
      <c r="G55" s="384"/>
      <c r="H55" s="260"/>
      <c r="I55" s="245"/>
    </row>
    <row r="56" spans="1:9" outlineLevel="2" x14ac:dyDescent="0.25">
      <c r="A56" s="253"/>
      <c r="B56" s="636" t="str">
        <f>IF(ISBLANK('N1. Demand'!B66),"",'N1. Demand'!B66)</f>
        <v/>
      </c>
      <c r="C56" s="259"/>
      <c r="D56" s="260"/>
      <c r="E56" s="259"/>
      <c r="F56" s="260"/>
      <c r="G56" s="384"/>
      <c r="H56" s="260"/>
      <c r="I56" s="245"/>
    </row>
    <row r="57" spans="1:9" outlineLevel="2" x14ac:dyDescent="0.25">
      <c r="A57" s="253"/>
      <c r="B57" s="636" t="str">
        <f>IF(ISBLANK('N1. Demand'!B67),"",'N1. Demand'!B67)</f>
        <v/>
      </c>
      <c r="C57" s="259"/>
      <c r="D57" s="260"/>
      <c r="E57" s="259"/>
      <c r="F57" s="260"/>
      <c r="G57" s="384"/>
      <c r="H57" s="260"/>
      <c r="I57" s="245"/>
    </row>
    <row r="58" spans="1:9" outlineLevel="2" x14ac:dyDescent="0.25">
      <c r="A58" s="253"/>
      <c r="B58" s="636" t="str">
        <f>IF(ISBLANK('N1. Demand'!B68),"",'N1. Demand'!B68)</f>
        <v/>
      </c>
      <c r="C58" s="259"/>
      <c r="D58" s="260"/>
      <c r="E58" s="259"/>
      <c r="F58" s="260"/>
      <c r="G58" s="384"/>
      <c r="H58" s="260"/>
      <c r="I58" s="245"/>
    </row>
    <row r="59" spans="1:9" outlineLevel="2" x14ac:dyDescent="0.25">
      <c r="A59" s="253"/>
      <c r="B59" s="636" t="str">
        <f>IF(ISBLANK('N1. Demand'!B69),"",'N1. Demand'!B69)</f>
        <v/>
      </c>
      <c r="C59" s="259"/>
      <c r="D59" s="260"/>
      <c r="E59" s="259"/>
      <c r="F59" s="260"/>
      <c r="G59" s="384"/>
      <c r="H59" s="260"/>
      <c r="I59" s="245"/>
    </row>
    <row r="60" spans="1:9" outlineLevel="2" x14ac:dyDescent="0.25">
      <c r="A60" s="253"/>
      <c r="B60" s="636" t="str">
        <f>IF(ISBLANK('N1. Demand'!B70),"",'N1. Demand'!B70)</f>
        <v/>
      </c>
      <c r="C60" s="259"/>
      <c r="D60" s="260"/>
      <c r="E60" s="259"/>
      <c r="F60" s="260"/>
      <c r="G60" s="384"/>
      <c r="H60" s="260"/>
      <c r="I60" s="245"/>
    </row>
    <row r="61" spans="1:9" outlineLevel="2" x14ac:dyDescent="0.25">
      <c r="A61" s="253"/>
      <c r="B61" s="636" t="str">
        <f>IF(ISBLANK('N1. Demand'!B71),"",'N1. Demand'!B71)</f>
        <v/>
      </c>
      <c r="C61" s="655"/>
      <c r="D61" s="386"/>
      <c r="E61" s="655"/>
      <c r="F61" s="386"/>
      <c r="G61" s="654"/>
      <c r="H61" s="386"/>
      <c r="I61" s="620"/>
    </row>
    <row r="62" spans="1:9" outlineLevel="2" x14ac:dyDescent="0.25">
      <c r="A62" s="253"/>
      <c r="B62" s="636" t="str">
        <f>IF(ISBLANK('N1. Demand'!B72),"",'N1. Demand'!B72)</f>
        <v/>
      </c>
      <c r="C62" s="655"/>
      <c r="D62" s="386"/>
      <c r="E62" s="655"/>
      <c r="F62" s="386"/>
      <c r="G62" s="654"/>
      <c r="H62" s="386"/>
      <c r="I62" s="620"/>
    </row>
    <row r="63" spans="1:9" outlineLevel="2" x14ac:dyDescent="0.25">
      <c r="A63" s="253"/>
      <c r="B63" s="636" t="str">
        <f>IF(ISBLANK('N1. Demand'!B73),"",'N1. Demand'!B73)</f>
        <v/>
      </c>
      <c r="C63" s="655"/>
      <c r="D63" s="386"/>
      <c r="E63" s="655"/>
      <c r="F63" s="386"/>
      <c r="G63" s="654"/>
      <c r="H63" s="386"/>
      <c r="I63" s="620"/>
    </row>
    <row r="64" spans="1:9" outlineLevel="2" x14ac:dyDescent="0.25">
      <c r="A64" s="253"/>
      <c r="B64" s="636" t="str">
        <f>IF(ISBLANK('N1. Demand'!B74),"",'N1. Demand'!B74)</f>
        <v/>
      </c>
      <c r="C64" s="655"/>
      <c r="D64" s="386"/>
      <c r="E64" s="655"/>
      <c r="F64" s="386"/>
      <c r="G64" s="654"/>
      <c r="H64" s="386"/>
      <c r="I64" s="620"/>
    </row>
    <row r="65" spans="1:9" outlineLevel="2" x14ac:dyDescent="0.25">
      <c r="A65" s="253"/>
      <c r="B65" s="636" t="str">
        <f>IF(ISBLANK('N1. Demand'!B75),"",'N1. Demand'!B75)</f>
        <v/>
      </c>
      <c r="C65" s="655"/>
      <c r="D65" s="386"/>
      <c r="E65" s="655"/>
      <c r="F65" s="386"/>
      <c r="G65" s="654"/>
      <c r="H65" s="386"/>
      <c r="I65" s="620"/>
    </row>
    <row r="66" spans="1:9" outlineLevel="2" x14ac:dyDescent="0.25">
      <c r="A66" s="253"/>
      <c r="B66" s="636" t="str">
        <f>IF(ISBLANK('N1. Demand'!B76),"",'N1. Demand'!B76)</f>
        <v/>
      </c>
      <c r="C66" s="655"/>
      <c r="D66" s="386"/>
      <c r="E66" s="655"/>
      <c r="F66" s="386"/>
      <c r="G66" s="654"/>
      <c r="H66" s="386"/>
      <c r="I66" s="620"/>
    </row>
    <row r="67" spans="1:9" outlineLevel="2" x14ac:dyDescent="0.25">
      <c r="A67" s="253"/>
      <c r="B67" s="636" t="str">
        <f>IF(ISBLANK('N1. Demand'!B77),"",'N1. Demand'!B77)</f>
        <v/>
      </c>
      <c r="C67" s="655"/>
      <c r="D67" s="386"/>
      <c r="E67" s="655"/>
      <c r="F67" s="386"/>
      <c r="G67" s="654"/>
      <c r="H67" s="386"/>
      <c r="I67" s="620"/>
    </row>
    <row r="68" spans="1:9" outlineLevel="2" x14ac:dyDescent="0.25">
      <c r="A68" s="253"/>
      <c r="B68" s="636" t="str">
        <f>IF(ISBLANK('N1. Demand'!B78),"",'N1. Demand'!B78)</f>
        <v/>
      </c>
      <c r="C68" s="655"/>
      <c r="D68" s="386"/>
      <c r="E68" s="655"/>
      <c r="F68" s="386"/>
      <c r="G68" s="654"/>
      <c r="H68" s="386"/>
      <c r="I68" s="620"/>
    </row>
    <row r="69" spans="1:9" outlineLevel="2" x14ac:dyDescent="0.25">
      <c r="A69" s="253"/>
      <c r="B69" s="636" t="str">
        <f>IF(ISBLANK('N1. Demand'!B79),"",'N1. Demand'!B79)</f>
        <v/>
      </c>
      <c r="C69" s="655"/>
      <c r="D69" s="386"/>
      <c r="E69" s="655"/>
      <c r="F69" s="386"/>
      <c r="G69" s="654"/>
      <c r="H69" s="386"/>
      <c r="I69" s="620"/>
    </row>
    <row r="70" spans="1:9" outlineLevel="2" x14ac:dyDescent="0.25">
      <c r="A70" s="253"/>
      <c r="B70" s="636" t="str">
        <f>IF(ISBLANK('N1. Demand'!B80),"",'N1. Demand'!B80)</f>
        <v/>
      </c>
      <c r="C70" s="655"/>
      <c r="D70" s="386"/>
      <c r="E70" s="655"/>
      <c r="F70" s="386"/>
      <c r="G70" s="654"/>
      <c r="H70" s="386"/>
      <c r="I70" s="620"/>
    </row>
    <row r="71" spans="1:9" outlineLevel="2" x14ac:dyDescent="0.25">
      <c r="A71" s="253"/>
      <c r="B71" s="636" t="str">
        <f>IF(ISBLANK('N1. Demand'!B81),"",'N1. Demand'!B81)</f>
        <v/>
      </c>
      <c r="C71" s="655"/>
      <c r="D71" s="386"/>
      <c r="E71" s="655"/>
      <c r="F71" s="386"/>
      <c r="G71" s="654"/>
      <c r="H71" s="386"/>
      <c r="I71" s="620"/>
    </row>
    <row r="72" spans="1:9" outlineLevel="2" x14ac:dyDescent="0.25">
      <c r="A72" s="253"/>
      <c r="B72" s="636" t="str">
        <f>IF(ISBLANK('N1. Demand'!B82),"",'N1. Demand'!B82)</f>
        <v/>
      </c>
      <c r="C72" s="655"/>
      <c r="D72" s="386"/>
      <c r="E72" s="655"/>
      <c r="F72" s="386"/>
      <c r="G72" s="654"/>
      <c r="H72" s="386"/>
      <c r="I72" s="620"/>
    </row>
    <row r="73" spans="1:9" outlineLevel="2" x14ac:dyDescent="0.25">
      <c r="A73" s="253"/>
      <c r="B73" s="636" t="str">
        <f>IF(ISBLANK('N1. Demand'!B83),"",'N1. Demand'!B83)</f>
        <v/>
      </c>
      <c r="C73" s="655"/>
      <c r="D73" s="386"/>
      <c r="E73" s="655"/>
      <c r="F73" s="386"/>
      <c r="G73" s="654"/>
      <c r="H73" s="386"/>
      <c r="I73" s="620"/>
    </row>
    <row r="74" spans="1:9" outlineLevel="2" x14ac:dyDescent="0.25">
      <c r="A74" s="253"/>
      <c r="B74" s="636" t="str">
        <f>IF(ISBLANK('N1. Demand'!B84),"",'N1. Demand'!B84)</f>
        <v/>
      </c>
      <c r="C74" s="655"/>
      <c r="D74" s="386"/>
      <c r="E74" s="655"/>
      <c r="F74" s="386"/>
      <c r="G74" s="654"/>
      <c r="H74" s="386"/>
      <c r="I74" s="620"/>
    </row>
    <row r="75" spans="1:9" outlineLevel="2" x14ac:dyDescent="0.25">
      <c r="A75" s="253"/>
      <c r="B75" s="636" t="str">
        <f>IF(ISBLANK('N1. Demand'!B85),"",'N1. Demand'!B85)</f>
        <v/>
      </c>
      <c r="C75" s="655"/>
      <c r="D75" s="386"/>
      <c r="E75" s="655"/>
      <c r="F75" s="386"/>
      <c r="G75" s="654"/>
      <c r="H75" s="386"/>
      <c r="I75" s="620"/>
    </row>
    <row r="76" spans="1:9" outlineLevel="2" x14ac:dyDescent="0.25">
      <c r="A76" s="253"/>
      <c r="B76" s="636" t="str">
        <f>IF(ISBLANK('N1. Demand'!B86),"",'N1. Demand'!B86)</f>
        <v/>
      </c>
      <c r="C76" s="655"/>
      <c r="D76" s="386"/>
      <c r="E76" s="655"/>
      <c r="F76" s="386"/>
      <c r="G76" s="654"/>
      <c r="H76" s="386"/>
      <c r="I76" s="620"/>
    </row>
    <row r="77" spans="1:9" outlineLevel="2" x14ac:dyDescent="0.25">
      <c r="A77" s="253"/>
      <c r="B77" s="636" t="str">
        <f>IF(ISBLANK('N1. Demand'!B87),"",'N1. Demand'!B87)</f>
        <v/>
      </c>
      <c r="C77" s="655"/>
      <c r="D77" s="386"/>
      <c r="E77" s="655"/>
      <c r="F77" s="386"/>
      <c r="G77" s="654"/>
      <c r="H77" s="386"/>
      <c r="I77" s="620"/>
    </row>
    <row r="78" spans="1:9" outlineLevel="2" x14ac:dyDescent="0.25">
      <c r="A78" s="253"/>
      <c r="B78" s="636" t="str">
        <f>IF(ISBLANK('N1. Demand'!B88),"",'N1. Demand'!B88)</f>
        <v/>
      </c>
      <c r="C78" s="655"/>
      <c r="D78" s="386"/>
      <c r="E78" s="655"/>
      <c r="F78" s="386"/>
      <c r="G78" s="654"/>
      <c r="H78" s="386"/>
      <c r="I78" s="620"/>
    </row>
    <row r="79" spans="1:9" outlineLevel="2" x14ac:dyDescent="0.25">
      <c r="A79" s="253"/>
      <c r="B79" s="636" t="str">
        <f>IF(ISBLANK('N1. Demand'!B89),"",'N1. Demand'!B89)</f>
        <v/>
      </c>
      <c r="C79" s="655"/>
      <c r="D79" s="386"/>
      <c r="E79" s="655"/>
      <c r="F79" s="386"/>
      <c r="G79" s="654"/>
      <c r="H79" s="386"/>
      <c r="I79" s="620"/>
    </row>
    <row r="80" spans="1:9" outlineLevel="2" x14ac:dyDescent="0.25">
      <c r="A80" s="253"/>
      <c r="B80" s="636" t="str">
        <f>IF(ISBLANK('N1. Demand'!B90),"",'N1. Demand'!B90)</f>
        <v/>
      </c>
      <c r="C80" s="655"/>
      <c r="D80" s="386"/>
      <c r="E80" s="655"/>
      <c r="F80" s="386"/>
      <c r="G80" s="654"/>
      <c r="H80" s="386"/>
      <c r="I80" s="620"/>
    </row>
    <row r="81" spans="1:9" outlineLevel="2" x14ac:dyDescent="0.25">
      <c r="A81" s="253"/>
      <c r="B81" s="636" t="str">
        <f>IF(ISBLANK('N1. Demand'!B91),"",'N1. Demand'!B91)</f>
        <v/>
      </c>
      <c r="C81" s="655"/>
      <c r="D81" s="386"/>
      <c r="E81" s="655"/>
      <c r="F81" s="386"/>
      <c r="G81" s="654"/>
      <c r="H81" s="386"/>
      <c r="I81" s="620"/>
    </row>
    <row r="82" spans="1:9" outlineLevel="2" x14ac:dyDescent="0.25">
      <c r="A82" s="253"/>
      <c r="B82" s="636" t="str">
        <f>IF(ISBLANK('N1. Demand'!B92),"",'N1. Demand'!B92)</f>
        <v/>
      </c>
      <c r="C82" s="655"/>
      <c r="D82" s="386"/>
      <c r="E82" s="655"/>
      <c r="F82" s="386"/>
      <c r="G82" s="654"/>
      <c r="H82" s="386"/>
      <c r="I82" s="620"/>
    </row>
    <row r="83" spans="1:9" outlineLevel="2" x14ac:dyDescent="0.25">
      <c r="A83" s="253"/>
      <c r="B83" s="636" t="str">
        <f>IF(ISBLANK('N1. Demand'!B93),"",'N1. Demand'!B93)</f>
        <v/>
      </c>
      <c r="C83" s="655"/>
      <c r="D83" s="386"/>
      <c r="E83" s="655"/>
      <c r="F83" s="386"/>
      <c r="G83" s="654"/>
      <c r="H83" s="386"/>
      <c r="I83" s="620"/>
    </row>
    <row r="84" spans="1:9" outlineLevel="2" x14ac:dyDescent="0.25">
      <c r="A84" s="253"/>
      <c r="B84" s="636" t="str">
        <f>IF(ISBLANK('N1. Demand'!B94),"",'N1. Demand'!B94)</f>
        <v/>
      </c>
      <c r="C84" s="655"/>
      <c r="D84" s="386"/>
      <c r="E84" s="655"/>
      <c r="F84" s="386"/>
      <c r="G84" s="654"/>
      <c r="H84" s="386"/>
      <c r="I84" s="620"/>
    </row>
    <row r="85" spans="1:9" outlineLevel="2" x14ac:dyDescent="0.25">
      <c r="A85" s="253"/>
      <c r="B85" s="636" t="str">
        <f>IF(ISBLANK('N1. Demand'!B95),"",'N1. Demand'!B95)</f>
        <v/>
      </c>
      <c r="C85" s="655"/>
      <c r="D85" s="386"/>
      <c r="E85" s="655"/>
      <c r="F85" s="386"/>
      <c r="G85" s="654"/>
      <c r="H85" s="386"/>
      <c r="I85" s="620"/>
    </row>
    <row r="86" spans="1:9" ht="15.75" outlineLevel="2" thickBot="1" x14ac:dyDescent="0.3">
      <c r="A86" s="253"/>
      <c r="B86" s="636" t="str">
        <f>IF(ISBLANK('N1. Demand'!B96),"",'N1. Demand'!B96)</f>
        <v/>
      </c>
      <c r="C86" s="655"/>
      <c r="D86" s="386"/>
      <c r="E86" s="655"/>
      <c r="F86" s="386"/>
      <c r="G86" s="654"/>
      <c r="H86" s="386"/>
      <c r="I86" s="620"/>
    </row>
    <row r="87" spans="1:9" ht="15.75" outlineLevel="2" thickBot="1" x14ac:dyDescent="0.3">
      <c r="A87" s="253"/>
      <c r="B87" s="656" t="s">
        <v>120</v>
      </c>
      <c r="C87" s="657">
        <f t="shared" ref="C87:I87" si="0">SUM(C12:C86)</f>
        <v>253025209.80612296</v>
      </c>
      <c r="D87" s="657">
        <f t="shared" si="0"/>
        <v>264885059.54597774</v>
      </c>
      <c r="E87" s="657">
        <f t="shared" si="0"/>
        <v>256205935.91515356</v>
      </c>
      <c r="F87" s="657">
        <f t="shared" si="0"/>
        <v>259080619.96846643</v>
      </c>
      <c r="G87" s="657">
        <f t="shared" si="0"/>
        <v>260264677.13574725</v>
      </c>
      <c r="H87" s="657">
        <f t="shared" si="0"/>
        <v>261420511.17407244</v>
      </c>
      <c r="I87" s="658">
        <f t="shared" si="0"/>
        <v>262362020.23640004</v>
      </c>
    </row>
    <row r="88" spans="1:9" ht="15.75" outlineLevel="1" thickBot="1" x14ac:dyDescent="0.3">
      <c r="C88" s="42"/>
      <c r="D88" s="42"/>
      <c r="E88" s="42"/>
      <c r="F88" s="42"/>
      <c r="G88" s="42"/>
      <c r="H88" s="42"/>
      <c r="I88" s="42"/>
    </row>
    <row r="89" spans="1:9" ht="22.5" customHeight="1" outlineLevel="1" thickBot="1" x14ac:dyDescent="0.3">
      <c r="B89" s="247" t="s">
        <v>384</v>
      </c>
      <c r="C89" s="248"/>
      <c r="D89" s="248"/>
      <c r="E89" s="248"/>
      <c r="F89" s="248"/>
      <c r="G89" s="248"/>
      <c r="H89" s="248"/>
      <c r="I89" s="249"/>
    </row>
    <row r="90" spans="1:9" ht="26.25" customHeight="1" outlineLevel="2" x14ac:dyDescent="0.25">
      <c r="C90" s="1379" t="s">
        <v>385</v>
      </c>
      <c r="D90" s="1379"/>
      <c r="E90" s="1379"/>
      <c r="F90" s="1379"/>
      <c r="G90" s="1379"/>
      <c r="H90" s="1379"/>
      <c r="I90" s="1380"/>
    </row>
    <row r="91" spans="1:9" ht="26.25" customHeight="1" outlineLevel="2" x14ac:dyDescent="0.25">
      <c r="C91" s="1378" t="str">
        <f ca="1">CONCATENATE("$, real ",dms_DollarReal)</f>
        <v>$, real June 2026</v>
      </c>
      <c r="D91" s="1378"/>
      <c r="E91" s="1378"/>
      <c r="F91" s="1378"/>
      <c r="G91" s="1378"/>
      <c r="H91" s="1378"/>
      <c r="I91" s="1381"/>
    </row>
    <row r="92" spans="1:9" ht="27" customHeight="1" outlineLevel="2" thickBot="1" x14ac:dyDescent="0.3">
      <c r="B92" s="633" t="s">
        <v>386</v>
      </c>
      <c r="C92" s="400" t="str">
        <f ca="1">dms_y1</f>
        <v>2024-25</v>
      </c>
      <c r="D92" s="314" t="str">
        <f ca="1">dms_y2</f>
        <v>2025-26</v>
      </c>
      <c r="E92" s="313" t="str">
        <f ca="1">dms_y3</f>
        <v>2026-27</v>
      </c>
      <c r="F92" s="313" t="str">
        <f ca="1">dms_y4</f>
        <v>2027-28</v>
      </c>
      <c r="G92" s="313" t="str">
        <f ca="1">dms_y5</f>
        <v>2028-29</v>
      </c>
      <c r="H92" s="313" t="str">
        <f ca="1">dms_y6</f>
        <v>2029-30</v>
      </c>
      <c r="I92" s="401" t="str">
        <f ca="1">dms_y7</f>
        <v>2030-31</v>
      </c>
    </row>
    <row r="93" spans="1:9" outlineLevel="2" x14ac:dyDescent="0.25">
      <c r="B93" s="585" t="s">
        <v>1516</v>
      </c>
      <c r="C93" s="264">
        <v>201507055.78675005</v>
      </c>
      <c r="D93" s="257">
        <v>209754900.71304858</v>
      </c>
      <c r="E93" s="256">
        <v>210510563.27376887</v>
      </c>
      <c r="F93" s="257">
        <v>209961154.95874912</v>
      </c>
      <c r="G93" s="369">
        <v>240962829.59245056</v>
      </c>
      <c r="H93" s="257">
        <v>249230948.1267871</v>
      </c>
      <c r="I93" s="258">
        <v>267468017.87924209</v>
      </c>
    </row>
    <row r="94" spans="1:9" outlineLevel="2" x14ac:dyDescent="0.25">
      <c r="B94" s="584" t="s">
        <v>1517</v>
      </c>
      <c r="C94" s="266">
        <v>53901244.677667648</v>
      </c>
      <c r="D94" s="260">
        <v>56268562.758304447</v>
      </c>
      <c r="E94" s="259">
        <v>56847390.894749835</v>
      </c>
      <c r="F94" s="260">
        <v>57624980.414244771</v>
      </c>
      <c r="G94" s="384">
        <v>66519282.817785241</v>
      </c>
      <c r="H94" s="260">
        <v>67983930.427223936</v>
      </c>
      <c r="I94" s="245">
        <v>72434236.832775205</v>
      </c>
    </row>
    <row r="95" spans="1:9" outlineLevel="2" x14ac:dyDescent="0.25">
      <c r="B95" s="584" t="s">
        <v>1518</v>
      </c>
      <c r="C95" s="266">
        <v>27144814.862134945</v>
      </c>
      <c r="D95" s="260">
        <v>28446172.851891398</v>
      </c>
      <c r="E95" s="259">
        <v>28992946.302775767</v>
      </c>
      <c r="F95" s="260">
        <v>30011080.040399879</v>
      </c>
      <c r="G95" s="384">
        <v>34897990.397261202</v>
      </c>
      <c r="H95" s="260">
        <v>35129376.315061495</v>
      </c>
      <c r="I95" s="245">
        <v>37080563.18661163</v>
      </c>
    </row>
    <row r="96" spans="1:9" outlineLevel="2" x14ac:dyDescent="0.25">
      <c r="B96" s="584" t="s">
        <v>1519</v>
      </c>
      <c r="C96" s="266">
        <v>27144814.862134945</v>
      </c>
      <c r="D96" s="260">
        <v>28446172.851891398</v>
      </c>
      <c r="E96" s="259">
        <v>28992946.302775767</v>
      </c>
      <c r="F96" s="260">
        <v>30011080.040399879</v>
      </c>
      <c r="G96" s="384">
        <v>34897990.397261202</v>
      </c>
      <c r="H96" s="260">
        <v>35129376.315061495</v>
      </c>
      <c r="I96" s="245">
        <v>37080563.18661163</v>
      </c>
    </row>
    <row r="97" spans="2:9" outlineLevel="2" x14ac:dyDescent="0.25">
      <c r="B97" s="584" t="s">
        <v>1520</v>
      </c>
      <c r="C97" s="266">
        <v>27144814.862134945</v>
      </c>
      <c r="D97" s="260">
        <v>28446172.851891398</v>
      </c>
      <c r="E97" s="259">
        <v>28992946.302775767</v>
      </c>
      <c r="F97" s="260">
        <v>30011080.040399879</v>
      </c>
      <c r="G97" s="384">
        <v>34897990.397261202</v>
      </c>
      <c r="H97" s="260">
        <v>35129376.315061495</v>
      </c>
      <c r="I97" s="245">
        <v>37080563.18661163</v>
      </c>
    </row>
    <row r="98" spans="2:9" outlineLevel="2" x14ac:dyDescent="0.25">
      <c r="B98" s="584" t="s">
        <v>1521</v>
      </c>
      <c r="C98" s="266">
        <v>27144814.862134945</v>
      </c>
      <c r="D98" s="260">
        <v>28446172.851891398</v>
      </c>
      <c r="E98" s="259">
        <v>28992946.302775767</v>
      </c>
      <c r="F98" s="260">
        <v>30011080.040399879</v>
      </c>
      <c r="G98" s="384">
        <v>34897990.397261202</v>
      </c>
      <c r="H98" s="260">
        <v>35129376.315061495</v>
      </c>
      <c r="I98" s="245">
        <v>37080563.18661163</v>
      </c>
    </row>
    <row r="99" spans="2:9" outlineLevel="2" x14ac:dyDescent="0.25">
      <c r="B99" s="584" t="s">
        <v>1522</v>
      </c>
      <c r="C99" s="266">
        <v>27144814.862134945</v>
      </c>
      <c r="D99" s="260">
        <v>28446172.851891398</v>
      </c>
      <c r="E99" s="259">
        <v>28992946.302775767</v>
      </c>
      <c r="F99" s="260">
        <v>30011080.040399879</v>
      </c>
      <c r="G99" s="384">
        <v>34897990.397261202</v>
      </c>
      <c r="H99" s="260">
        <v>35129376.315061495</v>
      </c>
      <c r="I99" s="245">
        <v>37080563.18661163</v>
      </c>
    </row>
    <row r="100" spans="2:9" outlineLevel="2" x14ac:dyDescent="0.25">
      <c r="B100" s="584" t="s">
        <v>1523</v>
      </c>
      <c r="C100" s="266">
        <v>27144814.862134945</v>
      </c>
      <c r="D100" s="260">
        <v>28446172.851891398</v>
      </c>
      <c r="E100" s="259">
        <v>28992946.302775767</v>
      </c>
      <c r="F100" s="260">
        <v>30011080.040399879</v>
      </c>
      <c r="G100" s="384">
        <v>34897990.397261202</v>
      </c>
      <c r="H100" s="260">
        <v>35129376.315061495</v>
      </c>
      <c r="I100" s="245">
        <v>37080563.18661163</v>
      </c>
    </row>
    <row r="101" spans="2:9" outlineLevel="2" x14ac:dyDescent="0.25">
      <c r="B101" s="584" t="s">
        <v>1524</v>
      </c>
      <c r="C101" s="266">
        <v>27144814.862134945</v>
      </c>
      <c r="D101" s="260">
        <v>28446172.851891398</v>
      </c>
      <c r="E101" s="259">
        <v>28992946.302775767</v>
      </c>
      <c r="F101" s="260">
        <v>30011080.040399879</v>
      </c>
      <c r="G101" s="384">
        <v>34897990.397261202</v>
      </c>
      <c r="H101" s="260">
        <v>35129376.315061495</v>
      </c>
      <c r="I101" s="245">
        <v>37080563.18661163</v>
      </c>
    </row>
    <row r="102" spans="2:9" outlineLevel="2" x14ac:dyDescent="0.25">
      <c r="B102" s="584" t="s">
        <v>1525</v>
      </c>
      <c r="C102" s="266"/>
      <c r="D102" s="260"/>
      <c r="E102" s="259"/>
      <c r="F102" s="260"/>
      <c r="G102" s="384"/>
      <c r="H102" s="260"/>
      <c r="I102" s="245"/>
    </row>
    <row r="103" spans="2:9" outlineLevel="2" x14ac:dyDescent="0.25">
      <c r="B103" s="584"/>
      <c r="C103" s="266"/>
      <c r="D103" s="260"/>
      <c r="E103" s="259"/>
      <c r="F103" s="260"/>
      <c r="G103" s="384"/>
      <c r="H103" s="260"/>
      <c r="I103" s="245"/>
    </row>
    <row r="104" spans="2:9" outlineLevel="2" x14ac:dyDescent="0.25">
      <c r="B104" s="584"/>
      <c r="C104" s="266"/>
      <c r="D104" s="260"/>
      <c r="E104" s="259"/>
      <c r="F104" s="260"/>
      <c r="G104" s="384"/>
      <c r="H104" s="260"/>
      <c r="I104" s="245"/>
    </row>
    <row r="105" spans="2:9" outlineLevel="2" x14ac:dyDescent="0.25">
      <c r="B105" s="584"/>
      <c r="C105" s="266"/>
      <c r="D105" s="260"/>
      <c r="E105" s="259"/>
      <c r="F105" s="260"/>
      <c r="G105" s="384"/>
      <c r="H105" s="260"/>
      <c r="I105" s="245"/>
    </row>
    <row r="106" spans="2:9" outlineLevel="2" x14ac:dyDescent="0.25">
      <c r="B106" s="584"/>
      <c r="C106" s="266"/>
      <c r="D106" s="260"/>
      <c r="E106" s="259"/>
      <c r="F106" s="260"/>
      <c r="G106" s="384"/>
      <c r="H106" s="260"/>
      <c r="I106" s="245"/>
    </row>
    <row r="107" spans="2:9" outlineLevel="2" x14ac:dyDescent="0.25">
      <c r="B107" s="584"/>
      <c r="C107" s="266"/>
      <c r="D107" s="260"/>
      <c r="E107" s="259"/>
      <c r="F107" s="260"/>
      <c r="G107" s="384"/>
      <c r="H107" s="260"/>
      <c r="I107" s="245"/>
    </row>
    <row r="108" spans="2:9" outlineLevel="2" x14ac:dyDescent="0.25">
      <c r="B108" s="584"/>
      <c r="C108" s="266"/>
      <c r="D108" s="260"/>
      <c r="E108" s="259"/>
      <c r="F108" s="260"/>
      <c r="G108" s="384"/>
      <c r="H108" s="260"/>
      <c r="I108" s="245"/>
    </row>
    <row r="109" spans="2:9" outlineLevel="2" x14ac:dyDescent="0.25">
      <c r="B109" s="584"/>
      <c r="C109" s="266"/>
      <c r="D109" s="260"/>
      <c r="E109" s="259"/>
      <c r="F109" s="260"/>
      <c r="G109" s="384"/>
      <c r="H109" s="260"/>
      <c r="I109" s="245"/>
    </row>
    <row r="110" spans="2:9" outlineLevel="2" x14ac:dyDescent="0.25">
      <c r="B110" s="584"/>
      <c r="C110" s="266"/>
      <c r="D110" s="260"/>
      <c r="E110" s="259"/>
      <c r="F110" s="260"/>
      <c r="G110" s="384"/>
      <c r="H110" s="260"/>
      <c r="I110" s="245"/>
    </row>
    <row r="111" spans="2:9" outlineLevel="2" x14ac:dyDescent="0.25">
      <c r="B111" s="584"/>
      <c r="C111" s="266"/>
      <c r="D111" s="260"/>
      <c r="E111" s="259"/>
      <c r="F111" s="260"/>
      <c r="G111" s="384"/>
      <c r="H111" s="260"/>
      <c r="I111" s="245"/>
    </row>
    <row r="112" spans="2:9" ht="15.75" outlineLevel="2" thickBot="1" x14ac:dyDescent="0.3">
      <c r="B112" s="634"/>
      <c r="C112" s="268"/>
      <c r="D112" s="262"/>
      <c r="E112" s="261"/>
      <c r="F112" s="262"/>
      <c r="G112" s="397"/>
      <c r="H112" s="262"/>
      <c r="I112" s="494"/>
    </row>
    <row r="113" spans="1:9" ht="15.75" outlineLevel="1" thickBot="1" x14ac:dyDescent="0.3">
      <c r="C113" s="42"/>
      <c r="D113" s="42"/>
      <c r="E113" s="42"/>
      <c r="F113" s="42"/>
      <c r="G113" s="42"/>
      <c r="H113" s="42"/>
      <c r="I113" s="42"/>
    </row>
    <row r="114" spans="1:9" ht="22.5" customHeight="1" outlineLevel="1" thickBot="1" x14ac:dyDescent="0.3">
      <c r="B114" s="247" t="s">
        <v>387</v>
      </c>
      <c r="C114" s="248"/>
      <c r="D114" s="248"/>
      <c r="E114" s="248"/>
      <c r="F114" s="248"/>
      <c r="G114" s="248"/>
      <c r="H114" s="248"/>
      <c r="I114" s="249"/>
    </row>
    <row r="115" spans="1:9" ht="26.25" customHeight="1" outlineLevel="2" x14ac:dyDescent="0.25">
      <c r="C115" s="1379" t="s">
        <v>388</v>
      </c>
      <c r="D115" s="1379"/>
      <c r="E115" s="1379"/>
      <c r="F115" s="1379"/>
      <c r="G115" s="1379"/>
      <c r="H115" s="1379"/>
      <c r="I115" s="1380"/>
    </row>
    <row r="116" spans="1:9" ht="26.25" customHeight="1" outlineLevel="2" x14ac:dyDescent="0.25">
      <c r="C116" s="1378" t="str">
        <f ca="1">CONCATENATE("$, real ",dms_DollarReal)</f>
        <v>$, real June 2026</v>
      </c>
      <c r="D116" s="1378"/>
      <c r="E116" s="1378"/>
      <c r="F116" s="1378"/>
      <c r="G116" s="1378"/>
      <c r="H116" s="1378"/>
      <c r="I116" s="1381"/>
    </row>
    <row r="117" spans="1:9" ht="27" customHeight="1" outlineLevel="2" thickBot="1" x14ac:dyDescent="0.3">
      <c r="A117" s="253"/>
      <c r="B117" s="633" t="s">
        <v>386</v>
      </c>
      <c r="C117" s="400" t="str">
        <f ca="1">dms_y1</f>
        <v>2024-25</v>
      </c>
      <c r="D117" s="314" t="str">
        <f ca="1">dms_y2</f>
        <v>2025-26</v>
      </c>
      <c r="E117" s="313" t="str">
        <f ca="1">dms_y3</f>
        <v>2026-27</v>
      </c>
      <c r="F117" s="313" t="str">
        <f ca="1">dms_y4</f>
        <v>2027-28</v>
      </c>
      <c r="G117" s="313" t="str">
        <f ca="1">dms_y5</f>
        <v>2028-29</v>
      </c>
      <c r="H117" s="313" t="str">
        <f ca="1">dms_y6</f>
        <v>2029-30</v>
      </c>
      <c r="I117" s="401" t="str">
        <f ca="1">dms_y7</f>
        <v>2030-31</v>
      </c>
    </row>
    <row r="118" spans="1:9" outlineLevel="2" x14ac:dyDescent="0.25">
      <c r="A118" s="253"/>
      <c r="B118" s="637" t="str">
        <f>IF(ISBLANK(B93),"",B93)</f>
        <v>Tariff R</v>
      </c>
      <c r="C118" s="264">
        <v>38995715.796306543</v>
      </c>
      <c r="D118" s="257">
        <v>40319141.912731931</v>
      </c>
      <c r="E118" s="256">
        <v>38738499.986662298</v>
      </c>
      <c r="F118" s="257">
        <v>38610118.826739326</v>
      </c>
      <c r="G118" s="369">
        <v>44299706.997729793</v>
      </c>
      <c r="H118" s="257">
        <v>45843848.149372816</v>
      </c>
      <c r="I118" s="258">
        <v>49213843.08105024</v>
      </c>
    </row>
    <row r="119" spans="1:9" outlineLevel="2" x14ac:dyDescent="0.25">
      <c r="A119" s="253"/>
      <c r="B119" s="638" t="str">
        <f t="shared" ref="B119:B137" si="1">IF(ISBLANK(B94),"",B94)</f>
        <v>Tariff C</v>
      </c>
      <c r="C119" s="266">
        <v>5984014.2411420383</v>
      </c>
      <c r="D119" s="260">
        <v>6187098.107307124</v>
      </c>
      <c r="E119" s="259">
        <v>5944543.6727340128</v>
      </c>
      <c r="F119" s="260">
        <v>5924843.1832421347</v>
      </c>
      <c r="G119" s="384">
        <v>6797928.2374896826</v>
      </c>
      <c r="H119" s="260">
        <v>7034881.5143581256</v>
      </c>
      <c r="I119" s="245">
        <v>7552017.7497607907</v>
      </c>
    </row>
    <row r="120" spans="1:9" outlineLevel="2" x14ac:dyDescent="0.25">
      <c r="A120" s="253"/>
      <c r="B120" s="638" t="str">
        <f t="shared" si="1"/>
        <v>Tariff D - Adelaide Northern</v>
      </c>
      <c r="C120" s="266">
        <v>2249653.8396033901</v>
      </c>
      <c r="D120" s="260">
        <v>2326001.9866613746</v>
      </c>
      <c r="E120" s="259">
        <v>2234815.1189399352</v>
      </c>
      <c r="F120" s="260">
        <v>2227408.8394690808</v>
      </c>
      <c r="G120" s="384">
        <v>2555639.8672437537</v>
      </c>
      <c r="H120" s="260">
        <v>2644721.0137170888</v>
      </c>
      <c r="I120" s="245">
        <v>2839135.2431440596</v>
      </c>
    </row>
    <row r="121" spans="1:9" outlineLevel="2" x14ac:dyDescent="0.25">
      <c r="A121" s="253"/>
      <c r="B121" s="638" t="str">
        <f t="shared" si="1"/>
        <v>Tariff D - Adelaide Central</v>
      </c>
      <c r="C121" s="266">
        <v>1318256.2961653797</v>
      </c>
      <c r="D121" s="260">
        <v>1362994.9238546479</v>
      </c>
      <c r="E121" s="259">
        <v>1309561.0753286099</v>
      </c>
      <c r="F121" s="260">
        <v>1305221.1300571475</v>
      </c>
      <c r="G121" s="384">
        <v>1497558.5516388956</v>
      </c>
      <c r="H121" s="260">
        <v>1549758.4857535625</v>
      </c>
      <c r="I121" s="245">
        <v>1663681.6936242578</v>
      </c>
    </row>
    <row r="122" spans="1:9" outlineLevel="2" x14ac:dyDescent="0.25">
      <c r="A122" s="253"/>
      <c r="B122" s="638" t="str">
        <f t="shared" si="1"/>
        <v>Tariff D - Adelaide Southern</v>
      </c>
      <c r="C122" s="266">
        <v>612038.02415545064</v>
      </c>
      <c r="D122" s="260">
        <v>632809.20603716478</v>
      </c>
      <c r="E122" s="259">
        <v>608001.02027690876</v>
      </c>
      <c r="F122" s="260">
        <v>605986.07710036926</v>
      </c>
      <c r="G122" s="384">
        <v>695284.20206929347</v>
      </c>
      <c r="H122" s="260">
        <v>719519.50792712905</v>
      </c>
      <c r="I122" s="245">
        <v>772411.60125788127</v>
      </c>
    </row>
    <row r="123" spans="1:9" outlineLevel="2" x14ac:dyDescent="0.25">
      <c r="A123" s="253"/>
      <c r="B123" s="638" t="str">
        <f t="shared" si="1"/>
        <v>Tariff D - Port Pirie</v>
      </c>
      <c r="C123" s="266">
        <v>82812.744927912849</v>
      </c>
      <c r="D123" s="260">
        <v>85623.221596246105</v>
      </c>
      <c r="E123" s="259">
        <v>82266.511917426265</v>
      </c>
      <c r="F123" s="260">
        <v>81993.876936040499</v>
      </c>
      <c r="G123" s="384">
        <v>94076.496893839314</v>
      </c>
      <c r="H123" s="260">
        <v>97355.69217753812</v>
      </c>
      <c r="I123" s="245">
        <v>104512.33810610944</v>
      </c>
    </row>
    <row r="124" spans="1:9" outlineLevel="2" x14ac:dyDescent="0.25">
      <c r="A124" s="253"/>
      <c r="B124" s="638" t="str">
        <f t="shared" si="1"/>
        <v>Tariff D - Petersborough</v>
      </c>
      <c r="C124" s="266">
        <v>22029.221738542248</v>
      </c>
      <c r="D124" s="260">
        <v>22776.843542065446</v>
      </c>
      <c r="E124" s="259">
        <v>21883.916953398428</v>
      </c>
      <c r="F124" s="260">
        <v>21811.3926521709</v>
      </c>
      <c r="G124" s="384">
        <v>25025.520072588894</v>
      </c>
      <c r="H124" s="260">
        <v>25897.826866566862</v>
      </c>
      <c r="I124" s="245">
        <v>27801.583832985132</v>
      </c>
    </row>
    <row r="125" spans="1:9" outlineLevel="2" x14ac:dyDescent="0.25">
      <c r="A125" s="253"/>
      <c r="B125" s="638" t="str">
        <f t="shared" si="1"/>
        <v>Tariff D - Riverlands</v>
      </c>
      <c r="C125" s="266">
        <v>132175.33043125345</v>
      </c>
      <c r="D125" s="260">
        <v>136661.06125239265</v>
      </c>
      <c r="E125" s="259">
        <v>131303.50172039057</v>
      </c>
      <c r="F125" s="260">
        <v>130868.3559130254</v>
      </c>
      <c r="G125" s="384">
        <v>150153.12043553338</v>
      </c>
      <c r="H125" s="260">
        <v>155386.96119940118</v>
      </c>
      <c r="I125" s="245">
        <v>166809.50299791081</v>
      </c>
    </row>
    <row r="126" spans="1:9" outlineLevel="2" x14ac:dyDescent="0.25">
      <c r="A126" s="253"/>
      <c r="B126" s="638" t="str">
        <f t="shared" si="1"/>
        <v>Tariff D - South East</v>
      </c>
      <c r="C126" s="266">
        <v>22029.221738542248</v>
      </c>
      <c r="D126" s="260">
        <v>22776.843542065446</v>
      </c>
      <c r="E126" s="259">
        <v>21883.916953398428</v>
      </c>
      <c r="F126" s="260">
        <v>21811.3926521709</v>
      </c>
      <c r="G126" s="384">
        <v>25025.520072588894</v>
      </c>
      <c r="H126" s="260">
        <v>25897.826866566862</v>
      </c>
      <c r="I126" s="245">
        <v>27801.583832985132</v>
      </c>
    </row>
    <row r="127" spans="1:9" outlineLevel="2" x14ac:dyDescent="0.25">
      <c r="A127" s="253"/>
      <c r="B127" s="638" t="str">
        <f t="shared" si="1"/>
        <v>Tariff D - Whyalla</v>
      </c>
      <c r="C127" s="266"/>
      <c r="D127" s="260"/>
      <c r="E127" s="259"/>
      <c r="F127" s="260"/>
      <c r="G127" s="384"/>
      <c r="H127" s="260"/>
      <c r="I127" s="245"/>
    </row>
    <row r="128" spans="1:9" outlineLevel="2" x14ac:dyDescent="0.25">
      <c r="A128" s="253"/>
      <c r="B128" s="638" t="str">
        <f t="shared" si="1"/>
        <v/>
      </c>
      <c r="C128" s="266"/>
      <c r="D128" s="260"/>
      <c r="E128" s="259"/>
      <c r="F128" s="260"/>
      <c r="G128" s="384"/>
      <c r="H128" s="260"/>
      <c r="I128" s="245"/>
    </row>
    <row r="129" spans="1:9" outlineLevel="2" x14ac:dyDescent="0.25">
      <c r="A129" s="253"/>
      <c r="B129" s="638" t="str">
        <f t="shared" si="1"/>
        <v/>
      </c>
      <c r="C129" s="266"/>
      <c r="D129" s="260"/>
      <c r="E129" s="259"/>
      <c r="F129" s="260"/>
      <c r="G129" s="384"/>
      <c r="H129" s="260"/>
      <c r="I129" s="245"/>
    </row>
    <row r="130" spans="1:9" outlineLevel="2" x14ac:dyDescent="0.25">
      <c r="A130" s="253"/>
      <c r="B130" s="638" t="str">
        <f t="shared" si="1"/>
        <v/>
      </c>
      <c r="C130" s="266"/>
      <c r="D130" s="260"/>
      <c r="E130" s="259"/>
      <c r="F130" s="260"/>
      <c r="G130" s="384"/>
      <c r="H130" s="260"/>
      <c r="I130" s="245"/>
    </row>
    <row r="131" spans="1:9" outlineLevel="2" x14ac:dyDescent="0.25">
      <c r="A131" s="253"/>
      <c r="B131" s="638" t="str">
        <f t="shared" si="1"/>
        <v/>
      </c>
      <c r="C131" s="266"/>
      <c r="D131" s="260"/>
      <c r="E131" s="259"/>
      <c r="F131" s="260"/>
      <c r="G131" s="384"/>
      <c r="H131" s="260"/>
      <c r="I131" s="245"/>
    </row>
    <row r="132" spans="1:9" outlineLevel="2" x14ac:dyDescent="0.25">
      <c r="A132" s="253"/>
      <c r="B132" s="638" t="str">
        <f t="shared" si="1"/>
        <v/>
      </c>
      <c r="C132" s="266"/>
      <c r="D132" s="260"/>
      <c r="E132" s="259"/>
      <c r="F132" s="260"/>
      <c r="G132" s="384"/>
      <c r="H132" s="260"/>
      <c r="I132" s="245"/>
    </row>
    <row r="133" spans="1:9" outlineLevel="2" x14ac:dyDescent="0.25">
      <c r="A133" s="253"/>
      <c r="B133" s="638" t="str">
        <f t="shared" si="1"/>
        <v/>
      </c>
      <c r="C133" s="266"/>
      <c r="D133" s="260"/>
      <c r="E133" s="259"/>
      <c r="F133" s="260"/>
      <c r="G133" s="384"/>
      <c r="H133" s="260"/>
      <c r="I133" s="245"/>
    </row>
    <row r="134" spans="1:9" outlineLevel="2" x14ac:dyDescent="0.25">
      <c r="A134" s="253"/>
      <c r="B134" s="638" t="str">
        <f t="shared" si="1"/>
        <v/>
      </c>
      <c r="C134" s="266"/>
      <c r="D134" s="260"/>
      <c r="E134" s="259"/>
      <c r="F134" s="260"/>
      <c r="G134" s="384"/>
      <c r="H134" s="260"/>
      <c r="I134" s="245"/>
    </row>
    <row r="135" spans="1:9" outlineLevel="2" x14ac:dyDescent="0.25">
      <c r="A135" s="253"/>
      <c r="B135" s="638" t="str">
        <f t="shared" si="1"/>
        <v/>
      </c>
      <c r="C135" s="266"/>
      <c r="D135" s="260"/>
      <c r="E135" s="259"/>
      <c r="F135" s="260"/>
      <c r="G135" s="384"/>
      <c r="H135" s="260"/>
      <c r="I135" s="245"/>
    </row>
    <row r="136" spans="1:9" outlineLevel="2" x14ac:dyDescent="0.25">
      <c r="A136" s="253"/>
      <c r="B136" s="638" t="str">
        <f t="shared" si="1"/>
        <v/>
      </c>
      <c r="C136" s="266"/>
      <c r="D136" s="260"/>
      <c r="E136" s="259"/>
      <c r="F136" s="260"/>
      <c r="G136" s="384"/>
      <c r="H136" s="260"/>
      <c r="I136" s="245"/>
    </row>
    <row r="137" spans="1:9" ht="15.75" outlineLevel="2" thickBot="1" x14ac:dyDescent="0.3">
      <c r="A137" s="253"/>
      <c r="B137" s="639" t="str">
        <f t="shared" si="1"/>
        <v/>
      </c>
      <c r="C137" s="268"/>
      <c r="D137" s="262"/>
      <c r="E137" s="261"/>
      <c r="F137" s="262"/>
      <c r="G137" s="397"/>
      <c r="H137" s="262"/>
      <c r="I137" s="494"/>
    </row>
    <row r="138" spans="1:9" outlineLevel="1" x14ac:dyDescent="0.25">
      <c r="C138" s="42"/>
      <c r="D138" s="42"/>
      <c r="E138" s="42"/>
      <c r="F138" s="42"/>
      <c r="G138" s="42"/>
      <c r="H138" s="42"/>
      <c r="I138" s="42"/>
    </row>
    <row r="139" spans="1:9" ht="15.75" thickBot="1" x14ac:dyDescent="0.3">
      <c r="C139" s="42"/>
      <c r="D139" s="42"/>
      <c r="E139" s="42"/>
      <c r="F139" s="42"/>
      <c r="G139" s="42"/>
      <c r="H139" s="42"/>
      <c r="I139" s="42"/>
    </row>
    <row r="140" spans="1:9" ht="30.75" customHeight="1" thickBot="1" x14ac:dyDescent="0.3">
      <c r="A140" s="253"/>
      <c r="B140" s="32" t="s">
        <v>389</v>
      </c>
      <c r="C140" s="32"/>
      <c r="D140" s="32"/>
      <c r="E140" s="32"/>
      <c r="F140" s="32"/>
      <c r="G140" s="32"/>
      <c r="H140" s="32"/>
      <c r="I140" s="32"/>
    </row>
    <row r="141" spans="1:9" ht="26.25" customHeight="1" outlineLevel="2" x14ac:dyDescent="0.25">
      <c r="A141" s="253"/>
      <c r="C141" s="1379" t="s">
        <v>383</v>
      </c>
      <c r="D141" s="1379"/>
      <c r="E141" s="1379"/>
      <c r="F141" s="1379"/>
      <c r="G141" s="1379"/>
      <c r="H141" s="1379"/>
      <c r="I141" s="1380"/>
    </row>
    <row r="142" spans="1:9" ht="26.25" customHeight="1" outlineLevel="2" x14ac:dyDescent="0.25">
      <c r="A142" s="253"/>
      <c r="C142" s="1378" t="str">
        <f ca="1">CONCATENATE("$, real ",dms_DollarReal)</f>
        <v>$, real June 2026</v>
      </c>
      <c r="D142" s="1378"/>
      <c r="E142" s="1378"/>
      <c r="F142" s="1378"/>
      <c r="G142" s="1378"/>
      <c r="H142" s="1378"/>
      <c r="I142" s="1381"/>
    </row>
    <row r="143" spans="1:9" ht="15.75" outlineLevel="2" thickBot="1" x14ac:dyDescent="0.3">
      <c r="A143" s="253"/>
      <c r="B143" s="633" t="s">
        <v>390</v>
      </c>
      <c r="C143" s="400" t="str">
        <f ca="1">dms_y1</f>
        <v>2024-25</v>
      </c>
      <c r="D143" s="314" t="str">
        <f ca="1">dms_y2</f>
        <v>2025-26</v>
      </c>
      <c r="E143" s="313" t="str">
        <f ca="1">dms_y3</f>
        <v>2026-27</v>
      </c>
      <c r="F143" s="313" t="str">
        <f ca="1">dms_y4</f>
        <v>2027-28</v>
      </c>
      <c r="G143" s="313" t="str">
        <f ca="1">dms_y5</f>
        <v>2028-29</v>
      </c>
      <c r="H143" s="313" t="str">
        <f ca="1">dms_y6</f>
        <v>2029-30</v>
      </c>
      <c r="I143" s="401" t="str">
        <f ca="1">dms_y7</f>
        <v>2030-31</v>
      </c>
    </row>
    <row r="144" spans="1:9" outlineLevel="2" x14ac:dyDescent="0.25">
      <c r="A144" s="253"/>
      <c r="B144" s="585" t="s">
        <v>1486</v>
      </c>
      <c r="C144" s="366">
        <v>1655252.3543999998</v>
      </c>
      <c r="D144" s="257">
        <v>1657701.9312398117</v>
      </c>
      <c r="E144" s="256">
        <v>1658356.7350210908</v>
      </c>
      <c r="F144" s="257">
        <v>1656877.4891732265</v>
      </c>
      <c r="G144" s="369">
        <v>1667225.4245768632</v>
      </c>
      <c r="H144" s="257">
        <v>1675751.4447963184</v>
      </c>
      <c r="I144" s="258">
        <v>1681648.0715935382</v>
      </c>
    </row>
    <row r="145" spans="1:9" outlineLevel="2" x14ac:dyDescent="0.25">
      <c r="A145" s="253"/>
      <c r="B145" s="584" t="s">
        <v>1487</v>
      </c>
      <c r="C145" s="380">
        <v>210483</v>
      </c>
      <c r="D145" s="260">
        <v>210794.48983452798</v>
      </c>
      <c r="E145" s="259">
        <v>210877.7551227051</v>
      </c>
      <c r="F145" s="260">
        <v>210689.65322817018</v>
      </c>
      <c r="G145" s="384">
        <v>212005.50363718721</v>
      </c>
      <c r="H145" s="260">
        <v>213089.67808894452</v>
      </c>
      <c r="I145" s="245">
        <v>213839.49710890243</v>
      </c>
    </row>
    <row r="146" spans="1:9" outlineLevel="2" x14ac:dyDescent="0.25">
      <c r="A146" s="253"/>
      <c r="B146" s="584" t="s">
        <v>1488</v>
      </c>
      <c r="C146" s="380">
        <v>186095</v>
      </c>
      <c r="D146" s="260">
        <v>186370.39849183298</v>
      </c>
      <c r="E146" s="259">
        <v>186444.01609422045</v>
      </c>
      <c r="F146" s="260">
        <v>186277.70897172851</v>
      </c>
      <c r="G146" s="384">
        <v>187441.09595246342</v>
      </c>
      <c r="H146" s="260">
        <v>188399.65053691811</v>
      </c>
      <c r="I146" s="245">
        <v>189062.5903967598</v>
      </c>
    </row>
    <row r="147" spans="1:9" outlineLevel="2" x14ac:dyDescent="0.25">
      <c r="A147" s="253"/>
      <c r="B147" s="584" t="s">
        <v>1489</v>
      </c>
      <c r="C147" s="380">
        <v>173082</v>
      </c>
      <c r="D147" s="260">
        <v>173338.14079778304</v>
      </c>
      <c r="E147" s="259">
        <v>8670.330528391376</v>
      </c>
      <c r="F147" s="260">
        <v>8662.596637267181</v>
      </c>
      <c r="G147" s="384">
        <v>8716.6983985717707</v>
      </c>
      <c r="H147" s="260">
        <v>8761.2747022302756</v>
      </c>
      <c r="I147" s="245">
        <v>8792.1038370326933</v>
      </c>
    </row>
    <row r="148" spans="1:9" outlineLevel="2" x14ac:dyDescent="0.25">
      <c r="A148" s="253"/>
      <c r="B148" s="584" t="s">
        <v>1490</v>
      </c>
      <c r="C148" s="380">
        <v>3267</v>
      </c>
      <c r="D148" s="260">
        <v>3271.8347718789778</v>
      </c>
      <c r="E148" s="259">
        <v>3273.1271693480116</v>
      </c>
      <c r="F148" s="260">
        <v>3270.207556412784</v>
      </c>
      <c r="G148" s="384">
        <v>3290.6314542394903</v>
      </c>
      <c r="H148" s="260">
        <v>3307.4594067767075</v>
      </c>
      <c r="I148" s="245">
        <v>3319.0976803579583</v>
      </c>
    </row>
    <row r="149" spans="1:9" outlineLevel="2" x14ac:dyDescent="0.25">
      <c r="A149" s="253"/>
      <c r="B149" s="584" t="s">
        <v>1491</v>
      </c>
      <c r="C149" s="380">
        <v>10027</v>
      </c>
      <c r="D149" s="260">
        <v>10041.838768788035</v>
      </c>
      <c r="E149" s="259">
        <v>10045.805364876802</v>
      </c>
      <c r="F149" s="260">
        <v>10036.844557132228</v>
      </c>
      <c r="G149" s="384">
        <v>10099.529106721571</v>
      </c>
      <c r="H149" s="260">
        <v>10151.177065120921</v>
      </c>
      <c r="I149" s="245">
        <v>10186.896982231176</v>
      </c>
    </row>
    <row r="150" spans="1:9" outlineLevel="2" x14ac:dyDescent="0.25">
      <c r="A150" s="253"/>
      <c r="B150" s="584" t="s">
        <v>1492</v>
      </c>
      <c r="C150" s="380"/>
      <c r="D150" s="260"/>
      <c r="E150" s="259">
        <v>785703.24028000003</v>
      </c>
      <c r="F150" s="260">
        <v>955257.99953242403</v>
      </c>
      <c r="G150" s="384">
        <v>966434.51812695339</v>
      </c>
      <c r="H150" s="260">
        <v>1045585.5051615511</v>
      </c>
      <c r="I150" s="245">
        <v>1124422.6522507321</v>
      </c>
    </row>
    <row r="151" spans="1:9" outlineLevel="2" x14ac:dyDescent="0.25">
      <c r="A151" s="253"/>
      <c r="B151" s="584"/>
      <c r="C151" s="380"/>
      <c r="D151" s="260"/>
      <c r="E151" s="259"/>
      <c r="F151" s="260"/>
      <c r="G151" s="384"/>
      <c r="H151" s="260"/>
      <c r="I151" s="245"/>
    </row>
    <row r="152" spans="1:9" ht="15.75" outlineLevel="2" thickBot="1" x14ac:dyDescent="0.3">
      <c r="A152" s="253"/>
      <c r="B152" s="590"/>
      <c r="C152" s="385"/>
      <c r="D152" s="386"/>
      <c r="E152" s="655"/>
      <c r="F152" s="386"/>
      <c r="G152" s="654"/>
      <c r="H152" s="386"/>
      <c r="I152" s="620"/>
    </row>
    <row r="153" spans="1:9" ht="15.75" outlineLevel="2" thickBot="1" x14ac:dyDescent="0.3">
      <c r="A153" s="253"/>
      <c r="B153" s="656" t="s">
        <v>120</v>
      </c>
      <c r="C153" s="657">
        <f t="shared" ref="C153:D153" si="2">SUM(C144:C152)</f>
        <v>2238206.3543999996</v>
      </c>
      <c r="D153" s="657">
        <f t="shared" si="2"/>
        <v>2241518.6339046229</v>
      </c>
      <c r="E153" s="657">
        <f>SUM(E144:E152)</f>
        <v>2863371.0095806327</v>
      </c>
      <c r="F153" s="657">
        <f t="shared" ref="F153:I153" si="3">SUM(F144:F152)</f>
        <v>3031072.4996563615</v>
      </c>
      <c r="G153" s="657">
        <f t="shared" si="3"/>
        <v>3055213.4012529999</v>
      </c>
      <c r="H153" s="657">
        <f t="shared" si="3"/>
        <v>3145046.1897578603</v>
      </c>
      <c r="I153" s="658">
        <f t="shared" si="3"/>
        <v>3231270.9098495543</v>
      </c>
    </row>
    <row r="155" spans="1:9" ht="15.75" thickBot="1" x14ac:dyDescent="0.3"/>
    <row r="156" spans="1:9" ht="30.75" customHeight="1" thickBot="1" x14ac:dyDescent="0.3">
      <c r="A156" s="253"/>
      <c r="B156" s="32" t="s">
        <v>391</v>
      </c>
      <c r="C156" s="32"/>
      <c r="D156" s="32"/>
      <c r="E156" s="32"/>
      <c r="F156" s="32"/>
      <c r="G156" s="32"/>
      <c r="H156" s="32"/>
      <c r="I156" s="32"/>
    </row>
    <row r="157" spans="1:9" ht="26.25" customHeight="1" outlineLevel="2" x14ac:dyDescent="0.25">
      <c r="A157" s="253"/>
      <c r="C157" s="1379" t="s">
        <v>383</v>
      </c>
      <c r="D157" s="1379"/>
      <c r="E157" s="1379"/>
      <c r="F157" s="1379"/>
      <c r="G157" s="1379"/>
      <c r="H157" s="1379"/>
      <c r="I157" s="1380"/>
    </row>
    <row r="158" spans="1:9" ht="26.25" customHeight="1" outlineLevel="2" x14ac:dyDescent="0.25">
      <c r="A158" s="253"/>
      <c r="C158" s="1378" t="str">
        <f ca="1">CONCATENATE("$, real ",dms_DollarReal)</f>
        <v>$, real June 2026</v>
      </c>
      <c r="D158" s="1378"/>
      <c r="E158" s="1378"/>
      <c r="F158" s="1378"/>
      <c r="G158" s="1378"/>
      <c r="H158" s="1378"/>
      <c r="I158" s="1381"/>
    </row>
    <row r="159" spans="1:9" ht="15.75" outlineLevel="2" thickBot="1" x14ac:dyDescent="0.3">
      <c r="A159" s="253"/>
      <c r="B159" s="633" t="s">
        <v>390</v>
      </c>
      <c r="C159" s="400" t="str">
        <f ca="1">dms_y1</f>
        <v>2024-25</v>
      </c>
      <c r="D159" s="314" t="str">
        <f ca="1">dms_y2</f>
        <v>2025-26</v>
      </c>
      <c r="E159" s="313" t="str">
        <f ca="1">dms_y3</f>
        <v>2026-27</v>
      </c>
      <c r="F159" s="313" t="str">
        <f ca="1">dms_y4</f>
        <v>2027-28</v>
      </c>
      <c r="G159" s="313" t="str">
        <f ca="1">dms_y5</f>
        <v>2028-29</v>
      </c>
      <c r="H159" s="313" t="str">
        <f ca="1">dms_y6</f>
        <v>2029-30</v>
      </c>
      <c r="I159" s="401" t="str">
        <f ca="1">dms_y7</f>
        <v>2030-31</v>
      </c>
    </row>
    <row r="160" spans="1:9" outlineLevel="2" x14ac:dyDescent="0.25">
      <c r="A160" s="253"/>
      <c r="B160" s="585"/>
      <c r="C160" s="366"/>
      <c r="D160" s="369"/>
      <c r="E160" s="256"/>
      <c r="F160" s="257"/>
      <c r="G160" s="257"/>
      <c r="H160" s="257"/>
      <c r="I160" s="258"/>
    </row>
    <row r="161" spans="1:9" outlineLevel="2" x14ac:dyDescent="0.25">
      <c r="A161" s="253"/>
      <c r="B161" s="584"/>
      <c r="C161" s="380"/>
      <c r="D161" s="384"/>
      <c r="E161" s="259"/>
      <c r="F161" s="260"/>
      <c r="G161" s="260"/>
      <c r="H161" s="260"/>
      <c r="I161" s="245"/>
    </row>
    <row r="162" spans="1:9" outlineLevel="2" x14ac:dyDescent="0.25">
      <c r="A162" s="253"/>
      <c r="B162" s="584"/>
      <c r="C162" s="380"/>
      <c r="D162" s="384"/>
      <c r="E162" s="259"/>
      <c r="F162" s="260"/>
      <c r="G162" s="260"/>
      <c r="H162" s="260"/>
      <c r="I162" s="245"/>
    </row>
    <row r="163" spans="1:9" outlineLevel="2" x14ac:dyDescent="0.25">
      <c r="A163" s="253"/>
      <c r="B163" s="584"/>
      <c r="C163" s="380"/>
      <c r="D163" s="384"/>
      <c r="E163" s="259"/>
      <c r="F163" s="260"/>
      <c r="G163" s="260"/>
      <c r="H163" s="260"/>
      <c r="I163" s="245"/>
    </row>
    <row r="164" spans="1:9" outlineLevel="2" x14ac:dyDescent="0.25">
      <c r="A164" s="253"/>
      <c r="B164" s="584"/>
      <c r="C164" s="380"/>
      <c r="D164" s="384"/>
      <c r="E164" s="259"/>
      <c r="F164" s="260"/>
      <c r="G164" s="260"/>
      <c r="H164" s="260"/>
      <c r="I164" s="245"/>
    </row>
    <row r="165" spans="1:9" ht="15.75" outlineLevel="2" thickBot="1" x14ac:dyDescent="0.3">
      <c r="A165" s="253"/>
      <c r="B165" s="590"/>
      <c r="C165" s="385"/>
      <c r="D165" s="654"/>
      <c r="E165" s="655"/>
      <c r="F165" s="386"/>
      <c r="G165" s="386"/>
      <c r="H165" s="386"/>
      <c r="I165" s="620"/>
    </row>
    <row r="166" spans="1:9" ht="15.75" outlineLevel="2" thickBot="1" x14ac:dyDescent="0.3">
      <c r="A166" s="253"/>
      <c r="B166" s="656" t="s">
        <v>120</v>
      </c>
      <c r="C166" s="657">
        <f>SUM(C160:C165)</f>
        <v>0</v>
      </c>
      <c r="D166" s="657">
        <f t="shared" ref="D166:I166" si="4">SUM(D160:D165)</f>
        <v>0</v>
      </c>
      <c r="E166" s="657">
        <f t="shared" si="4"/>
        <v>0</v>
      </c>
      <c r="F166" s="657">
        <f t="shared" si="4"/>
        <v>0</v>
      </c>
      <c r="G166" s="657">
        <f t="shared" si="4"/>
        <v>0</v>
      </c>
      <c r="H166" s="657">
        <f t="shared" si="4"/>
        <v>0</v>
      </c>
      <c r="I166" s="658">
        <f t="shared" si="4"/>
        <v>0</v>
      </c>
    </row>
    <row r="167" spans="1:9" x14ac:dyDescent="0.25">
      <c r="C167" s="42"/>
      <c r="D167" s="42"/>
      <c r="E167" s="42"/>
      <c r="F167" s="42"/>
      <c r="G167" s="42"/>
      <c r="H167" s="42"/>
      <c r="I167" s="42"/>
    </row>
    <row r="168" spans="1:9" ht="15.75" thickBot="1" x14ac:dyDescent="0.3">
      <c r="C168" s="42"/>
      <c r="D168" s="42"/>
      <c r="E168" s="42"/>
      <c r="F168" s="42"/>
      <c r="G168" s="42"/>
      <c r="H168" s="42"/>
      <c r="I168" s="42"/>
    </row>
    <row r="169" spans="1:9" ht="30.75" customHeight="1" thickBot="1" x14ac:dyDescent="0.3">
      <c r="A169" s="253"/>
      <c r="B169" s="32" t="s">
        <v>392</v>
      </c>
      <c r="C169" s="32"/>
      <c r="D169" s="32"/>
      <c r="E169" s="32"/>
      <c r="F169" s="32"/>
      <c r="G169" s="32"/>
      <c r="H169" s="32"/>
      <c r="I169" s="32"/>
    </row>
    <row r="170" spans="1:9" ht="26.25" customHeight="1" outlineLevel="2" x14ac:dyDescent="0.25">
      <c r="A170" s="253"/>
      <c r="C170" s="1379" t="s">
        <v>383</v>
      </c>
      <c r="D170" s="1379"/>
      <c r="E170" s="1379"/>
      <c r="F170" s="1379"/>
      <c r="G170" s="1379"/>
      <c r="H170" s="1379"/>
      <c r="I170" s="1380"/>
    </row>
    <row r="171" spans="1:9" ht="15" customHeight="1" outlineLevel="2" x14ac:dyDescent="0.25">
      <c r="A171" s="253"/>
      <c r="C171" s="1378" t="str">
        <f ca="1">CONCATENATE("$, real ",dms_DollarReal)</f>
        <v>$, real June 2026</v>
      </c>
      <c r="D171" s="1378"/>
      <c r="E171" s="1378"/>
      <c r="F171" s="1378"/>
      <c r="G171" s="1378"/>
      <c r="H171" s="1378"/>
      <c r="I171" s="1381"/>
    </row>
    <row r="172" spans="1:9" ht="15.75" outlineLevel="2" thickBot="1" x14ac:dyDescent="0.3">
      <c r="A172" s="253"/>
      <c r="B172" s="633" t="s">
        <v>390</v>
      </c>
      <c r="C172" s="400" t="str">
        <f ca="1">dms_y1</f>
        <v>2024-25</v>
      </c>
      <c r="D172" s="314" t="str">
        <f ca="1">dms_y2</f>
        <v>2025-26</v>
      </c>
      <c r="E172" s="313" t="str">
        <f ca="1">dms_y3</f>
        <v>2026-27</v>
      </c>
      <c r="F172" s="313" t="str">
        <f ca="1">dms_y4</f>
        <v>2027-28</v>
      </c>
      <c r="G172" s="313" t="str">
        <f ca="1">dms_y5</f>
        <v>2028-29</v>
      </c>
      <c r="H172" s="313" t="str">
        <f ca="1">dms_y6</f>
        <v>2029-30</v>
      </c>
      <c r="I172" s="401" t="str">
        <f ca="1">dms_y7</f>
        <v>2030-31</v>
      </c>
    </row>
    <row r="173" spans="1:9" outlineLevel="2" x14ac:dyDescent="0.25">
      <c r="A173" s="253"/>
      <c r="B173" s="585" t="s">
        <v>1510</v>
      </c>
      <c r="C173" s="366">
        <v>15749.5710305096</v>
      </c>
      <c r="D173" s="369">
        <v>15755.337781017362</v>
      </c>
      <c r="E173" s="256">
        <v>15757.11364872452</v>
      </c>
      <c r="F173" s="257">
        <v>15742.015115917313</v>
      </c>
      <c r="G173" s="257">
        <v>15842.449944428046</v>
      </c>
      <c r="H173" s="257">
        <v>15925.628197085603</v>
      </c>
      <c r="I173" s="258">
        <v>16009.243163871306</v>
      </c>
    </row>
    <row r="174" spans="1:9" outlineLevel="2" x14ac:dyDescent="0.25">
      <c r="A174" s="253"/>
      <c r="B174" s="584" t="s">
        <v>1511</v>
      </c>
      <c r="C174" s="380">
        <v>239738.82743502004</v>
      </c>
      <c r="D174" s="384">
        <v>239826.60849281284</v>
      </c>
      <c r="E174" s="259">
        <v>239853.64062219395</v>
      </c>
      <c r="F174" s="260">
        <v>239623.81185135461</v>
      </c>
      <c r="G174" s="260">
        <v>241152.62352337776</v>
      </c>
      <c r="H174" s="260">
        <v>242418.75684990376</v>
      </c>
      <c r="I174" s="245">
        <v>243691.53780720034</v>
      </c>
    </row>
    <row r="175" spans="1:9" outlineLevel="2" x14ac:dyDescent="0.25">
      <c r="A175" s="253"/>
      <c r="B175" s="584" t="s">
        <v>1512</v>
      </c>
      <c r="C175" s="380">
        <v>47503.713160836778</v>
      </c>
      <c r="D175" s="384">
        <v>47521.106781365248</v>
      </c>
      <c r="E175" s="259">
        <v>47526.463137421488</v>
      </c>
      <c r="F175" s="260">
        <v>47480.923079839369</v>
      </c>
      <c r="G175" s="260">
        <v>47783.853697802828</v>
      </c>
      <c r="H175" s="260">
        <v>48034.735188340564</v>
      </c>
      <c r="I175" s="245">
        <v>48286.933892066932</v>
      </c>
    </row>
    <row r="176" spans="1:9" outlineLevel="2" x14ac:dyDescent="0.25">
      <c r="A176" s="253"/>
      <c r="B176" s="584" t="s">
        <v>1513</v>
      </c>
      <c r="C176" s="380">
        <v>14034.668470545424</v>
      </c>
      <c r="D176" s="384">
        <v>14039.80730457284</v>
      </c>
      <c r="E176" s="259">
        <v>14041.389805738696</v>
      </c>
      <c r="F176" s="260">
        <v>14027.935286759714</v>
      </c>
      <c r="G176" s="260">
        <v>14117.434201892935</v>
      </c>
      <c r="H176" s="260">
        <v>14191.555534959509</v>
      </c>
      <c r="I176" s="245">
        <v>14266.066030244727</v>
      </c>
    </row>
    <row r="177" spans="1:9" outlineLevel="2" x14ac:dyDescent="0.25">
      <c r="A177" s="253"/>
      <c r="B177" s="584" t="s">
        <v>1514</v>
      </c>
      <c r="C177" s="380">
        <v>256054.60751979169</v>
      </c>
      <c r="D177" s="384">
        <v>256148.36264715795</v>
      </c>
      <c r="E177" s="259">
        <v>256177.23448804062</v>
      </c>
      <c r="F177" s="260">
        <v>255931.76438065895</v>
      </c>
      <c r="G177" s="260">
        <v>257564.62158964676</v>
      </c>
      <c r="H177" s="260">
        <v>258916.92349026073</v>
      </c>
      <c r="I177" s="245">
        <v>260276.32543597839</v>
      </c>
    </row>
    <row r="178" spans="1:9" ht="15.75" outlineLevel="2" thickBot="1" x14ac:dyDescent="0.3">
      <c r="A178" s="253"/>
      <c r="B178" s="634" t="s">
        <v>1515</v>
      </c>
      <c r="C178" s="381">
        <v>31824.822050428425</v>
      </c>
      <c r="D178" s="397">
        <v>31836.474800104159</v>
      </c>
      <c r="E178" s="261">
        <v>31840.063258079041</v>
      </c>
      <c r="F178" s="262">
        <v>31809.553975071834</v>
      </c>
      <c r="G178" s="262">
        <v>32012.500489540551</v>
      </c>
      <c r="H178" s="262">
        <v>32180.577009476514</v>
      </c>
      <c r="I178" s="494">
        <v>32349.535988330768</v>
      </c>
    </row>
    <row r="179" spans="1:9" ht="15.75" outlineLevel="2" thickBot="1" x14ac:dyDescent="0.3">
      <c r="A179" s="253"/>
      <c r="B179" s="656" t="s">
        <v>120</v>
      </c>
      <c r="C179" s="657">
        <f>SUM(C173:C178)</f>
        <v>604906.209667132</v>
      </c>
      <c r="D179" s="657">
        <f t="shared" ref="D179:I179" si="5">SUM(D173:D178)</f>
        <v>605127.6978070304</v>
      </c>
      <c r="E179" s="657">
        <f t="shared" si="5"/>
        <v>605195.90496019821</v>
      </c>
      <c r="F179" s="657">
        <f t="shared" si="5"/>
        <v>604616.00368960178</v>
      </c>
      <c r="G179" s="657">
        <f t="shared" si="5"/>
        <v>608473.48344668886</v>
      </c>
      <c r="H179" s="657">
        <f t="shared" si="5"/>
        <v>611668.17627002671</v>
      </c>
      <c r="I179" s="658">
        <f t="shared" si="5"/>
        <v>614879.6423176924</v>
      </c>
    </row>
    <row r="180" spans="1:9" x14ac:dyDescent="0.25">
      <c r="A180" s="253"/>
    </row>
    <row r="181" spans="1:9" ht="15.75" thickBot="1" x14ac:dyDescent="0.3">
      <c r="A181" s="253"/>
    </row>
    <row r="182" spans="1:9" ht="26.25" customHeight="1" thickBot="1" x14ac:dyDescent="0.3">
      <c r="A182" s="253"/>
      <c r="B182" s="32" t="s">
        <v>393</v>
      </c>
      <c r="C182" s="32"/>
      <c r="D182" s="32"/>
      <c r="E182" s="32"/>
      <c r="F182" s="32"/>
      <c r="G182" s="32"/>
      <c r="H182" s="32"/>
      <c r="I182" s="32"/>
    </row>
    <row r="183" spans="1:9" ht="26.25" customHeight="1" outlineLevel="2" x14ac:dyDescent="0.25">
      <c r="A183" s="253"/>
      <c r="C183" s="1379" t="s">
        <v>383</v>
      </c>
      <c r="D183" s="1379"/>
      <c r="E183" s="1379"/>
      <c r="F183" s="1379"/>
      <c r="G183" s="1379"/>
      <c r="H183" s="1379"/>
      <c r="I183" s="1380"/>
    </row>
    <row r="184" spans="1:9" ht="15" customHeight="1" outlineLevel="2" x14ac:dyDescent="0.25">
      <c r="A184" s="253"/>
      <c r="C184" s="1378" t="str">
        <f ca="1">CONCATENATE("$, real ",dms_DollarReal)</f>
        <v>$, real June 2026</v>
      </c>
      <c r="D184" s="1378"/>
      <c r="E184" s="1378"/>
      <c r="F184" s="1378"/>
      <c r="G184" s="1378"/>
      <c r="H184" s="1378"/>
      <c r="I184" s="1381"/>
    </row>
    <row r="185" spans="1:9" ht="30.75" customHeight="1" outlineLevel="2" thickBot="1" x14ac:dyDescent="0.3">
      <c r="C185" s="400" t="str">
        <f ca="1">dms_y1</f>
        <v>2024-25</v>
      </c>
      <c r="D185" s="314" t="str">
        <f ca="1">dms_y2</f>
        <v>2025-26</v>
      </c>
      <c r="E185" s="313" t="str">
        <f ca="1">dms_y3</f>
        <v>2026-27</v>
      </c>
      <c r="F185" s="313" t="str">
        <f ca="1">dms_y4</f>
        <v>2027-28</v>
      </c>
      <c r="G185" s="313" t="str">
        <f ca="1">dms_y5</f>
        <v>2028-29</v>
      </c>
      <c r="H185" s="313" t="str">
        <f ca="1">dms_y6</f>
        <v>2029-30</v>
      </c>
      <c r="I185" s="401" t="str">
        <f ca="1">dms_y7</f>
        <v>2030-31</v>
      </c>
    </row>
    <row r="186" spans="1:9" ht="32.25" customHeight="1" outlineLevel="2" thickBot="1" x14ac:dyDescent="0.3">
      <c r="A186" s="253"/>
      <c r="B186" s="295" t="s">
        <v>120</v>
      </c>
      <c r="C186" s="296">
        <f t="shared" ref="C186:I186" si="6">SUM(C179,C166,C153,C87)</f>
        <v>255868322.37019008</v>
      </c>
      <c r="D186" s="296">
        <f t="shared" si="6"/>
        <v>267731705.87768939</v>
      </c>
      <c r="E186" s="296">
        <f t="shared" si="6"/>
        <v>259674502.82969439</v>
      </c>
      <c r="F186" s="296">
        <f t="shared" si="6"/>
        <v>262716308.4718124</v>
      </c>
      <c r="G186" s="296">
        <f t="shared" si="6"/>
        <v>263928364.02044696</v>
      </c>
      <c r="H186" s="296">
        <f t="shared" si="6"/>
        <v>265177225.54010034</v>
      </c>
      <c r="I186" s="297">
        <f t="shared" si="6"/>
        <v>266208170.78856727</v>
      </c>
    </row>
    <row r="187" spans="1:9" outlineLevel="2" x14ac:dyDescent="0.25"/>
    <row r="190" spans="1:9" ht="25.5" customHeight="1" x14ac:dyDescent="0.25"/>
  </sheetData>
  <dataValidations xWindow="59" yWindow="623" count="1">
    <dataValidation allowBlank="1" showInputMessage="1" showErrorMessage="1" promptTitle="Tariff" prompt="For consistency in AER database, tariff names in this worksheet are populated from tariff names entered in worksheet N1. Demand." sqref="B12:B86" xr:uid="{00000000-0002-0000-1B00-000000000000}"/>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theme="0" tint="-0.14999847407452621"/>
  </sheetPr>
  <dimension ref="B1:I65"/>
  <sheetViews>
    <sheetView showGridLines="0" tabSelected="1" zoomScale="115" zoomScaleNormal="115" workbookViewId="0">
      <selection activeCell="C12" sqref="C12"/>
    </sheetView>
  </sheetViews>
  <sheetFormatPr defaultColWidth="8.7109375" defaultRowHeight="15" x14ac:dyDescent="0.25"/>
  <cols>
    <col min="1" max="1" width="4.140625" style="1457" customWidth="1"/>
    <col min="2" max="2" width="39.28515625" style="1457" customWidth="1"/>
    <col min="3" max="6" width="32.85546875" style="1457" customWidth="1"/>
    <col min="7" max="7" width="24.42578125" style="1457" customWidth="1"/>
    <col min="8" max="8" width="25.85546875" style="1457" customWidth="1"/>
    <col min="9" max="9" width="22.42578125" style="1457" customWidth="1"/>
    <col min="10" max="16384" width="8.7109375" style="1457"/>
  </cols>
  <sheetData>
    <row r="1" spans="2:8" x14ac:dyDescent="0.25">
      <c r="B1" s="1565"/>
      <c r="C1" s="1566"/>
      <c r="D1" s="1566"/>
      <c r="E1" s="1566"/>
      <c r="F1" s="1566"/>
      <c r="G1" s="1566"/>
      <c r="H1" s="1567"/>
    </row>
    <row r="2" spans="2:8" x14ac:dyDescent="0.25">
      <c r="C2" s="1568"/>
      <c r="D2" s="1568"/>
      <c r="E2" s="1568"/>
      <c r="F2" s="1568"/>
      <c r="G2" s="1568"/>
      <c r="H2" s="1568"/>
    </row>
    <row r="3" spans="2:8" x14ac:dyDescent="0.25">
      <c r="C3" s="1568"/>
      <c r="D3" s="1568"/>
      <c r="E3" s="1568"/>
      <c r="F3" s="1568"/>
      <c r="G3" s="1568"/>
      <c r="H3" s="1568"/>
    </row>
    <row r="4" spans="2:8" x14ac:dyDescent="0.25">
      <c r="C4" s="1568"/>
      <c r="D4" s="1568"/>
      <c r="E4" s="1568"/>
      <c r="F4" s="1568"/>
      <c r="G4" s="1568"/>
      <c r="H4" s="1568"/>
    </row>
    <row r="5" spans="2:8" x14ac:dyDescent="0.25">
      <c r="C5" s="1568"/>
      <c r="D5" s="1568"/>
      <c r="E5" s="1568"/>
      <c r="F5" s="1568"/>
      <c r="G5" s="1568"/>
      <c r="H5" s="1568"/>
    </row>
    <row r="6" spans="2:8" x14ac:dyDescent="0.25">
      <c r="C6" s="1568"/>
      <c r="D6" s="1568"/>
      <c r="E6" s="1568"/>
      <c r="F6" s="1568"/>
      <c r="G6" s="1568"/>
      <c r="H6" s="1568"/>
    </row>
    <row r="7" spans="2:8" x14ac:dyDescent="0.25">
      <c r="C7" s="1568"/>
      <c r="D7" s="1568"/>
      <c r="E7" s="1568"/>
      <c r="F7" s="1568"/>
      <c r="G7" s="1568"/>
      <c r="H7" s="1568"/>
    </row>
    <row r="8" spans="2:8" x14ac:dyDescent="0.25">
      <c r="C8" s="1568"/>
      <c r="D8" s="1568"/>
      <c r="E8" s="1568"/>
      <c r="F8" s="1568"/>
      <c r="G8" s="1568"/>
      <c r="H8" s="1568"/>
    </row>
    <row r="9" spans="2:8" x14ac:dyDescent="0.25">
      <c r="H9" s="1568"/>
    </row>
    <row r="10" spans="2:8" x14ac:dyDescent="0.25">
      <c r="C10" s="1568"/>
      <c r="D10" s="1568"/>
      <c r="E10" s="1568"/>
      <c r="F10" s="1568"/>
      <c r="G10" s="1568"/>
      <c r="H10" s="1568"/>
    </row>
    <row r="11" spans="2:8" x14ac:dyDescent="0.25">
      <c r="B11" s="1569"/>
      <c r="C11" s="1570"/>
      <c r="D11" s="1570"/>
      <c r="E11" s="1570"/>
      <c r="F11" s="1570"/>
      <c r="G11" s="1570"/>
      <c r="H11" s="1570"/>
    </row>
    <row r="12" spans="2:8" ht="49.5" customHeight="1" x14ac:dyDescent="0.25"/>
    <row r="13" spans="2:8" ht="49.5" customHeight="1" x14ac:dyDescent="0.25">
      <c r="B13" s="1571"/>
      <c r="C13" s="1566"/>
      <c r="D13" s="1566"/>
      <c r="E13" s="1566"/>
      <c r="F13" s="1566"/>
      <c r="G13" s="1566"/>
      <c r="H13" s="1567"/>
    </row>
    <row r="14" spans="2:8" x14ac:dyDescent="0.25">
      <c r="C14" s="1572"/>
      <c r="D14" s="1572"/>
      <c r="E14" s="1572"/>
      <c r="F14" s="1572"/>
      <c r="G14" s="1572"/>
      <c r="H14" s="1572"/>
    </row>
    <row r="15" spans="2:8" x14ac:dyDescent="0.25">
      <c r="C15" s="1572"/>
      <c r="D15" s="1572"/>
      <c r="E15" s="1572"/>
      <c r="F15" s="1572"/>
      <c r="G15" s="1572"/>
      <c r="H15" s="1572"/>
    </row>
    <row r="16" spans="2:8" x14ac:dyDescent="0.25">
      <c r="C16" s="1572"/>
      <c r="D16" s="1572"/>
      <c r="E16" s="1572"/>
      <c r="F16" s="1572"/>
      <c r="G16" s="1572"/>
      <c r="H16" s="1572"/>
    </row>
    <row r="17" spans="2:9" x14ac:dyDescent="0.25">
      <c r="C17" s="1572"/>
      <c r="D17" s="1572"/>
      <c r="E17" s="1572"/>
      <c r="F17" s="1572"/>
      <c r="G17" s="1572"/>
      <c r="H17" s="1572"/>
    </row>
    <row r="18" spans="2:9" x14ac:dyDescent="0.25">
      <c r="C18" s="1572"/>
      <c r="D18" s="1572"/>
      <c r="E18" s="1572"/>
      <c r="F18" s="1572"/>
      <c r="G18" s="1572"/>
      <c r="H18" s="1572"/>
    </row>
    <row r="19" spans="2:9" x14ac:dyDescent="0.25">
      <c r="C19" s="1572"/>
      <c r="D19" s="1572"/>
      <c r="E19" s="1572"/>
      <c r="F19" s="1572"/>
      <c r="G19" s="1572"/>
      <c r="H19" s="1572"/>
    </row>
    <row r="20" spans="2:9" x14ac:dyDescent="0.25">
      <c r="C20" s="1572"/>
      <c r="D20" s="1572"/>
      <c r="E20" s="1572"/>
      <c r="F20" s="1572"/>
      <c r="G20" s="1572"/>
      <c r="H20" s="1572"/>
    </row>
    <row r="21" spans="2:9" x14ac:dyDescent="0.25">
      <c r="C21" s="1572"/>
      <c r="D21" s="1572"/>
      <c r="E21" s="1572"/>
      <c r="F21" s="1572"/>
      <c r="G21" s="1572"/>
      <c r="H21" s="1572"/>
    </row>
    <row r="22" spans="2:9" x14ac:dyDescent="0.25">
      <c r="B22" s="1569"/>
      <c r="C22" s="1573"/>
      <c r="D22" s="1573"/>
      <c r="E22" s="1573"/>
      <c r="F22" s="1573"/>
      <c r="G22" s="1573"/>
      <c r="H22" s="1573"/>
    </row>
    <row r="24" spans="2:9" x14ac:dyDescent="0.25">
      <c r="B24" s="1574"/>
      <c r="C24" s="1575"/>
      <c r="D24" s="1575"/>
      <c r="E24" s="1575"/>
      <c r="F24" s="1575"/>
      <c r="G24" s="1575"/>
      <c r="H24" s="1575"/>
    </row>
    <row r="27" spans="2:9" x14ac:dyDescent="0.25">
      <c r="B27" s="671"/>
      <c r="C27" s="1576"/>
      <c r="D27" s="1576"/>
      <c r="E27" s="1576"/>
      <c r="F27" s="1576"/>
      <c r="G27" s="1576"/>
      <c r="H27" s="1576"/>
      <c r="I27" s="1576"/>
    </row>
    <row r="28" spans="2:9" x14ac:dyDescent="0.25">
      <c r="B28" s="1577"/>
      <c r="C28" s="1578"/>
      <c r="D28" s="1578"/>
      <c r="E28" s="1578"/>
      <c r="F28" s="1578"/>
      <c r="G28" s="1578"/>
      <c r="H28" s="1578"/>
      <c r="I28" s="1578"/>
    </row>
    <row r="29" spans="2:9" x14ac:dyDescent="0.25">
      <c r="B29" s="1577"/>
      <c r="C29" s="1578"/>
      <c r="D29" s="1578"/>
      <c r="E29" s="1578"/>
      <c r="F29" s="1578"/>
      <c r="G29" s="1578"/>
      <c r="H29" s="1578"/>
      <c r="I29" s="1578"/>
    </row>
    <row r="30" spans="2:9" x14ac:dyDescent="0.25">
      <c r="B30" s="1577"/>
      <c r="C30" s="1578"/>
      <c r="D30" s="1578"/>
      <c r="E30" s="1579"/>
      <c r="F30" s="1579"/>
      <c r="G30" s="1579"/>
      <c r="H30" s="1579"/>
      <c r="I30" s="1579"/>
    </row>
    <row r="31" spans="2:9" x14ac:dyDescent="0.25">
      <c r="B31" s="1577"/>
      <c r="C31" s="1578"/>
      <c r="D31" s="1578"/>
      <c r="E31" s="1579"/>
      <c r="F31" s="1579"/>
      <c r="G31" s="1579"/>
      <c r="H31" s="1579"/>
      <c r="I31" s="1579"/>
    </row>
    <row r="32" spans="2:9" x14ac:dyDescent="0.25">
      <c r="B32" s="1577"/>
      <c r="C32" s="1578"/>
      <c r="D32" s="1578"/>
      <c r="E32" s="1578"/>
      <c r="F32" s="1578"/>
      <c r="G32" s="1578"/>
      <c r="H32" s="1578"/>
      <c r="I32" s="1578"/>
    </row>
    <row r="33" spans="2:9" x14ac:dyDescent="0.25">
      <c r="B33" s="1577"/>
      <c r="C33" s="1578"/>
      <c r="D33" s="1578"/>
      <c r="E33" s="1579"/>
      <c r="F33" s="1579"/>
      <c r="G33" s="1579"/>
      <c r="H33" s="1579"/>
      <c r="I33" s="1579"/>
    </row>
    <row r="34" spans="2:9" x14ac:dyDescent="0.25">
      <c r="B34" s="1577"/>
      <c r="C34" s="1578"/>
      <c r="D34" s="1578"/>
      <c r="E34" s="1579"/>
      <c r="F34" s="1579"/>
      <c r="G34" s="1579"/>
      <c r="H34" s="1579"/>
      <c r="I34" s="1579"/>
    </row>
    <row r="35" spans="2:9" x14ac:dyDescent="0.25">
      <c r="B35" s="1577"/>
      <c r="C35" s="1578"/>
      <c r="D35" s="1578"/>
      <c r="E35" s="1579"/>
      <c r="F35" s="1579"/>
      <c r="G35" s="1579"/>
      <c r="H35" s="1579"/>
      <c r="I35" s="1579"/>
    </row>
    <row r="36" spans="2:9" x14ac:dyDescent="0.25">
      <c r="B36" s="1577"/>
      <c r="C36" s="1578"/>
      <c r="D36" s="1578"/>
      <c r="E36" s="1578"/>
      <c r="F36" s="1578"/>
      <c r="G36" s="1578"/>
      <c r="H36" s="1578"/>
      <c r="I36" s="1578"/>
    </row>
    <row r="37" spans="2:9" x14ac:dyDescent="0.25">
      <c r="B37" s="1577"/>
      <c r="C37" s="1578"/>
      <c r="D37" s="1578"/>
      <c r="E37" s="1578"/>
      <c r="F37" s="1578"/>
      <c r="G37" s="1578"/>
      <c r="H37" s="1578"/>
      <c r="I37" s="1578"/>
    </row>
    <row r="38" spans="2:9" x14ac:dyDescent="0.25">
      <c r="B38" s="1580"/>
      <c r="C38" s="1581"/>
      <c r="D38" s="1581"/>
      <c r="E38" s="1581"/>
      <c r="F38" s="1581"/>
      <c r="G38" s="1581"/>
      <c r="H38" s="1581"/>
      <c r="I38" s="1581"/>
    </row>
    <row r="39" spans="2:9" x14ac:dyDescent="0.25">
      <c r="E39" s="1572"/>
      <c r="F39" s="1572"/>
      <c r="G39" s="1572"/>
      <c r="H39" s="1572"/>
      <c r="I39" s="1572"/>
    </row>
    <row r="40" spans="2:9" x14ac:dyDescent="0.25">
      <c r="B40" s="671"/>
      <c r="C40" s="1576"/>
      <c r="D40" s="1576"/>
      <c r="E40" s="1576"/>
      <c r="F40" s="1576"/>
      <c r="G40" s="1576"/>
      <c r="H40" s="1576"/>
      <c r="I40" s="1576"/>
    </row>
    <row r="41" spans="2:9" x14ac:dyDescent="0.25">
      <c r="B41" s="1577"/>
      <c r="C41" s="1579"/>
      <c r="D41" s="1579"/>
      <c r="E41" s="1579"/>
      <c r="F41" s="1579"/>
      <c r="G41" s="1579"/>
      <c r="H41" s="1579"/>
      <c r="I41" s="1579"/>
    </row>
    <row r="42" spans="2:9" x14ac:dyDescent="0.25">
      <c r="B42" s="1577"/>
      <c r="C42" s="1579"/>
      <c r="D42" s="1579"/>
      <c r="E42" s="1579"/>
      <c r="F42" s="1579"/>
      <c r="G42" s="1579"/>
      <c r="H42" s="1579"/>
      <c r="I42" s="1579"/>
    </row>
    <row r="43" spans="2:9" x14ac:dyDescent="0.25">
      <c r="B43" s="1577"/>
      <c r="C43" s="1579"/>
      <c r="D43" s="1579"/>
      <c r="E43" s="1579"/>
      <c r="F43" s="1579"/>
      <c r="G43" s="1579"/>
      <c r="H43" s="1579"/>
      <c r="I43" s="1579"/>
    </row>
    <row r="44" spans="2:9" x14ac:dyDescent="0.25">
      <c r="B44" s="1577"/>
      <c r="C44" s="1579"/>
      <c r="D44" s="1579"/>
      <c r="E44" s="1579"/>
      <c r="F44" s="1579"/>
      <c r="G44" s="1579"/>
      <c r="H44" s="1579"/>
      <c r="I44" s="1579"/>
    </row>
    <row r="45" spans="2:9" x14ac:dyDescent="0.25">
      <c r="B45" s="1577"/>
      <c r="C45" s="1579"/>
      <c r="D45" s="1579"/>
      <c r="E45" s="1579"/>
      <c r="F45" s="1579"/>
      <c r="G45" s="1579"/>
      <c r="H45" s="1579"/>
      <c r="I45" s="1579"/>
    </row>
    <row r="46" spans="2:9" x14ac:dyDescent="0.25">
      <c r="B46" s="1577"/>
      <c r="C46" s="1579"/>
      <c r="D46" s="1579"/>
      <c r="E46" s="1579"/>
      <c r="F46" s="1579"/>
      <c r="G46" s="1579"/>
      <c r="H46" s="1579"/>
      <c r="I46" s="1579"/>
    </row>
    <row r="47" spans="2:9" x14ac:dyDescent="0.25">
      <c r="B47" s="1577"/>
      <c r="C47" s="1579"/>
      <c r="D47" s="1579"/>
      <c r="E47" s="1579"/>
      <c r="F47" s="1579"/>
      <c r="G47" s="1579"/>
      <c r="H47" s="1579"/>
      <c r="I47" s="1579"/>
    </row>
    <row r="48" spans="2:9" x14ac:dyDescent="0.25">
      <c r="B48" s="1577"/>
      <c r="C48" s="1579"/>
      <c r="D48" s="1579"/>
      <c r="E48" s="1579"/>
      <c r="F48" s="1579"/>
      <c r="G48" s="1579"/>
      <c r="H48" s="1579"/>
      <c r="I48" s="1579"/>
    </row>
    <row r="49" spans="2:9" x14ac:dyDescent="0.25">
      <c r="B49" s="1577"/>
      <c r="C49" s="1579"/>
      <c r="D49" s="1579"/>
      <c r="E49" s="1579"/>
      <c r="F49" s="1579"/>
      <c r="G49" s="1579"/>
      <c r="H49" s="1579"/>
      <c r="I49" s="1579"/>
    </row>
    <row r="50" spans="2:9" x14ac:dyDescent="0.25">
      <c r="B50" s="1577"/>
      <c r="C50" s="1579"/>
      <c r="D50" s="1579"/>
      <c r="E50" s="1579"/>
      <c r="F50" s="1579"/>
      <c r="G50" s="1579"/>
      <c r="H50" s="1579"/>
      <c r="I50" s="1579"/>
    </row>
    <row r="51" spans="2:9" x14ac:dyDescent="0.25">
      <c r="B51" s="1580"/>
      <c r="C51" s="1581"/>
      <c r="D51" s="1581"/>
      <c r="E51" s="1581"/>
      <c r="F51" s="1581"/>
      <c r="G51" s="1581"/>
      <c r="H51" s="1581"/>
      <c r="I51" s="1581"/>
    </row>
    <row r="54" spans="2:9" x14ac:dyDescent="0.25">
      <c r="B54" s="671"/>
      <c r="C54" s="1576"/>
      <c r="D54" s="1576"/>
      <c r="E54" s="1576"/>
      <c r="F54" s="1576"/>
      <c r="G54" s="1576"/>
      <c r="H54" s="1576"/>
      <c r="I54" s="1576"/>
    </row>
    <row r="55" spans="2:9" x14ac:dyDescent="0.25">
      <c r="B55" s="1577"/>
      <c r="C55" s="1582"/>
      <c r="D55" s="1582"/>
      <c r="E55" s="1582"/>
      <c r="F55" s="1582"/>
      <c r="G55" s="1582"/>
      <c r="H55" s="1582"/>
      <c r="I55" s="1582"/>
    </row>
    <row r="56" spans="2:9" x14ac:dyDescent="0.25">
      <c r="B56" s="1577"/>
      <c r="C56" s="1582"/>
      <c r="D56" s="1582"/>
      <c r="E56" s="1582"/>
      <c r="F56" s="1582"/>
      <c r="G56" s="1582"/>
      <c r="H56" s="1582"/>
      <c r="I56" s="1582"/>
    </row>
    <row r="57" spans="2:9" x14ac:dyDescent="0.25">
      <c r="B57" s="1577"/>
      <c r="C57" s="1582"/>
      <c r="D57" s="1582"/>
      <c r="E57" s="1582"/>
      <c r="F57" s="1582"/>
      <c r="G57" s="1582"/>
      <c r="H57" s="1582"/>
      <c r="I57" s="1582"/>
    </row>
    <row r="58" spans="2:9" x14ac:dyDescent="0.25">
      <c r="B58" s="1577"/>
      <c r="C58" s="1582"/>
      <c r="D58" s="1582"/>
      <c r="E58" s="1582"/>
      <c r="F58" s="1582"/>
      <c r="G58" s="1582"/>
      <c r="H58" s="1582"/>
      <c r="I58" s="1582"/>
    </row>
    <row r="59" spans="2:9" x14ac:dyDescent="0.25">
      <c r="B59" s="1577"/>
      <c r="C59" s="1582"/>
      <c r="D59" s="1582"/>
      <c r="E59" s="1582"/>
      <c r="F59" s="1582"/>
      <c r="G59" s="1582"/>
      <c r="H59" s="1582"/>
      <c r="I59" s="1582"/>
    </row>
    <row r="60" spans="2:9" x14ac:dyDescent="0.25">
      <c r="B60" s="1577"/>
      <c r="C60" s="1582"/>
      <c r="D60" s="1582"/>
      <c r="E60" s="1582"/>
      <c r="F60" s="1582"/>
      <c r="G60" s="1582"/>
      <c r="H60" s="1582"/>
      <c r="I60" s="1582"/>
    </row>
    <row r="61" spans="2:9" x14ac:dyDescent="0.25">
      <c r="B61" s="1577"/>
      <c r="C61" s="1582"/>
      <c r="D61" s="1582"/>
      <c r="E61" s="1582"/>
      <c r="F61" s="1582"/>
      <c r="G61" s="1582"/>
      <c r="H61" s="1582"/>
      <c r="I61" s="1582"/>
    </row>
    <row r="62" spans="2:9" x14ac:dyDescent="0.25">
      <c r="B62" s="1577"/>
      <c r="C62" s="1582"/>
      <c r="D62" s="1582"/>
      <c r="E62" s="1582"/>
      <c r="F62" s="1582"/>
      <c r="G62" s="1582"/>
      <c r="H62" s="1582"/>
      <c r="I62" s="1582"/>
    </row>
    <row r="63" spans="2:9" x14ac:dyDescent="0.25">
      <c r="B63" s="1577"/>
      <c r="C63" s="1582"/>
      <c r="D63" s="1582"/>
      <c r="E63" s="1582"/>
      <c r="F63" s="1582"/>
      <c r="G63" s="1582"/>
      <c r="H63" s="1582"/>
      <c r="I63" s="1582"/>
    </row>
    <row r="64" spans="2:9" x14ac:dyDescent="0.25">
      <c r="B64" s="1577"/>
      <c r="C64" s="1582"/>
      <c r="D64" s="1582"/>
      <c r="E64" s="1582"/>
      <c r="F64" s="1582"/>
      <c r="G64" s="1582"/>
      <c r="H64" s="1582"/>
      <c r="I64" s="1582"/>
    </row>
    <row r="65" spans="2:9" x14ac:dyDescent="0.25">
      <c r="B65" s="1580"/>
      <c r="C65" s="1583"/>
      <c r="D65" s="1583"/>
      <c r="E65" s="1583"/>
      <c r="F65" s="1583"/>
      <c r="G65" s="1583"/>
      <c r="H65" s="1583"/>
      <c r="I65" s="158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1"/>
  </sheetPr>
  <dimension ref="B1:CM110"/>
  <sheetViews>
    <sheetView showGridLines="0" zoomScaleNormal="100" workbookViewId="0">
      <selection activeCell="G31" sqref="G31"/>
    </sheetView>
  </sheetViews>
  <sheetFormatPr defaultColWidth="9.140625" defaultRowHeight="15" x14ac:dyDescent="0.25"/>
  <cols>
    <col min="2" max="2" width="43.5703125" customWidth="1"/>
    <col min="3" max="3" width="19.5703125" customWidth="1"/>
    <col min="4" max="5" width="15.5703125" customWidth="1"/>
    <col min="6" max="6" width="19.42578125" customWidth="1"/>
    <col min="7" max="7" width="19.85546875" customWidth="1"/>
    <col min="8" max="8" width="21.5703125" customWidth="1"/>
    <col min="9" max="10" width="22" customWidth="1"/>
    <col min="11" max="11" width="21.5703125" customWidth="1"/>
    <col min="12" max="14" width="22" customWidth="1"/>
    <col min="15" max="15" width="19.85546875" customWidth="1"/>
    <col min="16" max="16" width="18" customWidth="1"/>
    <col min="17" max="17" width="47.140625" customWidth="1"/>
    <col min="18" max="18" width="17.140625" customWidth="1"/>
    <col min="19" max="20" width="29" customWidth="1"/>
    <col min="21" max="21" width="31.42578125" customWidth="1"/>
    <col min="22" max="22" width="17.7109375" customWidth="1"/>
    <col min="23" max="23" width="53.28515625" customWidth="1"/>
    <col min="24" max="24" width="37" customWidth="1"/>
    <col min="25" max="25" width="17.85546875" customWidth="1"/>
  </cols>
  <sheetData>
    <row r="1" spans="2:91" ht="51" customHeight="1" x14ac:dyDescent="0.25">
      <c r="B1" s="664" t="s">
        <v>394</v>
      </c>
      <c r="C1" s="665"/>
      <c r="D1" s="665"/>
      <c r="E1" s="665"/>
      <c r="F1" s="665"/>
      <c r="G1" s="665"/>
      <c r="H1" s="665"/>
      <c r="I1" s="665"/>
      <c r="J1" s="665"/>
      <c r="K1" s="665"/>
      <c r="L1" s="665"/>
      <c r="M1" s="665"/>
      <c r="N1" s="665"/>
      <c r="O1" s="665"/>
    </row>
    <row r="2" spans="2:91" ht="30" customHeight="1" x14ac:dyDescent="0.25"/>
    <row r="3" spans="2:91" x14ac:dyDescent="0.25">
      <c r="B3" t="s">
        <v>395</v>
      </c>
    </row>
    <row r="4" spans="2:91" ht="19.5" customHeight="1" x14ac:dyDescent="0.25">
      <c r="B4" s="1674" t="s">
        <v>396</v>
      </c>
      <c r="C4" s="1675"/>
      <c r="D4" s="1675"/>
      <c r="E4" s="1675"/>
      <c r="F4" s="1675"/>
      <c r="G4" s="1675"/>
      <c r="H4" s="1675"/>
      <c r="I4" s="1675"/>
      <c r="J4" s="1675"/>
      <c r="K4" s="1675"/>
      <c r="L4" s="1675"/>
      <c r="M4" s="1675"/>
      <c r="N4" s="1675"/>
      <c r="O4" s="1675"/>
      <c r="P4" s="1675"/>
      <c r="Q4" s="1675"/>
      <c r="R4" s="1675"/>
      <c r="S4" s="1675"/>
      <c r="T4" s="1675"/>
      <c r="U4" s="1675"/>
      <c r="V4" s="1675"/>
      <c r="W4" s="1675"/>
    </row>
    <row r="5" spans="2:91" s="1273" customFormat="1" ht="19.5" customHeight="1" thickBot="1" x14ac:dyDescent="0.3">
      <c r="B5" s="1280"/>
      <c r="C5" s="1279"/>
      <c r="D5" s="1279"/>
      <c r="E5" s="1279"/>
      <c r="F5" s="1274" t="s">
        <v>397</v>
      </c>
      <c r="G5" s="1277" t="s">
        <v>398</v>
      </c>
      <c r="H5" s="1274" t="s">
        <v>399</v>
      </c>
      <c r="I5" s="1274" t="s">
        <v>400</v>
      </c>
      <c r="J5" s="1274" t="s">
        <v>401</v>
      </c>
      <c r="K5" s="1277" t="s">
        <v>402</v>
      </c>
      <c r="L5" s="1277" t="s">
        <v>403</v>
      </c>
      <c r="M5" s="1277" t="s">
        <v>404</v>
      </c>
      <c r="N5" s="1277" t="s">
        <v>405</v>
      </c>
      <c r="O5" s="1278" t="s">
        <v>406</v>
      </c>
      <c r="P5" s="1274" t="s">
        <v>407</v>
      </c>
      <c r="Q5" s="1277" t="s">
        <v>408</v>
      </c>
      <c r="R5" s="1277" t="s">
        <v>409</v>
      </c>
      <c r="S5" s="1277" t="s">
        <v>410</v>
      </c>
      <c r="T5" s="1277" t="s">
        <v>411</v>
      </c>
      <c r="U5" s="1277" t="e">
        <f>INDEX(dms_CF_8.1_Neg, MATCH(dms_TradingName,dms_CF_TradingName))="Y"</f>
        <v>#N/A</v>
      </c>
      <c r="V5" s="1274" t="s">
        <v>412</v>
      </c>
      <c r="W5" s="1276"/>
      <c r="X5" s="1275"/>
      <c r="Y5" s="1274" t="s">
        <v>413</v>
      </c>
    </row>
    <row r="6" spans="2:91" s="1272" customFormat="1" ht="41.25" customHeight="1" thickBot="1" x14ac:dyDescent="0.3">
      <c r="B6" s="1406" t="s">
        <v>414</v>
      </c>
      <c r="C6" s="1407" t="s">
        <v>415</v>
      </c>
      <c r="D6" s="1408" t="s">
        <v>416</v>
      </c>
      <c r="E6" s="1408" t="s">
        <v>417</v>
      </c>
      <c r="F6" s="1409" t="s">
        <v>418</v>
      </c>
      <c r="G6" s="1409" t="s">
        <v>419</v>
      </c>
      <c r="H6" s="1409" t="s">
        <v>420</v>
      </c>
      <c r="I6" s="1409" t="s">
        <v>421</v>
      </c>
      <c r="J6" s="1409" t="s">
        <v>422</v>
      </c>
      <c r="K6" s="1409" t="s">
        <v>423</v>
      </c>
      <c r="L6" s="1409" t="s">
        <v>424</v>
      </c>
      <c r="M6" s="1409" t="s">
        <v>425</v>
      </c>
      <c r="N6" s="1409" t="s">
        <v>426</v>
      </c>
      <c r="O6" s="1409" t="s">
        <v>427</v>
      </c>
      <c r="P6" s="1409" t="s">
        <v>428</v>
      </c>
      <c r="Q6" s="1410" t="s">
        <v>429</v>
      </c>
      <c r="R6" s="1411" t="s">
        <v>430</v>
      </c>
      <c r="S6" s="1412" t="s">
        <v>431</v>
      </c>
      <c r="T6" s="1412" t="s">
        <v>432</v>
      </c>
      <c r="U6" s="1412" t="s">
        <v>433</v>
      </c>
      <c r="V6" s="1413" t="s">
        <v>434</v>
      </c>
      <c r="W6" s="1413" t="s">
        <v>435</v>
      </c>
      <c r="X6" s="1414" t="s">
        <v>436</v>
      </c>
      <c r="Y6" s="1415" t="s">
        <v>437</v>
      </c>
    </row>
    <row r="7" spans="2:91" ht="17.25" customHeight="1" x14ac:dyDescent="0.25">
      <c r="B7" s="1416" t="s">
        <v>438</v>
      </c>
      <c r="C7" s="1271" t="s">
        <v>439</v>
      </c>
      <c r="D7" s="1271" t="s">
        <v>440</v>
      </c>
      <c r="E7" s="1271" t="s">
        <v>441</v>
      </c>
      <c r="F7" s="666" t="s">
        <v>442</v>
      </c>
      <c r="G7" s="667" t="s">
        <v>442</v>
      </c>
      <c r="H7" s="667" t="s">
        <v>442</v>
      </c>
      <c r="I7" s="667" t="s">
        <v>442</v>
      </c>
      <c r="J7" s="667" t="s">
        <v>442</v>
      </c>
      <c r="K7" s="667" t="s">
        <v>442</v>
      </c>
      <c r="L7" s="667" t="s">
        <v>442</v>
      </c>
      <c r="M7" s="667" t="s">
        <v>442</v>
      </c>
      <c r="N7" s="667" t="s">
        <v>442</v>
      </c>
      <c r="O7" s="667" t="s">
        <v>442</v>
      </c>
      <c r="P7" s="666" t="s">
        <v>442</v>
      </c>
      <c r="Q7" s="1270" t="s">
        <v>442</v>
      </c>
      <c r="R7" s="666" t="s">
        <v>442</v>
      </c>
      <c r="S7" s="666" t="s">
        <v>442</v>
      </c>
      <c r="T7" s="667" t="s">
        <v>442</v>
      </c>
      <c r="U7" s="667" t="s">
        <v>442</v>
      </c>
      <c r="V7" s="666" t="s">
        <v>442</v>
      </c>
      <c r="W7" s="667" t="s">
        <v>442</v>
      </c>
      <c r="X7" s="1269" t="s">
        <v>442</v>
      </c>
      <c r="Y7" s="1417" t="s">
        <v>442</v>
      </c>
    </row>
    <row r="8" spans="2:91" x14ac:dyDescent="0.25">
      <c r="B8" s="1418" t="s">
        <v>443</v>
      </c>
      <c r="C8" s="1268" t="s">
        <v>444</v>
      </c>
      <c r="D8" s="1268" t="s">
        <v>440</v>
      </c>
      <c r="E8" s="1268" t="s">
        <v>441</v>
      </c>
      <c r="F8" s="1266" t="s">
        <v>442</v>
      </c>
      <c r="G8" s="1267" t="s">
        <v>442</v>
      </c>
      <c r="H8" s="1267" t="s">
        <v>442</v>
      </c>
      <c r="I8" s="1267" t="s">
        <v>442</v>
      </c>
      <c r="J8" s="1267" t="s">
        <v>442</v>
      </c>
      <c r="K8" s="1267" t="s">
        <v>442</v>
      </c>
      <c r="L8" s="1267" t="s">
        <v>442</v>
      </c>
      <c r="M8" s="1267" t="s">
        <v>442</v>
      </c>
      <c r="N8" s="1267" t="s">
        <v>442</v>
      </c>
      <c r="O8" s="1267" t="s">
        <v>442</v>
      </c>
      <c r="P8" s="1266" t="s">
        <v>442</v>
      </c>
      <c r="Q8" s="1266" t="s">
        <v>442</v>
      </c>
      <c r="R8" s="1266" t="s">
        <v>442</v>
      </c>
      <c r="S8" s="1266" t="s">
        <v>442</v>
      </c>
      <c r="T8" s="1267" t="s">
        <v>442</v>
      </c>
      <c r="U8" s="1267" t="s">
        <v>442</v>
      </c>
      <c r="V8" s="1266" t="s">
        <v>442</v>
      </c>
      <c r="W8" s="668" t="s">
        <v>442</v>
      </c>
      <c r="X8" s="1265" t="s">
        <v>442</v>
      </c>
      <c r="Y8" s="1419" t="s">
        <v>442</v>
      </c>
    </row>
    <row r="9" spans="2:91" ht="15.75" thickBot="1" x14ac:dyDescent="0.3">
      <c r="B9" s="1420"/>
      <c r="C9" s="1421"/>
      <c r="D9" s="1421"/>
      <c r="E9" s="1421"/>
      <c r="F9" s="1422"/>
      <c r="G9" s="1423"/>
      <c r="H9" s="1423"/>
      <c r="I9" s="1423"/>
      <c r="J9" s="1423"/>
      <c r="K9" s="1423"/>
      <c r="L9" s="1423"/>
      <c r="M9" s="1423"/>
      <c r="N9" s="1423"/>
      <c r="O9" s="1423"/>
      <c r="P9" s="1422"/>
      <c r="Q9" s="1422"/>
      <c r="R9" s="1422"/>
      <c r="S9" s="1422"/>
      <c r="T9" s="1423"/>
      <c r="U9" s="1423"/>
      <c r="V9" s="1422"/>
      <c r="W9" s="1423"/>
      <c r="X9" s="1424"/>
      <c r="Y9" s="1425"/>
    </row>
    <row r="12" spans="2:91" x14ac:dyDescent="0.25">
      <c r="B12" s="669" t="s">
        <v>92</v>
      </c>
    </row>
    <row r="13" spans="2:91" x14ac:dyDescent="0.25">
      <c r="B13" s="670" t="s">
        <v>100</v>
      </c>
    </row>
    <row r="14" spans="2:91" x14ac:dyDescent="0.25">
      <c r="AM14" s="1673"/>
      <c r="AN14" s="1673"/>
      <c r="AO14" s="1673"/>
      <c r="AP14" s="1673"/>
      <c r="AQ14" s="1673"/>
      <c r="AR14" s="1673"/>
      <c r="AS14" s="1673"/>
      <c r="AT14" s="1673"/>
      <c r="AU14" s="1673"/>
      <c r="AV14" s="1673"/>
      <c r="AW14" s="1673"/>
      <c r="AX14" s="1673"/>
      <c r="AY14" s="1673"/>
      <c r="AZ14" s="1673"/>
      <c r="BA14" s="1673"/>
      <c r="BB14" s="1673"/>
      <c r="BC14" s="1673"/>
      <c r="BD14" s="1673"/>
      <c r="BE14" s="1673"/>
      <c r="BF14" s="1673"/>
      <c r="BG14" s="1673"/>
      <c r="BH14" s="1673"/>
      <c r="BR14" s="1673"/>
      <c r="BS14" s="1673"/>
      <c r="BT14" s="1673"/>
      <c r="BU14" s="1673"/>
      <c r="BV14" s="1673"/>
      <c r="BW14" s="1673"/>
      <c r="BX14" s="1673"/>
      <c r="BY14" s="1673"/>
      <c r="BZ14" s="1673"/>
      <c r="CA14" s="1673"/>
      <c r="CB14" s="1673"/>
      <c r="CC14" s="1673"/>
      <c r="CD14" s="1673"/>
      <c r="CE14" s="1673"/>
      <c r="CF14" s="1673"/>
      <c r="CG14" s="1673"/>
      <c r="CH14" s="1673"/>
      <c r="CI14" s="1673"/>
      <c r="CJ14" s="1673"/>
      <c r="CK14" s="1673"/>
      <c r="CL14" s="1673"/>
      <c r="CM14" s="1673"/>
    </row>
    <row r="15" spans="2:91" x14ac:dyDescent="0.25">
      <c r="B15" s="671" t="s">
        <v>445</v>
      </c>
      <c r="AM15" s="1673"/>
      <c r="AN15" s="1673"/>
      <c r="AO15" s="1673"/>
      <c r="AP15" s="1673"/>
      <c r="AQ15" s="1673"/>
      <c r="AR15" s="1673"/>
      <c r="AS15" s="1673"/>
      <c r="AT15" s="1673"/>
      <c r="AU15" s="1673"/>
      <c r="AV15" s="1673"/>
      <c r="AW15" s="1673"/>
      <c r="AX15" s="1673"/>
      <c r="AY15" s="1673"/>
      <c r="AZ15" s="1673"/>
      <c r="BA15" s="1673"/>
      <c r="BB15" s="1673"/>
      <c r="BC15" s="1673"/>
      <c r="BD15" s="1673"/>
      <c r="BE15" s="1673"/>
      <c r="BF15" s="1673"/>
      <c r="BG15" s="1673"/>
      <c r="BH15" s="1673"/>
      <c r="BR15" s="1673"/>
      <c r="BS15" s="1673"/>
      <c r="BT15" s="1673"/>
      <c r="BU15" s="1673"/>
      <c r="BV15" s="1673"/>
      <c r="BW15" s="1673"/>
      <c r="BX15" s="1673"/>
      <c r="BY15" s="1673"/>
      <c r="BZ15" s="1673"/>
      <c r="CA15" s="1673"/>
      <c r="CB15" s="1673"/>
      <c r="CC15" s="1673"/>
      <c r="CD15" s="1673"/>
      <c r="CE15" s="1673"/>
      <c r="CF15" s="1673"/>
      <c r="CG15" s="1673"/>
      <c r="CH15" s="1673"/>
      <c r="CI15" s="1673"/>
      <c r="CJ15" s="1673"/>
      <c r="CK15" s="1673"/>
      <c r="CL15" s="1673"/>
      <c r="CM15" s="1673"/>
    </row>
    <row r="16" spans="2:91" x14ac:dyDescent="0.25">
      <c r="B16" s="39" t="s">
        <v>446</v>
      </c>
      <c r="C16" s="671"/>
      <c r="D16" s="39"/>
      <c r="E16" s="39"/>
      <c r="F16" s="671" t="s">
        <v>447</v>
      </c>
      <c r="G16" s="671"/>
      <c r="H16" s="671"/>
      <c r="AM16" s="1673"/>
      <c r="AN16" s="1673"/>
      <c r="AO16" s="1673"/>
      <c r="AP16" s="1673"/>
      <c r="AQ16" s="1673"/>
      <c r="AR16" s="1673"/>
      <c r="AS16" s="1673"/>
      <c r="AT16" s="1673"/>
      <c r="AU16" s="1673"/>
      <c r="AV16" s="1673"/>
      <c r="AW16" s="1673"/>
      <c r="AX16" s="1673"/>
      <c r="AY16" s="1673"/>
      <c r="AZ16" s="1673"/>
      <c r="BA16" s="1673"/>
      <c r="BB16" s="1673"/>
      <c r="BC16" s="1673"/>
      <c r="BD16" s="1673"/>
      <c r="BE16" s="1673"/>
      <c r="BF16" s="1673"/>
      <c r="BG16" s="1673"/>
      <c r="BH16" s="1673"/>
      <c r="BR16" s="1673"/>
      <c r="BS16" s="1673"/>
      <c r="BT16" s="1673"/>
      <c r="BU16" s="1673"/>
      <c r="BV16" s="1673"/>
      <c r="BW16" s="1673"/>
      <c r="BX16" s="1673"/>
      <c r="BY16" s="1673"/>
      <c r="BZ16" s="1673"/>
      <c r="CA16" s="1673"/>
      <c r="CB16" s="1673"/>
      <c r="CC16" s="1673"/>
      <c r="CD16" s="1673"/>
      <c r="CE16" s="1673"/>
      <c r="CF16" s="1673"/>
      <c r="CG16" s="1673"/>
      <c r="CH16" s="1673"/>
      <c r="CI16" s="1673"/>
      <c r="CJ16" s="1673"/>
      <c r="CK16" s="1673"/>
      <c r="CL16" s="1673"/>
      <c r="CM16" s="1673"/>
    </row>
    <row r="17" spans="2:6" x14ac:dyDescent="0.25">
      <c r="B17" s="64"/>
      <c r="F17" s="42"/>
    </row>
    <row r="18" spans="2:6" x14ac:dyDescent="0.25">
      <c r="B18" s="64" t="s">
        <v>448</v>
      </c>
      <c r="F18" s="64" t="s">
        <v>449</v>
      </c>
    </row>
    <row r="19" spans="2:6" x14ac:dyDescent="0.25">
      <c r="B19" s="64" t="s">
        <v>450</v>
      </c>
      <c r="F19" s="64" t="s">
        <v>451</v>
      </c>
    </row>
    <row r="20" spans="2:6" x14ac:dyDescent="0.25">
      <c r="B20" s="64" t="s">
        <v>452</v>
      </c>
      <c r="F20" s="64" t="s">
        <v>453</v>
      </c>
    </row>
    <row r="21" spans="2:6" x14ac:dyDescent="0.25">
      <c r="B21" s="64" t="s">
        <v>454</v>
      </c>
      <c r="F21" s="42" t="s">
        <v>455</v>
      </c>
    </row>
    <row r="22" spans="2:6" x14ac:dyDescent="0.25">
      <c r="B22" s="64" t="s">
        <v>456</v>
      </c>
      <c r="F22" s="64" t="s">
        <v>457</v>
      </c>
    </row>
    <row r="23" spans="2:6" x14ac:dyDescent="0.25">
      <c r="B23" s="672" t="s">
        <v>458</v>
      </c>
      <c r="F23" s="672" t="s">
        <v>459</v>
      </c>
    </row>
    <row r="24" spans="2:6" x14ac:dyDescent="0.25">
      <c r="B24" s="64"/>
    </row>
    <row r="26" spans="2:6" x14ac:dyDescent="0.25">
      <c r="B26" s="42" t="s">
        <v>23</v>
      </c>
    </row>
    <row r="27" spans="2:6" x14ac:dyDescent="0.25">
      <c r="B27" s="76" t="s">
        <v>460</v>
      </c>
    </row>
    <row r="28" spans="2:6" x14ac:dyDescent="0.25">
      <c r="B28" s="76" t="s">
        <v>461</v>
      </c>
    </row>
    <row r="31" spans="2:6" ht="21" thickBot="1" x14ac:dyDescent="0.3">
      <c r="B31" s="621" t="s">
        <v>462</v>
      </c>
      <c r="C31" s="77"/>
    </row>
    <row r="32" spans="2:6" ht="16.5" thickBot="1" x14ac:dyDescent="0.3">
      <c r="B32" s="32" t="s">
        <v>463</v>
      </c>
      <c r="C32" s="77" t="s">
        <v>464</v>
      </c>
    </row>
    <row r="33" spans="2:3" ht="15.75" x14ac:dyDescent="0.25">
      <c r="B33" s="1264" t="s">
        <v>465</v>
      </c>
      <c r="C33" s="77" t="s">
        <v>466</v>
      </c>
    </row>
    <row r="34" spans="2:3" x14ac:dyDescent="0.25">
      <c r="B34" s="34" t="s">
        <v>467</v>
      </c>
      <c r="C34" s="77" t="s">
        <v>468</v>
      </c>
    </row>
    <row r="35" spans="2:3" x14ac:dyDescent="0.25">
      <c r="B35" s="1263" t="s">
        <v>469</v>
      </c>
      <c r="C35" s="77" t="s">
        <v>470</v>
      </c>
    </row>
    <row r="36" spans="2:3" x14ac:dyDescent="0.25">
      <c r="B36" s="1262" t="s">
        <v>471</v>
      </c>
      <c r="C36" s="77" t="s">
        <v>472</v>
      </c>
    </row>
    <row r="37" spans="2:3" x14ac:dyDescent="0.25">
      <c r="B37" s="35">
        <v>5.1109999999999998</v>
      </c>
      <c r="C37" s="77" t="s">
        <v>473</v>
      </c>
    </row>
    <row r="38" spans="2:3" x14ac:dyDescent="0.25">
      <c r="B38" s="673">
        <v>5.45E-2</v>
      </c>
      <c r="C38" s="77" t="s">
        <v>474</v>
      </c>
    </row>
    <row r="39" spans="2:3" x14ac:dyDescent="0.25">
      <c r="B39" s="1261">
        <v>5.5555000000000003</v>
      </c>
      <c r="C39" s="77" t="s">
        <v>475</v>
      </c>
    </row>
    <row r="40" spans="2:3" x14ac:dyDescent="0.25">
      <c r="B40" s="1260" t="s">
        <v>476</v>
      </c>
      <c r="C40" s="77" t="s">
        <v>477</v>
      </c>
    </row>
    <row r="41" spans="2:3" x14ac:dyDescent="0.25">
      <c r="B41" s="1259" t="s">
        <v>476</v>
      </c>
      <c r="C41" t="s">
        <v>478</v>
      </c>
    </row>
    <row r="42" spans="2:3" ht="15.75" thickBot="1" x14ac:dyDescent="0.3">
      <c r="B42" s="674" t="s">
        <v>476</v>
      </c>
      <c r="C42" s="77" t="s">
        <v>479</v>
      </c>
    </row>
    <row r="43" spans="2:3" ht="15.75" thickBot="1" x14ac:dyDescent="0.3">
      <c r="B43" s="1258" t="s">
        <v>120</v>
      </c>
      <c r="C43" s="77" t="s">
        <v>480</v>
      </c>
    </row>
    <row r="44" spans="2:3" ht="15.75" thickBot="1" x14ac:dyDescent="0.3">
      <c r="B44" t="s">
        <v>120</v>
      </c>
      <c r="C44" t="s">
        <v>481</v>
      </c>
    </row>
    <row r="45" spans="2:3" x14ac:dyDescent="0.25">
      <c r="B45" s="1257" t="s">
        <v>482</v>
      </c>
      <c r="C45" t="s">
        <v>483</v>
      </c>
    </row>
    <row r="46" spans="2:3" ht="15.75" thickBot="1" x14ac:dyDescent="0.3">
      <c r="B46" s="313">
        <v>2019</v>
      </c>
      <c r="C46" t="s">
        <v>484</v>
      </c>
    </row>
    <row r="47" spans="2:3" ht="15.75" thickBot="1" x14ac:dyDescent="0.3">
      <c r="B47" s="314">
        <v>2019</v>
      </c>
      <c r="C47" t="s">
        <v>485</v>
      </c>
    </row>
    <row r="48" spans="2:3" x14ac:dyDescent="0.25">
      <c r="B48" s="1256" t="s">
        <v>159</v>
      </c>
      <c r="C48" t="s">
        <v>486</v>
      </c>
    </row>
    <row r="49" spans="2:3" ht="15.75" thickBot="1" x14ac:dyDescent="0.3">
      <c r="B49" s="336">
        <v>2019</v>
      </c>
      <c r="C49" t="s">
        <v>487</v>
      </c>
    </row>
    <row r="50" spans="2:3" ht="15.75" thickBot="1" x14ac:dyDescent="0.3">
      <c r="B50" s="337">
        <v>2019</v>
      </c>
      <c r="C50" t="s">
        <v>488</v>
      </c>
    </row>
    <row r="109" spans="3:3" x14ac:dyDescent="0.25">
      <c r="C109" s="38"/>
    </row>
    <row r="110" spans="3:3" x14ac:dyDescent="0.25">
      <c r="C110" s="38"/>
    </row>
  </sheetData>
  <mergeCells count="7">
    <mergeCell ref="AM16:BH16"/>
    <mergeCell ref="BR16:CM16"/>
    <mergeCell ref="B4:W4"/>
    <mergeCell ref="AM14:BH14"/>
    <mergeCell ref="BR14:CM14"/>
    <mergeCell ref="AM15:BH15"/>
    <mergeCell ref="BR15:CM15"/>
  </mergeCells>
  <conditionalFormatting sqref="F7:Y9">
    <cfRule type="cellIs" dxfId="16" priority="6" operator="equal">
      <formula>"Y"</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1"/>
  </sheetPr>
  <dimension ref="B1:CK239"/>
  <sheetViews>
    <sheetView showGridLines="0" zoomScaleNormal="100" workbookViewId="0">
      <selection activeCell="G31" sqref="G31"/>
    </sheetView>
  </sheetViews>
  <sheetFormatPr defaultColWidth="9.140625" defaultRowHeight="15" x14ac:dyDescent="0.25"/>
  <cols>
    <col min="2" max="2" width="47.28515625" bestFit="1" customWidth="1"/>
    <col min="3" max="3" width="40.7109375" customWidth="1"/>
    <col min="4" max="4" width="31.42578125" bestFit="1" customWidth="1"/>
    <col min="5" max="5" width="33.140625" bestFit="1" customWidth="1"/>
    <col min="6" max="6" width="43.140625" customWidth="1"/>
    <col min="7" max="7" width="38.7109375" customWidth="1"/>
    <col min="8" max="8" width="27.42578125" customWidth="1"/>
    <col min="9" max="9" width="28.140625" customWidth="1"/>
    <col min="10" max="10" width="35.7109375" customWidth="1"/>
    <col min="11" max="11" width="31.85546875" customWidth="1"/>
    <col min="12" max="12" width="37" customWidth="1"/>
    <col min="13" max="13" width="28.28515625" customWidth="1"/>
    <col min="14" max="14" width="24.5703125" bestFit="1" customWidth="1"/>
    <col min="15" max="15" width="33" customWidth="1"/>
    <col min="16" max="16" width="47" customWidth="1"/>
    <col min="17" max="17" width="40.140625" customWidth="1"/>
    <col min="18" max="18" width="24.85546875" bestFit="1" customWidth="1"/>
    <col min="19" max="19" width="22.7109375" bestFit="1" customWidth="1"/>
    <col min="20" max="20" width="22" bestFit="1" customWidth="1"/>
    <col min="23" max="23" width="9.140625" customWidth="1"/>
  </cols>
  <sheetData>
    <row r="1" spans="2:28" ht="51" customHeight="1" x14ac:dyDescent="0.25">
      <c r="B1" s="664" t="s">
        <v>489</v>
      </c>
      <c r="C1" s="665"/>
      <c r="D1" s="665"/>
      <c r="E1" s="665"/>
      <c r="F1" s="665"/>
      <c r="G1" s="665"/>
      <c r="H1" s="665"/>
      <c r="I1" s="665"/>
      <c r="J1" s="665"/>
      <c r="K1" s="665"/>
      <c r="L1" s="665"/>
      <c r="M1" s="665"/>
      <c r="N1" s="665"/>
    </row>
    <row r="2" spans="2:28" ht="30" customHeight="1" x14ac:dyDescent="0.25">
      <c r="V2" t="str">
        <f>dms_TradingNameFull</f>
        <v>Australian Gas Networks Limited (reporting data for SA)</v>
      </c>
    </row>
    <row r="3" spans="2:28" ht="28.5" x14ac:dyDescent="0.45">
      <c r="B3" s="675" t="s">
        <v>490</v>
      </c>
      <c r="C3" s="675"/>
      <c r="D3" s="675"/>
      <c r="E3" s="675"/>
      <c r="F3" s="675"/>
      <c r="G3" s="675"/>
      <c r="H3" s="675"/>
      <c r="I3" s="675"/>
      <c r="J3" s="675"/>
      <c r="K3" s="675"/>
      <c r="L3" s="675"/>
      <c r="M3" s="675"/>
      <c r="N3" s="675"/>
    </row>
    <row r="4" spans="2:28" ht="30" customHeight="1" thickBot="1" x14ac:dyDescent="0.3"/>
    <row r="5" spans="2:28" ht="29.25" customHeight="1" x14ac:dyDescent="0.25">
      <c r="B5" s="1676" t="s">
        <v>491</v>
      </c>
      <c r="C5" s="676" t="s">
        <v>492</v>
      </c>
      <c r="D5" s="676" t="s">
        <v>493</v>
      </c>
      <c r="E5" s="619"/>
      <c r="W5" s="51"/>
      <c r="X5" s="51"/>
      <c r="AA5" s="69"/>
      <c r="AB5" s="69"/>
    </row>
    <row r="6" spans="2:28" ht="15" customHeight="1" x14ac:dyDescent="0.25">
      <c r="B6" s="1676"/>
      <c r="C6" s="677" t="s">
        <v>494</v>
      </c>
      <c r="D6" s="677" t="s">
        <v>494</v>
      </c>
      <c r="E6" s="619"/>
      <c r="W6" s="51"/>
      <c r="X6" s="51"/>
      <c r="AA6" s="69"/>
      <c r="AB6" s="69"/>
    </row>
    <row r="7" spans="2:28" ht="15" customHeight="1" x14ac:dyDescent="0.25">
      <c r="B7" s="1676"/>
      <c r="C7" s="678" t="s">
        <v>495</v>
      </c>
      <c r="D7" s="679" t="s">
        <v>496</v>
      </c>
      <c r="E7" s="75"/>
      <c r="S7" s="51"/>
      <c r="T7" s="51"/>
      <c r="U7" s="51"/>
      <c r="V7" s="51"/>
      <c r="W7" s="51"/>
      <c r="X7" s="51"/>
    </row>
    <row r="8" spans="2:28" ht="15" customHeight="1" x14ac:dyDescent="0.25">
      <c r="B8" s="1676"/>
      <c r="C8" s="680" t="s">
        <v>497</v>
      </c>
      <c r="D8" s="681" t="s">
        <v>92</v>
      </c>
      <c r="E8" s="75"/>
      <c r="S8" s="51"/>
      <c r="T8" s="51"/>
      <c r="U8" s="51"/>
      <c r="V8" s="51"/>
      <c r="W8" s="51"/>
      <c r="X8" s="51"/>
    </row>
    <row r="9" spans="2:28" ht="15" customHeight="1" x14ac:dyDescent="0.25">
      <c r="B9" s="1676"/>
      <c r="C9" s="680" t="s">
        <v>90</v>
      </c>
      <c r="D9" s="682"/>
      <c r="E9" s="75"/>
      <c r="S9" s="51"/>
      <c r="T9" s="51"/>
      <c r="U9" s="51"/>
      <c r="V9" s="51"/>
      <c r="W9" s="51"/>
      <c r="X9" s="51"/>
    </row>
    <row r="10" spans="2:28" ht="15.75" customHeight="1" thickBot="1" x14ac:dyDescent="0.3">
      <c r="B10" s="1676"/>
      <c r="C10" s="683"/>
      <c r="D10" s="684"/>
      <c r="E10" s="75"/>
      <c r="S10" s="51"/>
      <c r="T10" s="51"/>
      <c r="U10" s="51"/>
      <c r="V10" s="51"/>
      <c r="W10" s="51"/>
      <c r="X10" s="51"/>
    </row>
    <row r="11" spans="2:28" ht="15.75" thickBot="1" x14ac:dyDescent="0.3">
      <c r="B11" s="1676"/>
      <c r="C11" s="77"/>
      <c r="D11" s="11"/>
      <c r="E11" s="75"/>
      <c r="S11" s="51"/>
      <c r="T11" s="51"/>
      <c r="U11" s="51"/>
      <c r="V11" s="51"/>
      <c r="W11" s="51"/>
      <c r="X11" s="51"/>
    </row>
    <row r="12" spans="2:28" ht="86.25" thickBot="1" x14ac:dyDescent="0.3">
      <c r="B12" s="1676"/>
      <c r="C12" s="685" t="s">
        <v>498</v>
      </c>
      <c r="D12" s="685" t="s">
        <v>499</v>
      </c>
      <c r="S12" s="51"/>
      <c r="T12" s="51"/>
      <c r="U12" s="51"/>
      <c r="V12" s="51"/>
      <c r="W12" s="51"/>
      <c r="X12" s="51"/>
    </row>
    <row r="13" spans="2:28" ht="24" customHeight="1" thickBot="1" x14ac:dyDescent="0.3">
      <c r="B13" s="1676"/>
      <c r="C13" s="676" t="s">
        <v>500</v>
      </c>
      <c r="D13" s="676" t="s">
        <v>501</v>
      </c>
      <c r="G13" s="75"/>
      <c r="H13" s="76"/>
      <c r="S13" s="51"/>
      <c r="T13" s="51"/>
      <c r="U13" s="51"/>
      <c r="V13" s="51"/>
      <c r="W13" s="51"/>
      <c r="X13" s="51"/>
    </row>
    <row r="14" spans="2:28" x14ac:dyDescent="0.25">
      <c r="B14" s="1676"/>
      <c r="C14" s="686" t="s">
        <v>494</v>
      </c>
      <c r="D14" s="687" t="s">
        <v>502</v>
      </c>
      <c r="G14" s="75"/>
      <c r="S14" s="51"/>
      <c r="T14" s="51"/>
      <c r="U14" s="51"/>
      <c r="V14" s="51"/>
      <c r="W14" s="51"/>
      <c r="X14" s="51"/>
    </row>
    <row r="15" spans="2:28" x14ac:dyDescent="0.25">
      <c r="B15" s="1676"/>
      <c r="C15" s="681" t="s">
        <v>503</v>
      </c>
      <c r="D15" s="688" t="s">
        <v>504</v>
      </c>
      <c r="H15" s="76"/>
      <c r="S15" s="51"/>
      <c r="T15" s="51"/>
      <c r="U15" s="51"/>
      <c r="V15" s="51"/>
      <c r="W15" s="51"/>
      <c r="X15" s="51"/>
    </row>
    <row r="16" spans="2:28" x14ac:dyDescent="0.25">
      <c r="B16" s="1676"/>
      <c r="C16" s="681" t="s">
        <v>505</v>
      </c>
      <c r="D16" s="688" t="s">
        <v>506</v>
      </c>
      <c r="H16" s="76"/>
      <c r="S16" s="51"/>
      <c r="T16" s="51"/>
      <c r="U16" s="51"/>
      <c r="V16" s="51"/>
      <c r="W16" s="51"/>
      <c r="X16" s="51"/>
    </row>
    <row r="17" spans="2:24" ht="15.75" thickBot="1" x14ac:dyDescent="0.3">
      <c r="B17" s="1676"/>
      <c r="C17" s="681" t="s">
        <v>507</v>
      </c>
      <c r="D17" s="689" t="s">
        <v>508</v>
      </c>
      <c r="H17" s="76"/>
      <c r="S17" s="51"/>
      <c r="T17" s="51"/>
      <c r="U17" s="51"/>
      <c r="V17" s="51"/>
      <c r="W17" s="51"/>
      <c r="X17" s="51"/>
    </row>
    <row r="18" spans="2:24" x14ac:dyDescent="0.25">
      <c r="B18" s="1676"/>
      <c r="C18" s="681" t="s">
        <v>509</v>
      </c>
      <c r="D18" s="77"/>
      <c r="S18" s="51"/>
      <c r="T18" s="51"/>
      <c r="U18" s="51"/>
      <c r="V18" s="51"/>
      <c r="W18" s="51"/>
      <c r="X18" s="51"/>
    </row>
    <row r="19" spans="2:24" x14ac:dyDescent="0.25">
      <c r="B19" s="1676"/>
      <c r="C19" s="681" t="s">
        <v>510</v>
      </c>
      <c r="D19" s="77"/>
      <c r="S19" s="51"/>
      <c r="T19" s="51"/>
      <c r="U19" s="51"/>
      <c r="V19" s="51"/>
      <c r="W19" s="51"/>
      <c r="X19" s="51"/>
    </row>
    <row r="20" spans="2:24" x14ac:dyDescent="0.25">
      <c r="B20" s="1676"/>
      <c r="C20" s="681" t="s">
        <v>511</v>
      </c>
      <c r="D20" s="77"/>
      <c r="J20" s="77"/>
      <c r="L20" s="13"/>
      <c r="O20" s="51"/>
      <c r="P20" s="51"/>
      <c r="Q20" s="51"/>
      <c r="R20" s="51"/>
      <c r="S20" s="51"/>
      <c r="T20" s="51"/>
      <c r="U20" s="51"/>
      <c r="V20" s="51"/>
      <c r="W20" s="51"/>
      <c r="X20" s="51"/>
    </row>
    <row r="21" spans="2:24" x14ac:dyDescent="0.25">
      <c r="B21" s="1676"/>
      <c r="C21" s="681" t="s">
        <v>512</v>
      </c>
      <c r="D21" s="77"/>
      <c r="J21" s="77"/>
      <c r="L21" s="13"/>
      <c r="O21" s="51"/>
      <c r="P21" s="51"/>
      <c r="Q21" s="51"/>
      <c r="R21" s="51"/>
      <c r="S21" s="51"/>
      <c r="T21" s="51"/>
      <c r="U21" s="51"/>
      <c r="V21" s="51"/>
      <c r="W21" s="51"/>
      <c r="X21" s="51"/>
    </row>
    <row r="22" spans="2:24" x14ac:dyDescent="0.25">
      <c r="B22" s="1676"/>
      <c r="C22" s="681" t="s">
        <v>513</v>
      </c>
      <c r="D22" s="77"/>
      <c r="J22" s="77"/>
      <c r="L22" s="13"/>
      <c r="O22" s="51"/>
      <c r="P22" s="51"/>
      <c r="Q22" s="51"/>
      <c r="R22" s="51"/>
      <c r="S22" s="51"/>
      <c r="T22" s="51"/>
      <c r="U22" s="51"/>
      <c r="V22" s="51"/>
      <c r="W22" s="51"/>
    </row>
    <row r="23" spans="2:24" x14ac:dyDescent="0.25">
      <c r="B23" s="1676"/>
      <c r="C23" s="681" t="s">
        <v>514</v>
      </c>
      <c r="D23" s="77"/>
      <c r="J23" s="77"/>
      <c r="L23" s="13"/>
      <c r="O23" s="51"/>
      <c r="P23" s="51"/>
      <c r="Q23" s="51"/>
      <c r="R23" s="51"/>
      <c r="S23" s="51"/>
      <c r="T23" s="51"/>
      <c r="U23" s="51"/>
      <c r="V23" s="51"/>
      <c r="W23" s="51"/>
    </row>
    <row r="24" spans="2:24" x14ac:dyDescent="0.25">
      <c r="B24" s="1676"/>
      <c r="C24" s="681" t="s">
        <v>515</v>
      </c>
      <c r="D24" s="77"/>
      <c r="J24" s="77"/>
      <c r="L24" s="13"/>
      <c r="O24" s="51"/>
      <c r="P24" s="51"/>
      <c r="Q24" s="51"/>
      <c r="R24" s="51"/>
      <c r="S24" s="51"/>
      <c r="T24" s="51"/>
      <c r="U24" s="51"/>
      <c r="V24" s="51"/>
      <c r="W24" s="51"/>
    </row>
    <row r="25" spans="2:24" x14ac:dyDescent="0.25">
      <c r="B25" s="1676"/>
      <c r="C25" s="681" t="s">
        <v>516</v>
      </c>
      <c r="D25" s="77"/>
      <c r="J25" s="77"/>
      <c r="L25" s="13"/>
      <c r="O25" s="51"/>
      <c r="P25" s="51"/>
      <c r="Q25" s="51"/>
      <c r="R25" s="51"/>
      <c r="S25" s="51"/>
      <c r="T25" s="51"/>
      <c r="U25" s="51"/>
      <c r="V25" s="51"/>
      <c r="W25" s="51"/>
    </row>
    <row r="26" spans="2:24" x14ac:dyDescent="0.25">
      <c r="B26" s="1676"/>
      <c r="C26" s="681" t="s">
        <v>517</v>
      </c>
      <c r="D26" s="77"/>
      <c r="J26" s="77"/>
      <c r="L26" s="13"/>
      <c r="O26" s="51"/>
      <c r="P26" s="51"/>
      <c r="Q26" s="51"/>
      <c r="R26" s="51"/>
      <c r="S26" s="51"/>
      <c r="T26" s="51"/>
      <c r="U26" s="51"/>
      <c r="V26" s="51"/>
      <c r="W26" s="51"/>
    </row>
    <row r="27" spans="2:24" x14ac:dyDescent="0.25">
      <c r="B27" s="1676"/>
      <c r="C27" s="681" t="s">
        <v>87</v>
      </c>
      <c r="D27" s="77"/>
      <c r="G27" s="75"/>
      <c r="J27" s="77"/>
      <c r="L27" s="13"/>
      <c r="O27" s="51"/>
      <c r="P27" s="51"/>
      <c r="Q27" s="51"/>
      <c r="R27" s="51"/>
      <c r="S27" s="51"/>
      <c r="T27" s="51"/>
      <c r="U27" s="51"/>
      <c r="V27" s="51"/>
      <c r="W27" s="51"/>
    </row>
    <row r="28" spans="2:24" x14ac:dyDescent="0.25">
      <c r="B28" s="1676"/>
      <c r="C28" s="681" t="s">
        <v>518</v>
      </c>
      <c r="D28" s="77"/>
      <c r="G28" s="75"/>
      <c r="J28" s="77"/>
      <c r="L28" s="13"/>
      <c r="O28" s="51"/>
      <c r="P28" s="51"/>
      <c r="Q28" s="51"/>
      <c r="R28" s="51"/>
      <c r="S28" s="51"/>
      <c r="T28" s="51"/>
      <c r="U28" s="51"/>
      <c r="V28" s="51"/>
      <c r="W28" s="51"/>
    </row>
    <row r="29" spans="2:24" ht="15.75" thickBot="1" x14ac:dyDescent="0.3">
      <c r="B29" s="1676"/>
      <c r="C29" s="690" t="s">
        <v>519</v>
      </c>
      <c r="D29" s="77"/>
      <c r="G29" s="75"/>
      <c r="J29" s="77"/>
      <c r="L29" s="13"/>
      <c r="O29" s="51"/>
      <c r="P29" s="51"/>
      <c r="Q29" s="51"/>
      <c r="R29" s="51"/>
      <c r="S29" s="51"/>
      <c r="T29" s="51"/>
      <c r="U29" s="51"/>
      <c r="V29" s="51"/>
      <c r="W29" s="51"/>
    </row>
    <row r="30" spans="2:24" ht="15" customHeight="1" x14ac:dyDescent="0.45">
      <c r="B30" s="691"/>
      <c r="G30" s="75"/>
      <c r="I30" s="76"/>
      <c r="J30" s="77"/>
      <c r="K30" s="76"/>
      <c r="L30" s="13"/>
      <c r="O30" s="51"/>
      <c r="P30" s="51"/>
      <c r="Q30" s="51"/>
      <c r="R30" s="51"/>
      <c r="S30" s="51"/>
      <c r="T30" s="51"/>
      <c r="U30" s="51"/>
      <c r="V30" s="51"/>
      <c r="W30" s="51"/>
    </row>
    <row r="31" spans="2:24" ht="28.5" x14ac:dyDescent="0.45">
      <c r="B31" s="691"/>
    </row>
    <row r="32" spans="2:24" ht="29.25" thickBot="1" x14ac:dyDescent="0.5">
      <c r="B32" s="691"/>
      <c r="D32" s="77"/>
      <c r="G32" s="75"/>
      <c r="K32" s="692" t="s">
        <v>520</v>
      </c>
      <c r="M32" s="13"/>
      <c r="N32" t="s">
        <v>521</v>
      </c>
      <c r="P32" s="51"/>
      <c r="Q32" s="51"/>
      <c r="R32" s="51"/>
      <c r="S32" s="51"/>
      <c r="T32" s="51"/>
      <c r="U32" s="51"/>
      <c r="V32" s="51"/>
      <c r="W32" s="51"/>
      <c r="X32" s="51"/>
    </row>
    <row r="33" spans="2:89" ht="30.75" customHeight="1" thickBot="1" x14ac:dyDescent="0.3">
      <c r="B33" s="1677" t="s">
        <v>522</v>
      </c>
      <c r="C33" s="693" t="s">
        <v>523</v>
      </c>
      <c r="D33" s="694" t="s">
        <v>524</v>
      </c>
      <c r="E33" s="693" t="s">
        <v>525</v>
      </c>
      <c r="F33" s="694" t="s">
        <v>526</v>
      </c>
      <c r="G33" s="693" t="s">
        <v>527</v>
      </c>
      <c r="H33" s="695" t="s">
        <v>528</v>
      </c>
      <c r="I33" s="37" t="s">
        <v>529</v>
      </c>
      <c r="J33" s="696" t="s">
        <v>530</v>
      </c>
      <c r="K33" s="1294" t="s">
        <v>531</v>
      </c>
      <c r="L33" s="1293"/>
      <c r="N33" s="37" t="s">
        <v>532</v>
      </c>
      <c r="R33" s="51"/>
      <c r="S33" s="51"/>
      <c r="T33" s="51"/>
      <c r="U33" s="51"/>
      <c r="V33" s="51"/>
      <c r="W33" s="51"/>
    </row>
    <row r="34" spans="2:89" ht="15" customHeight="1" x14ac:dyDescent="0.25">
      <c r="B34" s="1677"/>
      <c r="C34" s="697" t="s">
        <v>533</v>
      </c>
      <c r="D34" s="698" t="s">
        <v>534</v>
      </c>
      <c r="E34" s="699" t="s">
        <v>535</v>
      </c>
      <c r="F34" s="700" t="s">
        <v>536</v>
      </c>
      <c r="G34" s="701" t="s">
        <v>535</v>
      </c>
      <c r="H34" s="702" t="s">
        <v>537</v>
      </c>
      <c r="I34" s="703" t="s">
        <v>538</v>
      </c>
      <c r="J34" s="704" t="s">
        <v>539</v>
      </c>
      <c r="K34" s="1678" t="s">
        <v>538</v>
      </c>
      <c r="L34" s="705" t="s">
        <v>539</v>
      </c>
      <c r="N34" s="1161" t="s">
        <v>316</v>
      </c>
      <c r="R34" s="51"/>
      <c r="S34" s="51"/>
      <c r="T34" s="51"/>
      <c r="U34" s="51"/>
      <c r="V34" s="51"/>
      <c r="W34" s="51"/>
      <c r="AK34" s="1673"/>
      <c r="AL34" s="1673"/>
      <c r="AM34" s="1673"/>
      <c r="AN34" s="1673"/>
      <c r="AO34" s="1673"/>
      <c r="AP34" s="1673"/>
      <c r="AQ34" s="1673"/>
      <c r="AR34" s="1673"/>
      <c r="AS34" s="1673"/>
      <c r="AT34" s="1673"/>
      <c r="AU34" s="1673"/>
      <c r="AV34" s="1673"/>
      <c r="AW34" s="1673"/>
      <c r="AX34" s="1673"/>
      <c r="AY34" s="1673"/>
      <c r="AZ34" s="1673"/>
      <c r="BA34" s="1673"/>
      <c r="BB34" s="1673"/>
      <c r="BC34" s="1673"/>
      <c r="BD34" s="1673"/>
      <c r="BE34" s="1673"/>
      <c r="BF34" s="1673"/>
      <c r="BP34" s="1673"/>
      <c r="BQ34" s="1673"/>
      <c r="BR34" s="1673"/>
      <c r="BS34" s="1673"/>
      <c r="BT34" s="1673"/>
      <c r="BU34" s="1673"/>
      <c r="BV34" s="1673"/>
      <c r="BW34" s="1673"/>
      <c r="BX34" s="1673"/>
      <c r="BY34" s="1673"/>
      <c r="BZ34" s="1673"/>
      <c r="CA34" s="1673"/>
      <c r="CB34" s="1673"/>
      <c r="CC34" s="1673"/>
      <c r="CD34" s="1673"/>
      <c r="CE34" s="1673"/>
      <c r="CF34" s="1673"/>
      <c r="CG34" s="1673"/>
      <c r="CH34" s="1673"/>
      <c r="CI34" s="1673"/>
      <c r="CJ34" s="1673"/>
      <c r="CK34" s="1673"/>
    </row>
    <row r="35" spans="2:89" ht="15" customHeight="1" x14ac:dyDescent="0.25">
      <c r="B35" s="1677"/>
      <c r="C35" s="706" t="s">
        <v>540</v>
      </c>
      <c r="D35" s="707" t="s">
        <v>541</v>
      </c>
      <c r="E35" s="708" t="s">
        <v>542</v>
      </c>
      <c r="F35" s="708" t="s">
        <v>543</v>
      </c>
      <c r="G35" s="709" t="s">
        <v>542</v>
      </c>
      <c r="H35" s="710" t="s">
        <v>544</v>
      </c>
      <c r="I35" s="711" t="s">
        <v>545</v>
      </c>
      <c r="J35" s="712" t="s">
        <v>546</v>
      </c>
      <c r="K35" s="1679"/>
      <c r="L35" s="713" t="s">
        <v>546</v>
      </c>
      <c r="N35" s="1162" t="s">
        <v>317</v>
      </c>
      <c r="R35" s="51"/>
      <c r="S35" s="51"/>
      <c r="T35" s="51"/>
      <c r="U35" s="51"/>
      <c r="V35" s="51"/>
      <c r="W35" s="51"/>
      <c r="AK35" s="1673"/>
      <c r="AL35" s="1673"/>
      <c r="AM35" s="1673"/>
      <c r="AN35" s="1673"/>
      <c r="AO35" s="1673"/>
      <c r="AP35" s="1673"/>
      <c r="AQ35" s="1673"/>
      <c r="AR35" s="1673"/>
      <c r="AS35" s="1673"/>
      <c r="AT35" s="1673"/>
      <c r="AU35" s="1673"/>
      <c r="AV35" s="1673"/>
      <c r="AW35" s="1673"/>
      <c r="AX35" s="1673"/>
      <c r="AY35" s="1673"/>
      <c r="AZ35" s="1673"/>
      <c r="BA35" s="1673"/>
      <c r="BB35" s="1673"/>
      <c r="BC35" s="1673"/>
      <c r="BD35" s="1673"/>
      <c r="BE35" s="1673"/>
      <c r="BF35" s="1673"/>
      <c r="BP35" s="1673"/>
      <c r="BQ35" s="1673"/>
      <c r="BR35" s="1673"/>
      <c r="BS35" s="1673"/>
      <c r="BT35" s="1673"/>
      <c r="BU35" s="1673"/>
      <c r="BV35" s="1673"/>
      <c r="BW35" s="1673"/>
      <c r="BX35" s="1673"/>
      <c r="BY35" s="1673"/>
      <c r="BZ35" s="1673"/>
      <c r="CA35" s="1673"/>
      <c r="CB35" s="1673"/>
      <c r="CC35" s="1673"/>
      <c r="CD35" s="1673"/>
      <c r="CE35" s="1673"/>
      <c r="CF35" s="1673"/>
      <c r="CG35" s="1673"/>
      <c r="CH35" s="1673"/>
      <c r="CI35" s="1673"/>
      <c r="CJ35" s="1673"/>
      <c r="CK35" s="1673"/>
    </row>
    <row r="36" spans="2:89" ht="15.75" customHeight="1" x14ac:dyDescent="0.25">
      <c r="B36" s="1677"/>
      <c r="C36" s="706" t="s">
        <v>547</v>
      </c>
      <c r="D36" s="707" t="s">
        <v>548</v>
      </c>
      <c r="E36" s="714" t="s">
        <v>549</v>
      </c>
      <c r="F36" s="708" t="s">
        <v>550</v>
      </c>
      <c r="G36" s="715" t="s">
        <v>549</v>
      </c>
      <c r="H36" s="710" t="s">
        <v>551</v>
      </c>
      <c r="I36" s="711" t="s">
        <v>173</v>
      </c>
      <c r="J36" s="716" t="s">
        <v>173</v>
      </c>
      <c r="K36" s="1680"/>
      <c r="L36" s="717" t="s">
        <v>173</v>
      </c>
      <c r="N36" s="1162" t="s">
        <v>318</v>
      </c>
      <c r="R36" s="51"/>
      <c r="S36" s="51"/>
      <c r="T36" s="51"/>
      <c r="U36" s="51"/>
      <c r="V36" s="51"/>
      <c r="W36" s="51"/>
      <c r="AK36" s="1673"/>
      <c r="AL36" s="1673"/>
      <c r="AM36" s="1673"/>
      <c r="AN36" s="1673"/>
      <c r="AO36" s="1673"/>
      <c r="AP36" s="1673"/>
      <c r="AQ36" s="1673"/>
      <c r="AR36" s="1673"/>
      <c r="AS36" s="1673"/>
      <c r="AT36" s="1673"/>
      <c r="AU36" s="1673"/>
      <c r="AV36" s="1673"/>
      <c r="AW36" s="1673"/>
      <c r="AX36" s="1673"/>
      <c r="AY36" s="1673"/>
      <c r="AZ36" s="1673"/>
      <c r="BA36" s="1673"/>
      <c r="BB36" s="1673"/>
      <c r="BC36" s="1673"/>
      <c r="BD36" s="1673"/>
      <c r="BE36" s="1673"/>
      <c r="BF36" s="1673"/>
      <c r="BP36" s="1673"/>
      <c r="BQ36" s="1673"/>
      <c r="BR36" s="1673"/>
      <c r="BS36" s="1673"/>
      <c r="BT36" s="1673"/>
      <c r="BU36" s="1673"/>
      <c r="BV36" s="1673"/>
      <c r="BW36" s="1673"/>
      <c r="BX36" s="1673"/>
      <c r="BY36" s="1673"/>
      <c r="BZ36" s="1673"/>
      <c r="CA36" s="1673"/>
      <c r="CB36" s="1673"/>
      <c r="CC36" s="1673"/>
      <c r="CD36" s="1673"/>
      <c r="CE36" s="1673"/>
      <c r="CF36" s="1673"/>
      <c r="CG36" s="1673"/>
      <c r="CH36" s="1673"/>
      <c r="CI36" s="1673"/>
      <c r="CJ36" s="1673"/>
      <c r="CK36" s="1673"/>
    </row>
    <row r="37" spans="2:89" ht="15.75" customHeight="1" x14ac:dyDescent="0.25">
      <c r="B37" s="1677"/>
      <c r="C37" s="706" t="s">
        <v>173</v>
      </c>
      <c r="D37" s="707" t="s">
        <v>173</v>
      </c>
      <c r="E37" s="714" t="s">
        <v>552</v>
      </c>
      <c r="F37" s="708" t="s">
        <v>553</v>
      </c>
      <c r="G37" s="715" t="s">
        <v>552</v>
      </c>
      <c r="H37" s="710" t="s">
        <v>554</v>
      </c>
      <c r="I37" s="711" t="s">
        <v>555</v>
      </c>
      <c r="J37" s="718" t="s">
        <v>556</v>
      </c>
      <c r="K37" s="1681" t="s">
        <v>545</v>
      </c>
      <c r="L37" s="719" t="s">
        <v>556</v>
      </c>
      <c r="N37" s="1162" t="s">
        <v>319</v>
      </c>
      <c r="R37" s="51"/>
      <c r="S37" s="51"/>
      <c r="T37" s="51"/>
      <c r="U37" s="51"/>
      <c r="V37" s="51"/>
      <c r="W37" s="51"/>
    </row>
    <row r="38" spans="2:89" ht="15" customHeight="1" x14ac:dyDescent="0.25">
      <c r="B38" s="1677"/>
      <c r="C38" s="454"/>
      <c r="D38" s="28"/>
      <c r="E38" s="714" t="s">
        <v>557</v>
      </c>
      <c r="F38" s="708" t="s">
        <v>558</v>
      </c>
      <c r="G38" s="715" t="s">
        <v>559</v>
      </c>
      <c r="H38" s="710" t="s">
        <v>560</v>
      </c>
      <c r="I38" s="711" t="s">
        <v>561</v>
      </c>
      <c r="J38" s="720" t="s">
        <v>562</v>
      </c>
      <c r="K38" s="1679"/>
      <c r="L38" s="713" t="s">
        <v>562</v>
      </c>
      <c r="N38" s="1162" t="s">
        <v>320</v>
      </c>
      <c r="R38" s="51"/>
      <c r="S38" s="51"/>
      <c r="T38" s="51"/>
      <c r="U38" s="51"/>
      <c r="V38" s="51"/>
      <c r="W38" s="51"/>
    </row>
    <row r="39" spans="2:89" ht="15" customHeight="1" x14ac:dyDescent="0.25">
      <c r="B39" s="1677"/>
      <c r="C39" s="454"/>
      <c r="D39" s="28"/>
      <c r="E39" s="714" t="s">
        <v>563</v>
      </c>
      <c r="F39" s="708" t="s">
        <v>564</v>
      </c>
      <c r="G39" s="715" t="s">
        <v>557</v>
      </c>
      <c r="H39" s="710" t="s">
        <v>565</v>
      </c>
      <c r="I39" s="711" t="s">
        <v>566</v>
      </c>
      <c r="J39" s="720" t="s">
        <v>567</v>
      </c>
      <c r="K39" s="1679"/>
      <c r="L39" s="713" t="s">
        <v>567</v>
      </c>
      <c r="N39" s="1162" t="s">
        <v>321</v>
      </c>
      <c r="U39" s="51"/>
      <c r="V39" s="51"/>
      <c r="W39" s="51"/>
    </row>
    <row r="40" spans="2:89" ht="15" customHeight="1" x14ac:dyDescent="0.25">
      <c r="B40" s="1677"/>
      <c r="C40" s="454"/>
      <c r="D40" s="28"/>
      <c r="E40" s="714" t="s">
        <v>568</v>
      </c>
      <c r="F40" s="708" t="s">
        <v>569</v>
      </c>
      <c r="G40" s="715" t="s">
        <v>563</v>
      </c>
      <c r="H40" s="710" t="s">
        <v>570</v>
      </c>
      <c r="I40" s="711" t="s">
        <v>571</v>
      </c>
      <c r="J40" s="720" t="s">
        <v>540</v>
      </c>
      <c r="K40" s="1679"/>
      <c r="L40" s="713" t="s">
        <v>540</v>
      </c>
      <c r="N40" s="1162" t="s">
        <v>322</v>
      </c>
      <c r="R40" s="51"/>
      <c r="S40" s="51"/>
      <c r="T40" s="51"/>
      <c r="U40" s="51"/>
      <c r="V40" s="51"/>
      <c r="W40" s="51"/>
    </row>
    <row r="41" spans="2:89" ht="15.75" customHeight="1" x14ac:dyDescent="0.25">
      <c r="B41" s="1677"/>
      <c r="C41" s="454"/>
      <c r="D41" s="28"/>
      <c r="E41" s="721"/>
      <c r="F41" s="708" t="s">
        <v>572</v>
      </c>
      <c r="G41" s="715" t="s">
        <v>568</v>
      </c>
      <c r="H41" s="710" t="s">
        <v>573</v>
      </c>
      <c r="I41" s="711" t="s">
        <v>574</v>
      </c>
      <c r="J41" s="722" t="s">
        <v>575</v>
      </c>
      <c r="K41" s="1680"/>
      <c r="L41" s="717" t="s">
        <v>575</v>
      </c>
      <c r="N41" s="1162" t="s">
        <v>323</v>
      </c>
      <c r="R41" s="51"/>
      <c r="S41" s="51"/>
      <c r="T41" s="51"/>
      <c r="U41" s="51"/>
      <c r="V41" s="51"/>
      <c r="W41" s="51"/>
    </row>
    <row r="42" spans="2:89" ht="15" customHeight="1" x14ac:dyDescent="0.25">
      <c r="B42" s="1677"/>
      <c r="C42" s="454"/>
      <c r="D42" s="28"/>
      <c r="E42" s="721"/>
      <c r="F42" s="708" t="s">
        <v>576</v>
      </c>
      <c r="G42" s="723"/>
      <c r="H42" s="710" t="s">
        <v>577</v>
      </c>
      <c r="I42" s="711" t="s">
        <v>554</v>
      </c>
      <c r="J42" s="724" t="s">
        <v>578</v>
      </c>
      <c r="K42" s="1252" t="s">
        <v>173</v>
      </c>
      <c r="L42" s="725" t="s">
        <v>578</v>
      </c>
      <c r="N42" s="1162" t="s">
        <v>325</v>
      </c>
      <c r="R42" s="51"/>
      <c r="S42" s="51"/>
      <c r="T42" s="51"/>
      <c r="U42" s="51"/>
      <c r="V42" s="51"/>
      <c r="W42" s="51"/>
    </row>
    <row r="43" spans="2:89" ht="15.75" customHeight="1" x14ac:dyDescent="0.25">
      <c r="B43" s="1677"/>
      <c r="C43" s="454"/>
      <c r="D43" s="726"/>
      <c r="E43" s="721"/>
      <c r="F43" s="708" t="s">
        <v>579</v>
      </c>
      <c r="G43" s="723"/>
      <c r="H43" s="710" t="s">
        <v>173</v>
      </c>
      <c r="I43" s="711" t="s">
        <v>537</v>
      </c>
      <c r="J43" s="727" t="s">
        <v>580</v>
      </c>
      <c r="K43" s="728" t="s">
        <v>555</v>
      </c>
      <c r="L43" s="729"/>
      <c r="N43" s="1162" t="s">
        <v>326</v>
      </c>
      <c r="R43" s="51"/>
      <c r="S43" s="51"/>
      <c r="T43" s="51"/>
      <c r="U43" s="51"/>
      <c r="V43" s="51"/>
      <c r="W43" s="51"/>
    </row>
    <row r="44" spans="2:89" ht="15.75" customHeight="1" thickBot="1" x14ac:dyDescent="0.3">
      <c r="B44" s="1677"/>
      <c r="C44" s="454"/>
      <c r="D44" s="726"/>
      <c r="E44" s="721"/>
      <c r="F44" s="708" t="s">
        <v>581</v>
      </c>
      <c r="G44" s="723"/>
      <c r="H44" s="454"/>
      <c r="I44" s="711" t="s">
        <v>582</v>
      </c>
      <c r="J44" s="712" t="s">
        <v>583</v>
      </c>
      <c r="K44" s="728" t="s">
        <v>561</v>
      </c>
      <c r="L44" s="729"/>
      <c r="N44" s="1162" t="s">
        <v>173</v>
      </c>
      <c r="R44" s="51"/>
      <c r="S44" s="51"/>
      <c r="T44" s="51"/>
      <c r="U44" s="51"/>
      <c r="V44" s="51"/>
      <c r="W44" s="51"/>
    </row>
    <row r="45" spans="2:89" ht="15" customHeight="1" x14ac:dyDescent="0.25">
      <c r="B45" s="1677"/>
      <c r="C45" s="454"/>
      <c r="D45" s="726"/>
      <c r="E45" s="721"/>
      <c r="F45" s="708" t="s">
        <v>584</v>
      </c>
      <c r="G45" s="723"/>
      <c r="H45" s="454"/>
      <c r="I45" s="711" t="s">
        <v>585</v>
      </c>
      <c r="J45" s="730" t="s">
        <v>586</v>
      </c>
      <c r="K45" s="1681" t="s">
        <v>566</v>
      </c>
      <c r="L45" s="731" t="s">
        <v>580</v>
      </c>
      <c r="N45" s="28"/>
      <c r="R45" s="51"/>
      <c r="S45" s="51"/>
      <c r="T45" s="51"/>
      <c r="U45" s="51"/>
      <c r="V45" s="51"/>
      <c r="W45" s="51"/>
    </row>
    <row r="46" spans="2:89" ht="15.75" customHeight="1" x14ac:dyDescent="0.25">
      <c r="B46" s="1677"/>
      <c r="C46" s="454"/>
      <c r="D46" s="726"/>
      <c r="E46" s="721"/>
      <c r="F46" s="708" t="s">
        <v>173</v>
      </c>
      <c r="G46" s="723"/>
      <c r="H46" s="454"/>
      <c r="I46" s="711" t="s">
        <v>587</v>
      </c>
      <c r="J46" s="720" t="s">
        <v>173</v>
      </c>
      <c r="K46" s="1680"/>
      <c r="L46" s="732" t="s">
        <v>583</v>
      </c>
      <c r="N46" s="28"/>
      <c r="R46" s="51"/>
      <c r="S46" s="51"/>
      <c r="T46" s="51"/>
      <c r="U46" s="51"/>
      <c r="V46" s="51"/>
      <c r="W46" s="51"/>
    </row>
    <row r="47" spans="2:89" x14ac:dyDescent="0.25">
      <c r="B47" s="1677"/>
      <c r="C47" s="454"/>
      <c r="D47" s="28"/>
      <c r="E47" s="28"/>
      <c r="F47" s="28"/>
      <c r="G47" s="723"/>
      <c r="H47" s="454"/>
      <c r="I47" s="711" t="s">
        <v>588</v>
      </c>
      <c r="J47" s="720" t="s">
        <v>589</v>
      </c>
      <c r="K47" s="1251" t="s">
        <v>571</v>
      </c>
      <c r="L47" s="733" t="s">
        <v>586</v>
      </c>
      <c r="N47" s="28"/>
    </row>
    <row r="48" spans="2:89" x14ac:dyDescent="0.25">
      <c r="B48" s="1677"/>
      <c r="C48" s="454"/>
      <c r="D48" s="28"/>
      <c r="E48" s="28"/>
      <c r="F48" s="28"/>
      <c r="G48" s="723"/>
      <c r="H48" s="454"/>
      <c r="I48" s="711" t="s">
        <v>590</v>
      </c>
      <c r="J48" s="720" t="s">
        <v>591</v>
      </c>
      <c r="K48" s="1251"/>
      <c r="L48" s="734" t="s">
        <v>173</v>
      </c>
      <c r="N48" s="28"/>
    </row>
    <row r="49" spans="2:23" x14ac:dyDescent="0.25">
      <c r="B49" s="1677"/>
      <c r="C49" s="454"/>
      <c r="D49" s="28"/>
      <c r="E49" s="28"/>
      <c r="F49" s="28"/>
      <c r="G49" s="723"/>
      <c r="H49" s="454"/>
      <c r="I49" s="711" t="s">
        <v>592</v>
      </c>
      <c r="J49" s="712" t="s">
        <v>593</v>
      </c>
      <c r="K49" s="1251"/>
      <c r="L49" s="734" t="s">
        <v>589</v>
      </c>
      <c r="N49" s="28"/>
    </row>
    <row r="50" spans="2:23" x14ac:dyDescent="0.25">
      <c r="B50" s="1677"/>
      <c r="C50" s="454"/>
      <c r="D50" s="28"/>
      <c r="E50" s="28"/>
      <c r="F50" s="28"/>
      <c r="G50" s="723"/>
      <c r="H50" s="454"/>
      <c r="I50" s="28"/>
      <c r="J50" s="724" t="s">
        <v>574</v>
      </c>
      <c r="K50" s="1251"/>
      <c r="L50" s="734" t="s">
        <v>591</v>
      </c>
      <c r="N50" s="28"/>
    </row>
    <row r="51" spans="2:23" x14ac:dyDescent="0.25">
      <c r="B51" s="1677"/>
      <c r="C51" s="454"/>
      <c r="D51" s="28"/>
      <c r="E51" s="28"/>
      <c r="F51" s="28"/>
      <c r="G51" s="723"/>
      <c r="H51" s="454"/>
      <c r="I51" s="28"/>
      <c r="J51" s="727" t="s">
        <v>594</v>
      </c>
      <c r="K51" s="1252"/>
      <c r="L51" s="732" t="s">
        <v>593</v>
      </c>
      <c r="N51" s="28"/>
    </row>
    <row r="52" spans="2:23" x14ac:dyDescent="0.25">
      <c r="B52" s="1677"/>
      <c r="C52" s="454"/>
      <c r="D52" s="28"/>
      <c r="E52" s="28"/>
      <c r="F52" s="28"/>
      <c r="G52" s="723"/>
      <c r="H52" s="454"/>
      <c r="I52" s="28"/>
      <c r="J52" s="720" t="s">
        <v>595</v>
      </c>
      <c r="K52" s="1252" t="s">
        <v>574</v>
      </c>
      <c r="L52" s="735" t="s">
        <v>574</v>
      </c>
      <c r="N52" s="28"/>
    </row>
    <row r="53" spans="2:23" x14ac:dyDescent="0.25">
      <c r="B53" s="1677"/>
      <c r="C53" s="454"/>
      <c r="D53" s="28"/>
      <c r="E53" s="28"/>
      <c r="F53" s="28"/>
      <c r="G53" s="723"/>
      <c r="H53" s="454"/>
      <c r="I53" s="736"/>
      <c r="J53" s="720" t="s">
        <v>596</v>
      </c>
      <c r="K53" s="737" t="s">
        <v>554</v>
      </c>
      <c r="L53" s="738" t="s">
        <v>594</v>
      </c>
      <c r="N53" s="736"/>
      <c r="Q53" s="51"/>
      <c r="R53" s="51"/>
      <c r="S53" s="51"/>
      <c r="T53" s="51"/>
      <c r="U53" s="51"/>
      <c r="V53" s="51"/>
    </row>
    <row r="54" spans="2:23" x14ac:dyDescent="0.25">
      <c r="B54" s="1677"/>
      <c r="C54" s="454"/>
      <c r="D54" s="28"/>
      <c r="E54" s="28"/>
      <c r="F54" s="28"/>
      <c r="G54" s="723"/>
      <c r="H54" s="454"/>
      <c r="I54" s="736"/>
      <c r="J54" s="720" t="s">
        <v>597</v>
      </c>
      <c r="K54" s="737"/>
      <c r="L54" s="734" t="s">
        <v>595</v>
      </c>
      <c r="N54" s="736"/>
      <c r="Q54" s="51"/>
      <c r="R54" s="51"/>
      <c r="S54" s="51"/>
      <c r="T54" s="51"/>
      <c r="U54" s="51"/>
      <c r="V54" s="51"/>
    </row>
    <row r="55" spans="2:23" x14ac:dyDescent="0.25">
      <c r="B55" s="1677"/>
      <c r="C55" s="454"/>
      <c r="D55" s="28"/>
      <c r="E55" s="28"/>
      <c r="F55" s="28"/>
      <c r="G55" s="723"/>
      <c r="H55" s="454"/>
      <c r="I55" s="736"/>
      <c r="J55" s="739"/>
      <c r="K55" s="737"/>
      <c r="L55" s="734" t="s">
        <v>596</v>
      </c>
      <c r="N55" s="736"/>
      <c r="Q55" s="51"/>
      <c r="R55" s="51"/>
      <c r="S55" s="51"/>
      <c r="T55" s="51"/>
      <c r="U55" s="51"/>
      <c r="V55" s="51"/>
    </row>
    <row r="56" spans="2:23" ht="15.75" thickBot="1" x14ac:dyDescent="0.3">
      <c r="B56" s="1677"/>
      <c r="C56" s="740"/>
      <c r="D56" s="31"/>
      <c r="E56" s="31"/>
      <c r="F56" s="31"/>
      <c r="G56" s="741"/>
      <c r="H56" s="740"/>
      <c r="I56" s="742"/>
      <c r="J56" s="743"/>
      <c r="K56" s="744"/>
      <c r="L56" s="732" t="s">
        <v>597</v>
      </c>
      <c r="N56" s="742"/>
      <c r="Q56" s="51"/>
      <c r="R56" s="51"/>
      <c r="S56" s="51"/>
      <c r="T56" s="51"/>
      <c r="U56" s="51"/>
      <c r="V56" s="51"/>
    </row>
    <row r="57" spans="2:23" x14ac:dyDescent="0.25">
      <c r="I57" s="51"/>
      <c r="K57" s="1252" t="s">
        <v>537</v>
      </c>
      <c r="L57" s="729"/>
      <c r="Q57" s="51"/>
      <c r="R57" s="51"/>
      <c r="S57" s="51"/>
      <c r="T57" s="51"/>
      <c r="U57" s="51"/>
      <c r="V57" s="51"/>
    </row>
    <row r="58" spans="2:23" x14ac:dyDescent="0.25">
      <c r="I58" s="51"/>
      <c r="K58" s="745" t="s">
        <v>582</v>
      </c>
      <c r="L58" s="729"/>
      <c r="Q58" s="51"/>
      <c r="R58" s="51"/>
      <c r="S58" s="51"/>
      <c r="T58" s="51"/>
      <c r="U58" s="51"/>
      <c r="V58" s="51"/>
    </row>
    <row r="59" spans="2:23" ht="15.75" customHeight="1" x14ac:dyDescent="0.25">
      <c r="I59" s="51"/>
      <c r="K59" s="746" t="s">
        <v>585</v>
      </c>
      <c r="L59" s="729"/>
      <c r="Q59" s="51"/>
      <c r="R59" s="51"/>
      <c r="S59" s="51"/>
      <c r="T59" s="51"/>
      <c r="U59" s="51"/>
      <c r="V59" s="51"/>
    </row>
    <row r="60" spans="2:23" x14ac:dyDescent="0.25">
      <c r="I60" s="51"/>
      <c r="K60" s="746" t="s">
        <v>587</v>
      </c>
      <c r="L60" s="729"/>
      <c r="Q60" s="51"/>
      <c r="R60" s="51"/>
      <c r="S60" s="51"/>
      <c r="T60" s="51"/>
      <c r="U60" s="51"/>
      <c r="V60" s="51"/>
    </row>
    <row r="61" spans="2:23" x14ac:dyDescent="0.25">
      <c r="I61" s="51"/>
      <c r="K61" s="746" t="s">
        <v>588</v>
      </c>
      <c r="L61" s="729"/>
      <c r="Q61" s="51"/>
      <c r="R61" s="51"/>
      <c r="S61" s="51"/>
      <c r="T61" s="51"/>
      <c r="U61" s="51"/>
      <c r="V61" s="51"/>
    </row>
    <row r="62" spans="2:23" x14ac:dyDescent="0.25">
      <c r="I62" s="51"/>
      <c r="K62" s="746" t="s">
        <v>590</v>
      </c>
      <c r="L62" s="729"/>
      <c r="Q62" s="51"/>
      <c r="R62" s="51"/>
      <c r="S62" s="51"/>
      <c r="T62" s="51"/>
      <c r="U62" s="51"/>
      <c r="V62" s="51"/>
    </row>
    <row r="63" spans="2:23" ht="15.75" thickBot="1" x14ac:dyDescent="0.3">
      <c r="I63" s="51"/>
      <c r="K63" s="747" t="s">
        <v>592</v>
      </c>
      <c r="L63" s="748"/>
      <c r="Q63" s="51"/>
      <c r="R63" s="51"/>
      <c r="S63" s="51"/>
      <c r="T63" s="51"/>
      <c r="U63" s="51"/>
      <c r="V63" s="51"/>
    </row>
    <row r="64" spans="2:23" x14ac:dyDescent="0.25">
      <c r="I64" s="51"/>
      <c r="J64" s="51"/>
      <c r="K64" s="51"/>
      <c r="R64" s="51"/>
      <c r="S64" s="51"/>
      <c r="T64" s="51"/>
      <c r="U64" s="51"/>
      <c r="V64" s="51"/>
      <c r="W64" s="51"/>
    </row>
    <row r="65" spans="2:23" ht="29.25" thickBot="1" x14ac:dyDescent="0.5">
      <c r="B65" s="691"/>
      <c r="K65" s="77"/>
      <c r="L65" s="13"/>
      <c r="O65" s="51"/>
      <c r="P65" s="51"/>
      <c r="Q65" s="51"/>
      <c r="R65" s="51"/>
      <c r="S65" s="51"/>
      <c r="T65" s="51"/>
      <c r="U65" s="51"/>
      <c r="V65" s="51"/>
      <c r="W65" s="51"/>
    </row>
    <row r="66" spans="2:23" ht="30.75" thickBot="1" x14ac:dyDescent="0.3">
      <c r="B66" s="1682" t="s">
        <v>598</v>
      </c>
      <c r="C66" s="693" t="s">
        <v>599</v>
      </c>
      <c r="D66" s="694" t="s">
        <v>600</v>
      </c>
      <c r="E66" s="693" t="s">
        <v>601</v>
      </c>
      <c r="F66" s="694" t="s">
        <v>602</v>
      </c>
      <c r="G66" s="693" t="s">
        <v>603</v>
      </c>
      <c r="J66" s="77"/>
      <c r="K66" s="77"/>
      <c r="L66" s="13"/>
      <c r="O66" s="51"/>
      <c r="P66" s="51"/>
      <c r="Q66" s="51"/>
      <c r="R66" s="51"/>
      <c r="S66" s="51"/>
      <c r="T66" s="51"/>
      <c r="U66" s="51"/>
      <c r="V66" s="51"/>
      <c r="W66" s="51"/>
    </row>
    <row r="67" spans="2:23" x14ac:dyDescent="0.25">
      <c r="B67" s="1677"/>
      <c r="C67" s="697" t="s">
        <v>604</v>
      </c>
      <c r="D67" s="698" t="s">
        <v>534</v>
      </c>
      <c r="E67" s="699" t="s">
        <v>535</v>
      </c>
      <c r="F67" s="700" t="s">
        <v>536</v>
      </c>
      <c r="G67" s="749" t="s">
        <v>535</v>
      </c>
    </row>
    <row r="68" spans="2:23" x14ac:dyDescent="0.25">
      <c r="B68" s="1677"/>
      <c r="C68" s="706" t="s">
        <v>547</v>
      </c>
      <c r="D68" s="707" t="s">
        <v>605</v>
      </c>
      <c r="E68" s="708" t="s">
        <v>542</v>
      </c>
      <c r="F68" s="708" t="s">
        <v>543</v>
      </c>
      <c r="G68" s="750" t="s">
        <v>542</v>
      </c>
    </row>
    <row r="69" spans="2:23" x14ac:dyDescent="0.25">
      <c r="B69" s="1677"/>
      <c r="C69" s="706" t="s">
        <v>606</v>
      </c>
      <c r="D69" s="707" t="s">
        <v>607</v>
      </c>
      <c r="E69" s="714" t="s">
        <v>549</v>
      </c>
      <c r="F69" s="708" t="s">
        <v>550</v>
      </c>
      <c r="G69" s="751" t="s">
        <v>549</v>
      </c>
    </row>
    <row r="70" spans="2:23" x14ac:dyDescent="0.25">
      <c r="B70" s="1677"/>
      <c r="C70" s="706" t="s">
        <v>173</v>
      </c>
      <c r="D70" s="707" t="s">
        <v>173</v>
      </c>
      <c r="E70" s="714" t="s">
        <v>552</v>
      </c>
      <c r="F70" s="708" t="s">
        <v>553</v>
      </c>
      <c r="G70" s="751" t="s">
        <v>552</v>
      </c>
    </row>
    <row r="71" spans="2:23" x14ac:dyDescent="0.25">
      <c r="B71" s="1677"/>
      <c r="C71" s="454"/>
      <c r="D71" s="28"/>
      <c r="E71" s="714" t="s">
        <v>608</v>
      </c>
      <c r="F71" s="708" t="s">
        <v>558</v>
      </c>
      <c r="G71" s="751" t="s">
        <v>559</v>
      </c>
    </row>
    <row r="72" spans="2:23" x14ac:dyDescent="0.25">
      <c r="B72" s="1677"/>
      <c r="C72" s="454"/>
      <c r="D72" s="28"/>
      <c r="E72" s="714" t="s">
        <v>557</v>
      </c>
      <c r="F72" s="708" t="s">
        <v>564</v>
      </c>
      <c r="G72" s="751" t="s">
        <v>557</v>
      </c>
    </row>
    <row r="73" spans="2:23" x14ac:dyDescent="0.25">
      <c r="B73" s="1677"/>
      <c r="C73" s="454"/>
      <c r="D73" s="28"/>
      <c r="E73" s="714" t="s">
        <v>563</v>
      </c>
      <c r="F73" s="708" t="s">
        <v>569</v>
      </c>
      <c r="G73" s="751" t="s">
        <v>563</v>
      </c>
    </row>
    <row r="74" spans="2:23" x14ac:dyDescent="0.25">
      <c r="B74" s="1677"/>
      <c r="C74" s="454"/>
      <c r="D74" s="28"/>
      <c r="E74" s="714" t="s">
        <v>568</v>
      </c>
      <c r="F74" s="708" t="s">
        <v>572</v>
      </c>
      <c r="G74" s="751" t="s">
        <v>568</v>
      </c>
    </row>
    <row r="75" spans="2:23" x14ac:dyDescent="0.25">
      <c r="B75" s="1677"/>
      <c r="C75" s="454"/>
      <c r="D75" s="28"/>
      <c r="E75" s="28"/>
      <c r="F75" s="708" t="s">
        <v>576</v>
      </c>
      <c r="G75" s="752"/>
    </row>
    <row r="76" spans="2:23" x14ac:dyDescent="0.25">
      <c r="B76" s="1677"/>
      <c r="C76" s="454"/>
      <c r="D76" s="28"/>
      <c r="E76" s="28"/>
      <c r="F76" s="708" t="s">
        <v>579</v>
      </c>
      <c r="G76" s="752"/>
    </row>
    <row r="77" spans="2:23" x14ac:dyDescent="0.25">
      <c r="B77" s="1677"/>
      <c r="C77" s="454"/>
      <c r="D77" s="28"/>
      <c r="E77" s="28"/>
      <c r="F77" s="708" t="s">
        <v>581</v>
      </c>
      <c r="G77" s="752"/>
    </row>
    <row r="78" spans="2:23" x14ac:dyDescent="0.25">
      <c r="B78" s="1677"/>
      <c r="C78" s="454"/>
      <c r="D78" s="28"/>
      <c r="E78" s="28"/>
      <c r="F78" s="708" t="s">
        <v>584</v>
      </c>
      <c r="G78" s="752"/>
    </row>
    <row r="79" spans="2:23" ht="15.75" thickBot="1" x14ac:dyDescent="0.3">
      <c r="B79" s="1677"/>
      <c r="C79" s="740"/>
      <c r="D79" s="31"/>
      <c r="E79" s="31"/>
      <c r="F79" s="753" t="s">
        <v>173</v>
      </c>
      <c r="G79" s="754"/>
    </row>
    <row r="82" spans="2:21" ht="28.5" x14ac:dyDescent="0.45">
      <c r="B82" s="691"/>
    </row>
    <row r="83" spans="2:21" ht="31.5" x14ac:dyDescent="0.5">
      <c r="B83" s="755" t="s">
        <v>609</v>
      </c>
      <c r="C83" s="756"/>
      <c r="D83" s="756"/>
      <c r="E83" s="756"/>
      <c r="F83" s="756"/>
      <c r="G83" s="756"/>
      <c r="H83" s="756"/>
      <c r="I83" s="756"/>
      <c r="J83" s="756"/>
      <c r="K83" s="756"/>
      <c r="L83" s="756"/>
      <c r="M83" s="756"/>
      <c r="N83" s="756"/>
      <c r="O83" s="756"/>
      <c r="P83" s="756"/>
      <c r="Q83" s="756"/>
    </row>
    <row r="84" spans="2:21" ht="30.75" customHeight="1" thickBot="1" x14ac:dyDescent="0.5">
      <c r="B84" s="691"/>
      <c r="C84" s="51"/>
      <c r="D84" s="71"/>
      <c r="E84" s="71"/>
      <c r="F84" s="71"/>
      <c r="G84" s="71"/>
      <c r="H84" s="51"/>
      <c r="I84" s="51"/>
      <c r="J84" s="51"/>
      <c r="K84" s="51"/>
      <c r="L84" s="51"/>
      <c r="M84" s="1292" t="s">
        <v>610</v>
      </c>
      <c r="N84" s="1291"/>
      <c r="O84" s="1291"/>
      <c r="P84" s="1291"/>
      <c r="Q84" s="1291"/>
      <c r="U84" s="51"/>
    </row>
    <row r="85" spans="2:21" s="338" customFormat="1" ht="42" customHeight="1" thickBot="1" x14ac:dyDescent="0.3">
      <c r="B85" s="1682" t="s">
        <v>611</v>
      </c>
      <c r="C85" s="757" t="s">
        <v>612</v>
      </c>
      <c r="D85" s="758" t="s">
        <v>613</v>
      </c>
      <c r="E85" s="759" t="s">
        <v>614</v>
      </c>
      <c r="F85" s="758" t="s">
        <v>615</v>
      </c>
      <c r="G85" s="758" t="s">
        <v>616</v>
      </c>
      <c r="H85" s="758" t="s">
        <v>617</v>
      </c>
      <c r="I85" s="758" t="s">
        <v>618</v>
      </c>
      <c r="J85" s="758" t="s">
        <v>619</v>
      </c>
      <c r="K85" s="760" t="s">
        <v>620</v>
      </c>
      <c r="L85" s="761" t="s">
        <v>621</v>
      </c>
      <c r="M85" s="758" t="s">
        <v>622</v>
      </c>
      <c r="N85" s="758" t="s">
        <v>623</v>
      </c>
      <c r="O85" s="758" t="s">
        <v>624</v>
      </c>
      <c r="P85" s="758" t="s">
        <v>625</v>
      </c>
      <c r="Q85" s="758"/>
      <c r="U85" s="399"/>
    </row>
    <row r="86" spans="2:21" ht="15" customHeight="1" x14ac:dyDescent="0.25">
      <c r="B86" s="1677"/>
      <c r="C86" s="762" t="s">
        <v>626</v>
      </c>
      <c r="D86" s="763" t="s">
        <v>228</v>
      </c>
      <c r="E86" s="763" t="s">
        <v>228</v>
      </c>
      <c r="F86" s="763" t="s">
        <v>228</v>
      </c>
      <c r="G86" s="763" t="s">
        <v>228</v>
      </c>
      <c r="H86" s="764" t="s">
        <v>627</v>
      </c>
      <c r="I86" s="764" t="s">
        <v>627</v>
      </c>
      <c r="J86" s="764" t="s">
        <v>628</v>
      </c>
      <c r="K86" s="765" t="s">
        <v>228</v>
      </c>
      <c r="L86" s="766" t="s">
        <v>629</v>
      </c>
      <c r="M86" s="1290" t="s">
        <v>630</v>
      </c>
      <c r="N86" s="1289" t="s">
        <v>631</v>
      </c>
      <c r="O86" s="764" t="s">
        <v>204</v>
      </c>
      <c r="P86" s="764" t="s">
        <v>221</v>
      </c>
      <c r="Q86" s="764"/>
      <c r="U86" s="51"/>
    </row>
    <row r="87" spans="2:21" ht="15" customHeight="1" x14ac:dyDescent="0.25">
      <c r="B87" s="1677"/>
      <c r="C87" s="767" t="s">
        <v>626</v>
      </c>
      <c r="D87" s="768" t="s">
        <v>228</v>
      </c>
      <c r="E87" s="768" t="s">
        <v>228</v>
      </c>
      <c r="F87" s="768" t="s">
        <v>228</v>
      </c>
      <c r="G87" s="768" t="s">
        <v>228</v>
      </c>
      <c r="H87" s="769" t="s">
        <v>228</v>
      </c>
      <c r="I87" s="769" t="s">
        <v>228</v>
      </c>
      <c r="J87" s="769" t="s">
        <v>632</v>
      </c>
      <c r="K87" s="770" t="s">
        <v>228</v>
      </c>
      <c r="L87" s="771" t="s">
        <v>228</v>
      </c>
      <c r="M87" s="1287" t="s">
        <v>630</v>
      </c>
      <c r="N87" s="1288" t="s">
        <v>630</v>
      </c>
      <c r="O87" s="769" t="s">
        <v>205</v>
      </c>
      <c r="P87" s="769" t="s">
        <v>206</v>
      </c>
      <c r="Q87" s="769"/>
      <c r="U87" s="51"/>
    </row>
    <row r="88" spans="2:21" ht="15" customHeight="1" x14ac:dyDescent="0.25">
      <c r="B88" s="1677"/>
      <c r="C88" s="767" t="s">
        <v>626</v>
      </c>
      <c r="D88" s="768" t="s">
        <v>633</v>
      </c>
      <c r="E88" s="768" t="s">
        <v>633</v>
      </c>
      <c r="F88" s="768" t="s">
        <v>633</v>
      </c>
      <c r="G88" s="768" t="s">
        <v>633</v>
      </c>
      <c r="H88" s="769" t="s">
        <v>627</v>
      </c>
      <c r="I88" s="769" t="s">
        <v>627</v>
      </c>
      <c r="J88" s="769" t="s">
        <v>634</v>
      </c>
      <c r="K88" s="770" t="s">
        <v>228</v>
      </c>
      <c r="L88" s="771" t="s">
        <v>635</v>
      </c>
      <c r="M88" s="1287" t="s">
        <v>630</v>
      </c>
      <c r="N88" s="1288" t="s">
        <v>630</v>
      </c>
      <c r="O88" s="769" t="s">
        <v>206</v>
      </c>
      <c r="P88" s="769" t="s">
        <v>206</v>
      </c>
      <c r="Q88" s="769"/>
      <c r="U88" s="51"/>
    </row>
    <row r="89" spans="2:21" ht="15" customHeight="1" x14ac:dyDescent="0.25">
      <c r="B89" s="1677"/>
      <c r="C89" s="767" t="s">
        <v>626</v>
      </c>
      <c r="D89" s="768" t="s">
        <v>228</v>
      </c>
      <c r="E89" s="768" t="s">
        <v>228</v>
      </c>
      <c r="F89" s="768" t="s">
        <v>228</v>
      </c>
      <c r="G89" s="768" t="s">
        <v>228</v>
      </c>
      <c r="H89" s="769" t="s">
        <v>627</v>
      </c>
      <c r="I89" s="769" t="s">
        <v>627</v>
      </c>
      <c r="J89" s="769" t="s">
        <v>636</v>
      </c>
      <c r="K89" s="770" t="s">
        <v>635</v>
      </c>
      <c r="L89" s="771" t="s">
        <v>228</v>
      </c>
      <c r="M89" s="1287" t="s">
        <v>627</v>
      </c>
      <c r="N89" s="1285"/>
      <c r="O89" s="1284"/>
      <c r="U89" s="51"/>
    </row>
    <row r="90" spans="2:21" ht="15" customHeight="1" x14ac:dyDescent="0.25">
      <c r="B90" s="1677"/>
      <c r="C90" s="767" t="s">
        <v>637</v>
      </c>
      <c r="D90" s="768" t="s">
        <v>638</v>
      </c>
      <c r="E90" s="768" t="s">
        <v>638</v>
      </c>
      <c r="F90" s="768" t="s">
        <v>638</v>
      </c>
      <c r="G90" s="768" t="s">
        <v>638</v>
      </c>
      <c r="H90" s="769" t="s">
        <v>228</v>
      </c>
      <c r="I90" s="769" t="s">
        <v>228</v>
      </c>
      <c r="J90" s="769" t="s">
        <v>639</v>
      </c>
      <c r="K90" s="772"/>
      <c r="L90" s="773"/>
      <c r="M90" s="1286"/>
      <c r="N90" s="1285"/>
      <c r="O90" s="1284"/>
      <c r="P90" s="1284"/>
      <c r="Q90" s="1284"/>
      <c r="U90" s="51"/>
    </row>
    <row r="91" spans="2:21" ht="15" customHeight="1" x14ac:dyDescent="0.25">
      <c r="B91" s="1677"/>
      <c r="C91" s="767" t="s">
        <v>637</v>
      </c>
      <c r="D91" s="768" t="s">
        <v>640</v>
      </c>
      <c r="E91" s="768" t="s">
        <v>640</v>
      </c>
      <c r="F91" s="768" t="s">
        <v>640</v>
      </c>
      <c r="G91" s="768" t="s">
        <v>640</v>
      </c>
      <c r="H91" s="769" t="s">
        <v>641</v>
      </c>
      <c r="I91" s="769" t="s">
        <v>641</v>
      </c>
      <c r="J91" s="769" t="s">
        <v>642</v>
      </c>
      <c r="K91" s="772"/>
      <c r="L91" s="773"/>
      <c r="M91" s="1286"/>
      <c r="N91" s="1285"/>
      <c r="O91" s="1284"/>
      <c r="P91" s="1284"/>
      <c r="Q91" s="1284"/>
      <c r="U91" s="51"/>
    </row>
    <row r="92" spans="2:21" ht="15" customHeight="1" x14ac:dyDescent="0.25">
      <c r="B92" s="1677"/>
      <c r="C92" s="767" t="s">
        <v>637</v>
      </c>
      <c r="D92" s="768" t="s">
        <v>638</v>
      </c>
      <c r="E92" s="768" t="s">
        <v>638</v>
      </c>
      <c r="F92" s="768" t="s">
        <v>638</v>
      </c>
      <c r="G92" s="768" t="s">
        <v>638</v>
      </c>
      <c r="H92" s="774"/>
      <c r="I92" s="774"/>
      <c r="J92" s="774"/>
      <c r="K92" s="772"/>
      <c r="L92" s="773"/>
      <c r="M92" s="1286"/>
      <c r="N92" s="1285"/>
      <c r="O92" s="1284"/>
      <c r="P92" s="1284"/>
      <c r="Q92" s="1284"/>
      <c r="U92" s="51"/>
    </row>
    <row r="93" spans="2:21" ht="15.75" customHeight="1" x14ac:dyDescent="0.25">
      <c r="B93" s="1677"/>
      <c r="C93" s="775"/>
      <c r="D93" s="768" t="s">
        <v>640</v>
      </c>
      <c r="E93" s="768" t="s">
        <v>640</v>
      </c>
      <c r="F93" s="768" t="s">
        <v>640</v>
      </c>
      <c r="G93" s="768" t="s">
        <v>640</v>
      </c>
      <c r="H93" s="774"/>
      <c r="I93" s="774"/>
      <c r="J93" s="774"/>
      <c r="K93" s="772"/>
      <c r="L93" s="773"/>
      <c r="M93" s="1286"/>
      <c r="N93" s="1285"/>
      <c r="O93" s="1284"/>
      <c r="P93" s="1284"/>
      <c r="Q93" s="1284"/>
      <c r="U93" s="51"/>
    </row>
    <row r="94" spans="2:21" ht="15" customHeight="1" x14ac:dyDescent="0.25">
      <c r="B94" s="1677"/>
      <c r="C94" s="775"/>
      <c r="D94" s="768" t="s">
        <v>638</v>
      </c>
      <c r="E94" s="768" t="s">
        <v>638</v>
      </c>
      <c r="F94" s="768" t="s">
        <v>638</v>
      </c>
      <c r="G94" s="768" t="s">
        <v>638</v>
      </c>
      <c r="H94" s="774"/>
      <c r="I94" s="774"/>
      <c r="J94" s="774"/>
      <c r="K94" s="772"/>
      <c r="L94" s="773"/>
      <c r="M94" s="1286"/>
      <c r="N94" s="1285"/>
      <c r="O94" s="1284"/>
      <c r="P94" s="1284"/>
      <c r="Q94" s="1284"/>
      <c r="U94" s="51"/>
    </row>
    <row r="95" spans="2:21" ht="15" customHeight="1" x14ac:dyDescent="0.25">
      <c r="B95" s="1677"/>
      <c r="C95" s="775"/>
      <c r="D95" s="768" t="s">
        <v>228</v>
      </c>
      <c r="E95" s="774"/>
      <c r="F95" s="768" t="s">
        <v>635</v>
      </c>
      <c r="G95" s="774"/>
      <c r="H95" s="774"/>
      <c r="I95" s="774"/>
      <c r="J95" s="774"/>
      <c r="K95" s="772"/>
      <c r="L95" s="773"/>
      <c r="M95" s="1286"/>
      <c r="N95" s="1285"/>
      <c r="O95" s="1284"/>
      <c r="P95" s="1284"/>
      <c r="Q95" s="1284"/>
      <c r="U95" s="51"/>
    </row>
    <row r="96" spans="2:21" ht="15" customHeight="1" x14ac:dyDescent="0.25">
      <c r="B96" s="1677"/>
      <c r="C96" s="775"/>
      <c r="D96" s="768" t="s">
        <v>228</v>
      </c>
      <c r="E96" s="774"/>
      <c r="F96" s="774"/>
      <c r="G96" s="774"/>
      <c r="H96" s="774"/>
      <c r="I96" s="774"/>
      <c r="J96" s="774"/>
      <c r="K96" s="772"/>
      <c r="L96" s="773"/>
      <c r="M96" s="1286"/>
      <c r="N96" s="1285"/>
      <c r="O96" s="1284"/>
      <c r="P96" s="1284"/>
      <c r="Q96" s="1284"/>
      <c r="U96" s="51"/>
    </row>
    <row r="97" spans="2:23" ht="15" customHeight="1" x14ac:dyDescent="0.25">
      <c r="B97" s="1677"/>
      <c r="C97" s="775"/>
      <c r="D97" s="768" t="s">
        <v>228</v>
      </c>
      <c r="E97" s="774"/>
      <c r="F97" s="774"/>
      <c r="G97" s="774"/>
      <c r="H97" s="774"/>
      <c r="I97" s="774"/>
      <c r="J97" s="774"/>
      <c r="K97" s="772"/>
      <c r="L97" s="773"/>
      <c r="M97" s="1286"/>
      <c r="N97" s="1285"/>
      <c r="O97" s="1284"/>
      <c r="P97" s="1284"/>
      <c r="Q97" s="1284"/>
      <c r="U97" s="51"/>
    </row>
    <row r="98" spans="2:23" ht="15.75" thickBot="1" x14ac:dyDescent="0.3">
      <c r="B98" s="1677"/>
      <c r="C98" s="776"/>
      <c r="D98" s="777" t="s">
        <v>635</v>
      </c>
      <c r="E98" s="778"/>
      <c r="F98" s="778"/>
      <c r="G98" s="778"/>
      <c r="H98" s="778"/>
      <c r="I98" s="778"/>
      <c r="J98" s="778"/>
      <c r="K98" s="779"/>
      <c r="L98" s="780"/>
      <c r="M98" s="1283"/>
      <c r="N98" s="1282"/>
      <c r="O98" s="1281"/>
      <c r="P98" s="1281"/>
      <c r="Q98" s="1281"/>
      <c r="U98" s="51"/>
    </row>
    <row r="99" spans="2:23" ht="28.5" x14ac:dyDescent="0.45">
      <c r="B99" s="691"/>
      <c r="E99" s="619"/>
      <c r="F99" s="51"/>
      <c r="G99" s="51"/>
      <c r="H99" s="30"/>
      <c r="I99" s="51"/>
      <c r="J99" s="51"/>
      <c r="K99" s="51"/>
      <c r="L99" s="51"/>
      <c r="M99" s="51"/>
      <c r="W99" s="51"/>
    </row>
    <row r="100" spans="2:23" ht="29.25" thickBot="1" x14ac:dyDescent="0.5">
      <c r="B100" s="781"/>
    </row>
    <row r="101" spans="2:23" ht="25.5" customHeight="1" thickBot="1" x14ac:dyDescent="0.3">
      <c r="B101" s="1677" t="s">
        <v>643</v>
      </c>
      <c r="C101" s="782" t="s">
        <v>617</v>
      </c>
    </row>
    <row r="102" spans="2:23" ht="15" customHeight="1" x14ac:dyDescent="0.25">
      <c r="B102" s="1677"/>
      <c r="C102" s="783" t="s">
        <v>627</v>
      </c>
    </row>
    <row r="103" spans="2:23" ht="15" customHeight="1" x14ac:dyDescent="0.25">
      <c r="B103" s="1677"/>
      <c r="C103" s="784" t="s">
        <v>228</v>
      </c>
    </row>
    <row r="104" spans="2:23" ht="15" customHeight="1" x14ac:dyDescent="0.25">
      <c r="B104" s="1677"/>
      <c r="C104" s="784" t="s">
        <v>627</v>
      </c>
    </row>
    <row r="105" spans="2:23" ht="15" customHeight="1" x14ac:dyDescent="0.25">
      <c r="B105" s="1677"/>
      <c r="C105" s="784" t="s">
        <v>228</v>
      </c>
    </row>
    <row r="106" spans="2:23" ht="15" customHeight="1" x14ac:dyDescent="0.25">
      <c r="B106" s="1677"/>
      <c r="C106" s="784" t="s">
        <v>627</v>
      </c>
    </row>
    <row r="107" spans="2:23" ht="15" customHeight="1" x14ac:dyDescent="0.25">
      <c r="B107" s="1677"/>
      <c r="C107" s="784" t="s">
        <v>644</v>
      </c>
    </row>
    <row r="108" spans="2:23" ht="15.75" customHeight="1" thickBot="1" x14ac:dyDescent="0.3">
      <c r="B108" s="1677"/>
      <c r="C108" s="785" t="s">
        <v>641</v>
      </c>
    </row>
    <row r="109" spans="2:23" ht="15" customHeight="1" x14ac:dyDescent="0.25"/>
    <row r="110" spans="2:23" ht="15" customHeight="1" thickBot="1" x14ac:dyDescent="0.3"/>
    <row r="111" spans="2:23" ht="15" customHeight="1" thickBot="1" x14ac:dyDescent="0.3">
      <c r="B111" s="1677" t="s">
        <v>645</v>
      </c>
      <c r="C111" s="786" t="s">
        <v>646</v>
      </c>
    </row>
    <row r="112" spans="2:23" ht="15" customHeight="1" x14ac:dyDescent="0.25">
      <c r="B112" s="1677"/>
      <c r="C112" s="787" t="s">
        <v>228</v>
      </c>
    </row>
    <row r="113" spans="2:7" ht="15" customHeight="1" x14ac:dyDescent="0.25">
      <c r="B113" s="1677"/>
      <c r="C113" s="788" t="s">
        <v>228</v>
      </c>
    </row>
    <row r="114" spans="2:7" ht="15" customHeight="1" x14ac:dyDescent="0.25">
      <c r="B114" s="1677"/>
      <c r="C114" s="788" t="s">
        <v>228</v>
      </c>
    </row>
    <row r="115" spans="2:7" ht="15" customHeight="1" x14ac:dyDescent="0.25">
      <c r="B115" s="1677"/>
      <c r="C115" s="788" t="s">
        <v>228</v>
      </c>
    </row>
    <row r="116" spans="2:7" ht="15" customHeight="1" thickBot="1" x14ac:dyDescent="0.3">
      <c r="B116" s="1677"/>
      <c r="C116" s="789" t="s">
        <v>647</v>
      </c>
    </row>
    <row r="117" spans="2:7" ht="15" customHeight="1" x14ac:dyDescent="0.25"/>
    <row r="118" spans="2:7" ht="28.5" x14ac:dyDescent="0.45">
      <c r="B118" s="781"/>
    </row>
    <row r="119" spans="2:7" ht="15.75" customHeight="1" thickBot="1" x14ac:dyDescent="0.3">
      <c r="B119" s="1683" t="s">
        <v>648</v>
      </c>
      <c r="C119" s="790" t="s">
        <v>649</v>
      </c>
      <c r="D119" s="791" t="s">
        <v>650</v>
      </c>
      <c r="E119" s="791" t="s">
        <v>651</v>
      </c>
      <c r="F119" s="791" t="s">
        <v>652</v>
      </c>
      <c r="G119" s="792" t="s">
        <v>653</v>
      </c>
    </row>
    <row r="120" spans="2:7" ht="26.25" customHeight="1" x14ac:dyDescent="0.25">
      <c r="B120" s="1684"/>
      <c r="C120" s="793" t="s">
        <v>654</v>
      </c>
      <c r="D120" s="794" t="s">
        <v>654</v>
      </c>
      <c r="E120" s="795" t="s">
        <v>655</v>
      </c>
      <c r="F120" s="795" t="s">
        <v>656</v>
      </c>
      <c r="G120" s="796" t="s">
        <v>627</v>
      </c>
    </row>
    <row r="121" spans="2:7" ht="15.75" customHeight="1" x14ac:dyDescent="0.25">
      <c r="B121" s="1684"/>
      <c r="C121" s="797" t="s">
        <v>654</v>
      </c>
      <c r="D121" s="798" t="s">
        <v>654</v>
      </c>
      <c r="E121" s="798" t="s">
        <v>657</v>
      </c>
      <c r="F121" s="798" t="s">
        <v>658</v>
      </c>
      <c r="G121" s="799"/>
    </row>
    <row r="122" spans="2:7" ht="15" customHeight="1" x14ac:dyDescent="0.25">
      <c r="B122" s="1684"/>
      <c r="C122" s="797" t="s">
        <v>659</v>
      </c>
      <c r="D122" s="798" t="s">
        <v>659</v>
      </c>
      <c r="E122" s="798" t="s">
        <v>660</v>
      </c>
      <c r="F122" s="798" t="s">
        <v>658</v>
      </c>
      <c r="G122" s="799"/>
    </row>
    <row r="123" spans="2:7" ht="15" customHeight="1" x14ac:dyDescent="0.25">
      <c r="B123" s="1684"/>
      <c r="C123" s="797" t="s">
        <v>659</v>
      </c>
      <c r="D123" s="798" t="s">
        <v>659</v>
      </c>
      <c r="E123" s="28"/>
      <c r="F123" s="798" t="s">
        <v>658</v>
      </c>
      <c r="G123" s="799"/>
    </row>
    <row r="124" spans="2:7" ht="15" customHeight="1" x14ac:dyDescent="0.25">
      <c r="B124" s="1684"/>
      <c r="C124" s="800"/>
      <c r="D124" s="28"/>
      <c r="E124" s="28"/>
      <c r="F124" s="798" t="s">
        <v>658</v>
      </c>
      <c r="G124" s="799"/>
    </row>
    <row r="125" spans="2:7" ht="15" customHeight="1" x14ac:dyDescent="0.25">
      <c r="B125" s="1684"/>
      <c r="C125" s="800"/>
      <c r="D125" s="28"/>
      <c r="E125" s="28"/>
      <c r="F125" s="798" t="s">
        <v>661</v>
      </c>
      <c r="G125" s="799"/>
    </row>
    <row r="126" spans="2:7" ht="15" customHeight="1" x14ac:dyDescent="0.25">
      <c r="B126" s="1684"/>
      <c r="C126" s="800"/>
      <c r="D126" s="28"/>
      <c r="E126" s="28"/>
      <c r="F126" s="798" t="s">
        <v>661</v>
      </c>
      <c r="G126" s="799"/>
    </row>
    <row r="127" spans="2:7" ht="15" customHeight="1" x14ac:dyDescent="0.25">
      <c r="B127" s="1684"/>
      <c r="C127" s="454"/>
      <c r="D127" s="28"/>
      <c r="E127" s="28"/>
      <c r="F127" s="798" t="s">
        <v>662</v>
      </c>
      <c r="G127" s="799"/>
    </row>
    <row r="128" spans="2:7" ht="15" customHeight="1" x14ac:dyDescent="0.25">
      <c r="B128" s="1684"/>
      <c r="C128" s="454"/>
      <c r="D128" s="28"/>
      <c r="E128" s="28"/>
      <c r="F128" s="798" t="s">
        <v>662</v>
      </c>
      <c r="G128" s="799"/>
    </row>
    <row r="129" spans="2:7" ht="15.75" customHeight="1" x14ac:dyDescent="0.25">
      <c r="B129" s="1684"/>
      <c r="C129" s="454"/>
      <c r="D129" s="28"/>
      <c r="E129" s="28"/>
      <c r="F129" s="798" t="s">
        <v>663</v>
      </c>
      <c r="G129" s="799"/>
    </row>
    <row r="130" spans="2:7" ht="15" customHeight="1" x14ac:dyDescent="0.25">
      <c r="B130" s="1684"/>
      <c r="C130" s="454"/>
      <c r="D130" s="28"/>
      <c r="E130" s="28"/>
      <c r="F130" s="798" t="s">
        <v>663</v>
      </c>
      <c r="G130" s="799"/>
    </row>
    <row r="131" spans="2:7" ht="15" customHeight="1" x14ac:dyDescent="0.25">
      <c r="B131" s="1684"/>
      <c r="C131" s="454"/>
      <c r="D131" s="28"/>
      <c r="E131" s="28"/>
      <c r="F131" s="798" t="s">
        <v>664</v>
      </c>
      <c r="G131" s="799"/>
    </row>
    <row r="132" spans="2:7" ht="15" customHeight="1" x14ac:dyDescent="0.25">
      <c r="B132" s="1684"/>
      <c r="C132" s="454"/>
      <c r="D132" s="28"/>
      <c r="E132" s="28"/>
      <c r="F132" s="798" t="s">
        <v>627</v>
      </c>
      <c r="G132" s="799"/>
    </row>
    <row r="133" spans="2:7" ht="15.75" customHeight="1" thickBot="1" x14ac:dyDescent="0.3">
      <c r="B133" s="1684"/>
      <c r="C133" s="740"/>
      <c r="D133" s="31"/>
      <c r="E133" s="31"/>
      <c r="F133" s="801" t="s">
        <v>664</v>
      </c>
      <c r="G133" s="802"/>
    </row>
    <row r="134" spans="2:7" ht="28.5" x14ac:dyDescent="0.45">
      <c r="B134" s="803"/>
      <c r="G134" s="804"/>
    </row>
    <row r="135" spans="2:7" ht="29.25" thickBot="1" x14ac:dyDescent="0.5">
      <c r="B135" s="803"/>
      <c r="C135" s="805" t="s">
        <v>665</v>
      </c>
      <c r="D135" s="805"/>
      <c r="E135" s="805"/>
      <c r="F135" s="805"/>
      <c r="G135" s="804"/>
    </row>
    <row r="136" spans="2:7" ht="15.75" customHeight="1" thickBot="1" x14ac:dyDescent="0.3">
      <c r="B136" s="1686" t="s">
        <v>666</v>
      </c>
      <c r="C136" s="806" t="s">
        <v>649</v>
      </c>
      <c r="D136" s="807"/>
      <c r="E136" s="807" t="s">
        <v>651</v>
      </c>
      <c r="F136" s="808" t="s">
        <v>652</v>
      </c>
      <c r="G136" s="804"/>
    </row>
    <row r="137" spans="2:7" ht="15" customHeight="1" x14ac:dyDescent="0.25">
      <c r="B137" s="1687"/>
      <c r="C137" s="809" t="s">
        <v>656</v>
      </c>
      <c r="D137" s="810"/>
      <c r="E137" s="795" t="s">
        <v>658</v>
      </c>
      <c r="F137" s="811" t="s">
        <v>627</v>
      </c>
      <c r="G137" s="804"/>
    </row>
    <row r="138" spans="2:7" ht="15" customHeight="1" x14ac:dyDescent="0.25">
      <c r="B138" s="1687"/>
      <c r="C138" s="812" t="s">
        <v>630</v>
      </c>
      <c r="D138" s="28"/>
      <c r="E138" s="798" t="s">
        <v>661</v>
      </c>
      <c r="F138" s="813" t="s">
        <v>656</v>
      </c>
      <c r="G138" s="804"/>
    </row>
    <row r="139" spans="2:7" ht="15" customHeight="1" x14ac:dyDescent="0.25">
      <c r="B139" s="1687"/>
      <c r="C139" s="812" t="s">
        <v>630</v>
      </c>
      <c r="D139" s="28"/>
      <c r="E139" s="798" t="s">
        <v>662</v>
      </c>
      <c r="F139" s="813" t="s">
        <v>627</v>
      </c>
      <c r="G139" s="804"/>
    </row>
    <row r="140" spans="2:7" ht="15" customHeight="1" x14ac:dyDescent="0.25">
      <c r="B140" s="1687"/>
      <c r="C140" s="812" t="s">
        <v>656</v>
      </c>
      <c r="D140" s="28"/>
      <c r="E140" s="798" t="s">
        <v>663</v>
      </c>
      <c r="F140" s="813" t="s">
        <v>630</v>
      </c>
      <c r="G140" s="804"/>
    </row>
    <row r="141" spans="2:7" ht="15" customHeight="1" x14ac:dyDescent="0.25">
      <c r="B141" s="1687"/>
      <c r="C141" s="812" t="s">
        <v>630</v>
      </c>
      <c r="D141" s="28"/>
      <c r="E141" s="798" t="s">
        <v>658</v>
      </c>
      <c r="F141" s="27"/>
      <c r="G141" s="804"/>
    </row>
    <row r="142" spans="2:7" ht="15.75" customHeight="1" x14ac:dyDescent="0.25">
      <c r="B142" s="1687"/>
      <c r="C142" s="812" t="s">
        <v>630</v>
      </c>
      <c r="D142" s="28"/>
      <c r="E142" s="798" t="s">
        <v>627</v>
      </c>
      <c r="F142" s="27"/>
      <c r="G142" s="804"/>
    </row>
    <row r="143" spans="2:7" ht="15" customHeight="1" x14ac:dyDescent="0.25">
      <c r="B143" s="1687"/>
      <c r="C143" s="812" t="s">
        <v>656</v>
      </c>
      <c r="D143" s="28"/>
      <c r="E143" s="798" t="s">
        <v>627</v>
      </c>
      <c r="F143" s="27"/>
      <c r="G143" s="804"/>
    </row>
    <row r="144" spans="2:7" ht="15" customHeight="1" x14ac:dyDescent="0.25">
      <c r="B144" s="1687"/>
      <c r="C144" s="812" t="s">
        <v>630</v>
      </c>
      <c r="D144" s="28"/>
      <c r="E144" s="798" t="s">
        <v>658</v>
      </c>
      <c r="F144" s="27"/>
      <c r="G144" s="804"/>
    </row>
    <row r="145" spans="2:7" ht="15" customHeight="1" x14ac:dyDescent="0.25">
      <c r="B145" s="1687"/>
      <c r="C145" s="812" t="s">
        <v>630</v>
      </c>
      <c r="D145" s="28"/>
      <c r="E145" s="28"/>
      <c r="F145" s="27"/>
      <c r="G145" s="804"/>
    </row>
    <row r="146" spans="2:7" ht="15" customHeight="1" x14ac:dyDescent="0.25">
      <c r="B146" s="1687"/>
      <c r="C146" s="812" t="s">
        <v>656</v>
      </c>
      <c r="D146" s="28"/>
      <c r="E146" s="28"/>
      <c r="F146" s="27"/>
      <c r="G146" s="804"/>
    </row>
    <row r="147" spans="2:7" ht="15" customHeight="1" x14ac:dyDescent="0.25">
      <c r="B147" s="1687"/>
      <c r="C147" s="812" t="s">
        <v>630</v>
      </c>
      <c r="D147" s="28"/>
      <c r="E147" s="28"/>
      <c r="F147" s="27"/>
      <c r="G147" s="804"/>
    </row>
    <row r="148" spans="2:7" ht="15" customHeight="1" x14ac:dyDescent="0.25">
      <c r="B148" s="1687"/>
      <c r="C148" s="812" t="s">
        <v>656</v>
      </c>
      <c r="D148" s="28"/>
      <c r="E148" s="28"/>
      <c r="F148" s="27"/>
      <c r="G148" s="804"/>
    </row>
    <row r="149" spans="2:7" ht="15" customHeight="1" x14ac:dyDescent="0.25">
      <c r="B149" s="1687"/>
      <c r="C149" s="812" t="s">
        <v>630</v>
      </c>
      <c r="D149" s="28"/>
      <c r="E149" s="28"/>
      <c r="F149" s="27"/>
      <c r="G149" s="804"/>
    </row>
    <row r="150" spans="2:7" ht="15" customHeight="1" x14ac:dyDescent="0.25">
      <c r="B150" s="1687"/>
      <c r="C150" s="812" t="s">
        <v>656</v>
      </c>
      <c r="D150" s="28"/>
      <c r="E150" s="28"/>
      <c r="F150" s="27"/>
      <c r="G150" s="804"/>
    </row>
    <row r="151" spans="2:7" ht="27" customHeight="1" x14ac:dyDescent="0.25">
      <c r="B151" s="1688"/>
      <c r="C151" s="814" t="s">
        <v>630</v>
      </c>
      <c r="D151" s="815"/>
      <c r="E151" s="815"/>
      <c r="F151" s="816"/>
      <c r="G151" s="817"/>
    </row>
    <row r="152" spans="2:7" ht="29.25" thickBot="1" x14ac:dyDescent="0.5">
      <c r="B152" s="691"/>
    </row>
    <row r="153" spans="2:7" ht="15.75" customHeight="1" thickBot="1" x14ac:dyDescent="0.3">
      <c r="B153" s="1689" t="s">
        <v>667</v>
      </c>
      <c r="C153" s="818" t="s">
        <v>668</v>
      </c>
    </row>
    <row r="154" spans="2:7" ht="15" customHeight="1" x14ac:dyDescent="0.25">
      <c r="B154" s="1689"/>
      <c r="C154" s="819" t="s">
        <v>669</v>
      </c>
    </row>
    <row r="155" spans="2:7" ht="15" customHeight="1" x14ac:dyDescent="0.25">
      <c r="B155" s="1689"/>
      <c r="C155" s="819" t="s">
        <v>670</v>
      </c>
    </row>
    <row r="156" spans="2:7" ht="15" customHeight="1" x14ac:dyDescent="0.25">
      <c r="B156" s="1689"/>
      <c r="C156" s="819" t="s">
        <v>670</v>
      </c>
    </row>
    <row r="157" spans="2:7" ht="15" customHeight="1" x14ac:dyDescent="0.25">
      <c r="B157" s="1689"/>
      <c r="C157" s="819" t="s">
        <v>670</v>
      </c>
    </row>
    <row r="158" spans="2:7" ht="15" customHeight="1" x14ac:dyDescent="0.25">
      <c r="B158" s="1689"/>
      <c r="C158" s="819" t="s">
        <v>670</v>
      </c>
    </row>
    <row r="159" spans="2:7" ht="15.75" customHeight="1" thickBot="1" x14ac:dyDescent="0.3">
      <c r="B159" s="1689"/>
      <c r="C159" s="820" t="s">
        <v>670</v>
      </c>
    </row>
    <row r="160" spans="2:7" ht="29.25" thickBot="1" x14ac:dyDescent="0.5">
      <c r="B160" s="691"/>
    </row>
    <row r="161" spans="2:6" ht="15.75" thickBot="1" x14ac:dyDescent="0.3">
      <c r="B161" s="1690" t="s">
        <v>671</v>
      </c>
      <c r="C161" s="821" t="s">
        <v>672</v>
      </c>
      <c r="D161" s="822" t="s">
        <v>673</v>
      </c>
      <c r="E161" s="822" t="s">
        <v>674</v>
      </c>
      <c r="F161" s="823" t="s">
        <v>675</v>
      </c>
    </row>
    <row r="162" spans="2:6" x14ac:dyDescent="0.25">
      <c r="B162" s="1691"/>
      <c r="C162" s="824" t="s">
        <v>630</v>
      </c>
      <c r="D162" s="825" t="s">
        <v>630</v>
      </c>
      <c r="E162" s="33" t="s">
        <v>161</v>
      </c>
      <c r="F162" s="826"/>
    </row>
    <row r="163" spans="2:6" ht="15" customHeight="1" x14ac:dyDescent="0.25">
      <c r="B163" s="1691"/>
      <c r="C163" s="827" t="s">
        <v>630</v>
      </c>
      <c r="D163" s="828" t="s">
        <v>630</v>
      </c>
      <c r="E163" s="28" t="s">
        <v>162</v>
      </c>
      <c r="F163" s="829"/>
    </row>
    <row r="164" spans="2:6" ht="15" customHeight="1" x14ac:dyDescent="0.25">
      <c r="B164" s="1691"/>
      <c r="C164" s="827" t="s">
        <v>630</v>
      </c>
      <c r="D164" s="828" t="s">
        <v>630</v>
      </c>
      <c r="E164" s="28"/>
      <c r="F164" s="829"/>
    </row>
    <row r="165" spans="2:6" ht="15" customHeight="1" x14ac:dyDescent="0.25">
      <c r="B165" s="1691"/>
      <c r="C165" s="827" t="s">
        <v>630</v>
      </c>
      <c r="D165" s="828" t="s">
        <v>630</v>
      </c>
      <c r="E165" s="28"/>
      <c r="F165" s="829"/>
    </row>
    <row r="166" spans="2:6" ht="15" customHeight="1" x14ac:dyDescent="0.25">
      <c r="B166" s="1691"/>
      <c r="C166" s="827" t="s">
        <v>630</v>
      </c>
      <c r="D166" s="828" t="s">
        <v>647</v>
      </c>
      <c r="E166" s="28"/>
      <c r="F166" s="829"/>
    </row>
    <row r="167" spans="2:6" ht="15" customHeight="1" x14ac:dyDescent="0.25">
      <c r="B167" s="1691"/>
      <c r="C167" s="827" t="s">
        <v>630</v>
      </c>
      <c r="D167" s="28"/>
      <c r="E167" s="28"/>
      <c r="F167" s="829"/>
    </row>
    <row r="168" spans="2:6" ht="15" customHeight="1" x14ac:dyDescent="0.25">
      <c r="B168" s="1691"/>
      <c r="C168" s="827" t="s">
        <v>630</v>
      </c>
      <c r="D168" s="28"/>
      <c r="E168" s="28"/>
      <c r="F168" s="829"/>
    </row>
    <row r="169" spans="2:6" ht="15" customHeight="1" x14ac:dyDescent="0.25">
      <c r="B169" s="1691"/>
      <c r="C169" s="827" t="s">
        <v>630</v>
      </c>
      <c r="D169" s="28"/>
      <c r="E169" s="28"/>
      <c r="F169" s="829"/>
    </row>
    <row r="170" spans="2:6" ht="15" customHeight="1" x14ac:dyDescent="0.25">
      <c r="B170" s="1691"/>
      <c r="C170" s="827" t="s">
        <v>630</v>
      </c>
      <c r="D170" s="28"/>
      <c r="E170" s="28"/>
      <c r="F170" s="829"/>
    </row>
    <row r="171" spans="2:6" ht="15" customHeight="1" x14ac:dyDescent="0.25">
      <c r="B171" s="1691"/>
      <c r="C171" s="827" t="s">
        <v>630</v>
      </c>
      <c r="D171" s="28"/>
      <c r="E171" s="28"/>
      <c r="F171" s="829"/>
    </row>
    <row r="172" spans="2:6" ht="15" customHeight="1" x14ac:dyDescent="0.25">
      <c r="B172" s="1691"/>
      <c r="C172" s="827" t="s">
        <v>630</v>
      </c>
      <c r="D172" s="28"/>
      <c r="E172" s="28"/>
      <c r="F172" s="829"/>
    </row>
    <row r="173" spans="2:6" ht="15" customHeight="1" x14ac:dyDescent="0.25">
      <c r="B173" s="1691"/>
      <c r="C173" s="827" t="s">
        <v>630</v>
      </c>
      <c r="D173" s="28"/>
      <c r="E173" s="28"/>
      <c r="F173" s="829"/>
    </row>
    <row r="174" spans="2:6" ht="15" customHeight="1" x14ac:dyDescent="0.25">
      <c r="B174" s="1691"/>
      <c r="C174" s="827" t="s">
        <v>647</v>
      </c>
      <c r="D174" s="28"/>
      <c r="E174" s="28"/>
      <c r="F174" s="829"/>
    </row>
    <row r="175" spans="2:6" ht="15.75" customHeight="1" thickBot="1" x14ac:dyDescent="0.3">
      <c r="B175" s="1691"/>
      <c r="C175" s="830" t="s">
        <v>647</v>
      </c>
      <c r="D175" s="31" t="s">
        <v>676</v>
      </c>
      <c r="E175" s="31"/>
      <c r="F175" s="831"/>
    </row>
    <row r="176" spans="2:6" ht="29.25" thickBot="1" x14ac:dyDescent="0.5">
      <c r="B176" s="691"/>
    </row>
    <row r="177" spans="2:23" ht="15.75" customHeight="1" thickBot="1" x14ac:dyDescent="0.3">
      <c r="B177" s="1692" t="s">
        <v>677</v>
      </c>
      <c r="C177" s="832" t="s">
        <v>678</v>
      </c>
      <c r="D177" s="833" t="s">
        <v>679</v>
      </c>
      <c r="E177" s="834" t="s">
        <v>680</v>
      </c>
    </row>
    <row r="178" spans="2:23" ht="15.75" customHeight="1" thickBot="1" x14ac:dyDescent="0.3">
      <c r="B178" s="1693"/>
      <c r="C178" s="835" t="s">
        <v>669</v>
      </c>
      <c r="D178" s="836" t="s">
        <v>681</v>
      </c>
      <c r="E178" s="837" t="s">
        <v>682</v>
      </c>
    </row>
    <row r="179" spans="2:23" ht="29.25" thickBot="1" x14ac:dyDescent="0.5">
      <c r="B179" s="691"/>
      <c r="C179" s="47"/>
      <c r="D179" s="51"/>
      <c r="E179" s="63"/>
    </row>
    <row r="180" spans="2:23" ht="15.75" customHeight="1" thickBot="1" x14ac:dyDescent="0.3">
      <c r="B180" s="1692" t="s">
        <v>683</v>
      </c>
      <c r="C180" s="838" t="s">
        <v>684</v>
      </c>
      <c r="D180" s="839" t="s">
        <v>685</v>
      </c>
      <c r="E180" s="840" t="s">
        <v>686</v>
      </c>
    </row>
    <row r="181" spans="2:23" ht="15" customHeight="1" x14ac:dyDescent="0.25">
      <c r="B181" s="1692"/>
      <c r="C181" s="841" t="s">
        <v>669</v>
      </c>
      <c r="D181" s="842" t="s">
        <v>669</v>
      </c>
      <c r="E181" s="843" t="s">
        <v>687</v>
      </c>
    </row>
    <row r="182" spans="2:23" ht="26.25" customHeight="1" x14ac:dyDescent="0.25">
      <c r="B182" s="1692"/>
      <c r="C182" s="844" t="s">
        <v>670</v>
      </c>
      <c r="D182" s="845" t="s">
        <v>670</v>
      </c>
      <c r="E182" s="846"/>
    </row>
    <row r="183" spans="2:23" ht="26.25" customHeight="1" x14ac:dyDescent="0.25">
      <c r="B183" s="1692"/>
      <c r="C183" s="844" t="s">
        <v>670</v>
      </c>
      <c r="D183" s="845" t="s">
        <v>670</v>
      </c>
      <c r="E183" s="846"/>
    </row>
    <row r="184" spans="2:23" ht="26.25" customHeight="1" x14ac:dyDescent="0.25">
      <c r="B184" s="1692"/>
      <c r="C184" s="844" t="s">
        <v>670</v>
      </c>
      <c r="D184" s="845" t="s">
        <v>670</v>
      </c>
      <c r="E184" s="846"/>
    </row>
    <row r="185" spans="2:23" ht="27" customHeight="1" thickBot="1" x14ac:dyDescent="0.3">
      <c r="B185" s="1692"/>
      <c r="C185" s="847" t="s">
        <v>670</v>
      </c>
      <c r="D185" s="848"/>
      <c r="E185" s="849"/>
    </row>
    <row r="186" spans="2:23" ht="28.5" x14ac:dyDescent="0.45">
      <c r="B186" s="691"/>
    </row>
    <row r="187" spans="2:23" ht="28.5" x14ac:dyDescent="0.45">
      <c r="B187" s="691"/>
    </row>
    <row r="188" spans="2:23" ht="31.5" x14ac:dyDescent="0.5">
      <c r="B188" s="755" t="s">
        <v>688</v>
      </c>
      <c r="C188" s="756"/>
      <c r="D188" s="756"/>
      <c r="E188" s="756"/>
      <c r="F188" s="756"/>
      <c r="G188" s="756"/>
      <c r="H188" s="756"/>
      <c r="I188" s="756"/>
      <c r="J188" s="756"/>
      <c r="K188" s="756"/>
      <c r="L188" s="756"/>
      <c r="M188" s="756"/>
      <c r="N188" s="756"/>
      <c r="O188" s="756"/>
    </row>
    <row r="189" spans="2:23" ht="15.75" thickBot="1" x14ac:dyDescent="0.3"/>
    <row r="190" spans="2:23" ht="15.75" thickBot="1" x14ac:dyDescent="0.3">
      <c r="B190" s="850" t="s">
        <v>689</v>
      </c>
      <c r="C190" s="45"/>
      <c r="D190" s="45"/>
      <c r="E190" s="45"/>
      <c r="F190" s="46"/>
      <c r="R190" s="51"/>
      <c r="S190" s="51"/>
      <c r="T190" s="51"/>
      <c r="U190" s="51"/>
      <c r="V190" s="51"/>
      <c r="W190" s="51"/>
    </row>
    <row r="191" spans="2:23" ht="15.75" thickBot="1" x14ac:dyDescent="0.3">
      <c r="D191" s="851"/>
      <c r="E191" s="852"/>
      <c r="F191" s="51"/>
      <c r="Q191" s="51"/>
      <c r="R191" s="51"/>
      <c r="S191" s="51"/>
      <c r="T191" s="51"/>
      <c r="U191" s="51"/>
      <c r="V191" s="51"/>
      <c r="W191" s="51"/>
    </row>
    <row r="192" spans="2:23" ht="30.75" customHeight="1" thickBot="1" x14ac:dyDescent="0.3">
      <c r="B192" s="1685" t="s">
        <v>690</v>
      </c>
      <c r="C192" s="853" t="s">
        <v>691</v>
      </c>
      <c r="D192" s="854" t="s">
        <v>692</v>
      </c>
      <c r="E192" s="854" t="s">
        <v>693</v>
      </c>
      <c r="F192" s="855" t="s">
        <v>694</v>
      </c>
      <c r="G192" s="49"/>
      <c r="Q192" s="51"/>
      <c r="R192" s="51"/>
      <c r="S192" s="51"/>
      <c r="T192" s="51"/>
      <c r="U192" s="51"/>
      <c r="V192" s="51"/>
      <c r="W192" s="51"/>
    </row>
    <row r="193" spans="2:23" ht="45.75" customHeight="1" thickBot="1" x14ac:dyDescent="0.3">
      <c r="B193" s="1685"/>
      <c r="C193" s="856" t="s">
        <v>695</v>
      </c>
      <c r="D193" s="857" t="s">
        <v>696</v>
      </c>
      <c r="E193" s="858" t="s">
        <v>697</v>
      </c>
      <c r="F193" s="859" t="s">
        <v>698</v>
      </c>
      <c r="G193" s="51"/>
      <c r="Q193" s="51"/>
      <c r="R193" s="51"/>
      <c r="S193" s="51"/>
      <c r="T193" s="51"/>
      <c r="U193" s="51"/>
      <c r="V193" s="51"/>
      <c r="W193" s="51"/>
    </row>
    <row r="194" spans="2:23" x14ac:dyDescent="0.25">
      <c r="C194" s="51"/>
      <c r="D194" s="51"/>
      <c r="E194" s="619"/>
      <c r="F194" s="51"/>
      <c r="G194" s="51"/>
      <c r="Q194" s="51"/>
      <c r="R194" s="51"/>
      <c r="S194" s="51"/>
      <c r="T194" s="51"/>
      <c r="U194" s="51"/>
      <c r="V194" s="51"/>
      <c r="W194" s="51"/>
    </row>
    <row r="195" spans="2:23" ht="15.75" thickBot="1" x14ac:dyDescent="0.3">
      <c r="G195" s="51"/>
      <c r="Q195" s="51"/>
      <c r="R195" s="51"/>
      <c r="S195" s="51"/>
      <c r="T195" s="51"/>
      <c r="U195" s="51"/>
      <c r="V195" s="51"/>
      <c r="W195" s="51"/>
    </row>
    <row r="196" spans="2:23" ht="30" customHeight="1" thickBot="1" x14ac:dyDescent="0.3">
      <c r="B196" s="1685" t="s">
        <v>699</v>
      </c>
      <c r="C196" s="860" t="s">
        <v>700</v>
      </c>
      <c r="D196" s="861" t="s">
        <v>701</v>
      </c>
      <c r="E196" s="862" t="s">
        <v>702</v>
      </c>
      <c r="G196" s="51"/>
      <c r="Q196" s="51"/>
      <c r="R196" s="51"/>
      <c r="S196" s="51"/>
      <c r="T196" s="51"/>
      <c r="U196" s="51"/>
      <c r="V196" s="51"/>
      <c r="W196" s="51"/>
    </row>
    <row r="197" spans="2:23" ht="51.75" thickBot="1" x14ac:dyDescent="0.3">
      <c r="B197" s="1685"/>
      <c r="C197" s="52" t="s">
        <v>703</v>
      </c>
      <c r="D197" s="53" t="s">
        <v>704</v>
      </c>
      <c r="E197" s="863" t="str">
        <f ca="1">dms_060701_StartDateTxt</f>
        <v>1-Jul-2019</v>
      </c>
      <c r="Q197" s="51"/>
      <c r="R197" s="51"/>
      <c r="S197" s="51"/>
      <c r="T197" s="51"/>
      <c r="U197" s="51"/>
      <c r="V197" s="51"/>
      <c r="W197" s="51"/>
    </row>
    <row r="198" spans="2:23" x14ac:dyDescent="0.25">
      <c r="C198" s="51"/>
      <c r="D198" s="51"/>
      <c r="E198" s="619"/>
      <c r="G198" s="51"/>
      <c r="Q198" s="51"/>
      <c r="R198" s="51"/>
      <c r="S198" s="51"/>
      <c r="T198" s="51"/>
      <c r="U198" s="51"/>
      <c r="V198" s="51"/>
      <c r="W198" s="51"/>
    </row>
    <row r="199" spans="2:23" ht="15.75" thickBot="1" x14ac:dyDescent="0.3">
      <c r="C199" s="51"/>
      <c r="P199" s="51"/>
      <c r="Q199" s="51"/>
      <c r="R199" s="51"/>
      <c r="S199" s="51"/>
      <c r="T199" s="51"/>
      <c r="U199" s="51"/>
      <c r="V199" s="51"/>
      <c r="W199" s="51"/>
    </row>
    <row r="200" spans="2:23" ht="22.5" customHeight="1" thickBot="1" x14ac:dyDescent="0.3">
      <c r="B200" s="1685" t="s">
        <v>705</v>
      </c>
      <c r="C200" s="864" t="s">
        <v>706</v>
      </c>
      <c r="D200" s="865" t="s">
        <v>707</v>
      </c>
      <c r="E200" s="865" t="s">
        <v>708</v>
      </c>
      <c r="F200" s="866" t="s">
        <v>709</v>
      </c>
      <c r="Q200" s="51"/>
      <c r="R200" s="51"/>
      <c r="S200" s="51"/>
      <c r="T200" s="51"/>
      <c r="U200" s="51"/>
      <c r="V200" s="51"/>
      <c r="W200" s="51"/>
    </row>
    <row r="201" spans="2:23" ht="22.5" customHeight="1" thickBot="1" x14ac:dyDescent="0.3">
      <c r="B201" s="1685"/>
      <c r="C201" s="52" t="s">
        <v>710</v>
      </c>
      <c r="D201" s="53" t="s">
        <v>711</v>
      </c>
      <c r="E201" s="867" t="s">
        <v>712</v>
      </c>
      <c r="F201" s="66" t="s">
        <v>713</v>
      </c>
      <c r="Q201" s="51"/>
      <c r="R201" s="51"/>
      <c r="S201" s="51"/>
      <c r="T201" s="51"/>
      <c r="U201" s="51"/>
      <c r="V201" s="51"/>
      <c r="W201" s="51"/>
    </row>
    <row r="202" spans="2:23" x14ac:dyDescent="0.25">
      <c r="B202" s="51"/>
      <c r="C202" s="51"/>
      <c r="D202" s="51"/>
      <c r="E202" s="619"/>
      <c r="F202" s="51"/>
      <c r="Q202" s="51"/>
      <c r="R202" s="51"/>
      <c r="S202" s="51"/>
      <c r="T202" s="51"/>
      <c r="U202" s="51"/>
      <c r="V202" s="51"/>
      <c r="W202" s="51"/>
    </row>
    <row r="203" spans="2:23" ht="15.75" thickBot="1" x14ac:dyDescent="0.3">
      <c r="C203" s="51"/>
      <c r="Q203" s="51"/>
      <c r="R203" s="51"/>
      <c r="S203" s="51"/>
      <c r="T203" s="51"/>
      <c r="U203" s="51"/>
      <c r="V203" s="51"/>
      <c r="W203" s="51"/>
    </row>
    <row r="204" spans="2:23" ht="36" customHeight="1" thickBot="1" x14ac:dyDescent="0.3">
      <c r="B204" s="1253" t="s">
        <v>714</v>
      </c>
      <c r="C204" s="868" t="s">
        <v>715</v>
      </c>
      <c r="D204" s="67" t="s">
        <v>716</v>
      </c>
      <c r="E204" s="68" t="s">
        <v>717</v>
      </c>
      <c r="Q204" s="51"/>
      <c r="R204" s="51"/>
      <c r="S204" s="51"/>
      <c r="T204" s="51"/>
      <c r="U204" s="51"/>
      <c r="V204" s="51"/>
      <c r="W204" s="51"/>
    </row>
    <row r="206" spans="2:23" x14ac:dyDescent="0.25">
      <c r="C206" s="51"/>
      <c r="P206" s="51"/>
      <c r="Q206" s="51"/>
      <c r="R206" s="51"/>
      <c r="S206" s="51"/>
      <c r="T206" s="51"/>
      <c r="U206" s="51"/>
      <c r="V206" s="51"/>
      <c r="W206" s="51"/>
    </row>
    <row r="207" spans="2:23" s="51" customFormat="1" ht="21.75" customHeight="1" x14ac:dyDescent="0.25">
      <c r="B207" s="869" t="s">
        <v>718</v>
      </c>
      <c r="C207" s="870"/>
      <c r="D207" s="870"/>
      <c r="E207" s="870"/>
      <c r="F207" s="870"/>
      <c r="G207" s="870"/>
      <c r="H207" s="870"/>
      <c r="I207" s="870"/>
      <c r="J207" s="870"/>
      <c r="K207" s="870"/>
      <c r="L207" s="870"/>
      <c r="M207" s="870"/>
      <c r="N207" s="870"/>
      <c r="O207" s="870"/>
    </row>
    <row r="208" spans="2:23" ht="15.75" thickBot="1" x14ac:dyDescent="0.3">
      <c r="B208" s="56"/>
      <c r="C208" s="51"/>
      <c r="F208" s="75"/>
      <c r="K208" s="76"/>
      <c r="P208" s="51"/>
      <c r="Q208" s="51"/>
      <c r="R208" s="51"/>
      <c r="S208" s="51"/>
      <c r="T208" s="51"/>
      <c r="U208" s="51"/>
      <c r="V208" s="51"/>
      <c r="W208" s="51"/>
    </row>
    <row r="209" spans="2:23" ht="15" customHeight="1" thickBot="1" x14ac:dyDescent="0.3">
      <c r="B209" s="1685" t="s">
        <v>719</v>
      </c>
      <c r="C209" s="871" t="s">
        <v>720</v>
      </c>
      <c r="D209" s="872" t="str">
        <f>INDEX(dms_FeederName_1,MATCH(dms_TradingName,dms_TradingName_List))</f>
        <v>CBD</v>
      </c>
      <c r="E209" s="57" t="str">
        <f>INDEX(dms_FeederName_1,MATCH(dms_TradingName,dms_TradingName_List))</f>
        <v>CBD</v>
      </c>
      <c r="F209" s="873" t="str">
        <f>INDEX(dms_FeederName_2,MATCH(dms_TradingName,dms_TradingName_List))</f>
        <v>Urban</v>
      </c>
      <c r="G209" s="58" t="str">
        <f>INDEX(dms_FeederName_2,MATCH(dms_TradingName,dms_TradingName_List))</f>
        <v>Urban</v>
      </c>
      <c r="H209" s="57" t="str">
        <f>INDEX(dms_FeederName_3,MATCH(dms_TradingName,dms_TradingName_List))</f>
        <v>Short rural</v>
      </c>
      <c r="I209" s="57" t="str">
        <f>INDEX(dms_FeederName_3,MATCH(dms_TradingName,dms_TradingName_List))</f>
        <v>Short rural</v>
      </c>
      <c r="J209" s="58" t="str">
        <f>INDEX(dms_FeederName_4,MATCH(dms_TradingName,dms_TradingName_List))</f>
        <v>Long rural</v>
      </c>
      <c r="K209" s="58" t="str">
        <f>INDEX(dms_FeederName_4,MATCH(dms_TradingName,dms_TradingName_List))</f>
        <v>Long rural</v>
      </c>
      <c r="L209" s="57" t="str">
        <f>IF((INDEX(dms_FeederName_5,MATCH(dms_TradingName,dms_TradingName_List))=0),"Network",(INDEX(dms_FeederName_5,MATCH(dms_TradingName,dms_TradingName_List))))</f>
        <v>Network</v>
      </c>
      <c r="M209" s="57" t="str">
        <f>IF((INDEX(dms_FeederName_5,MATCH(dms_TradingName,dms_TradingName_List))=0),"Network",(INDEX(dms_FeederName_5,MATCH(dms_TradingName,dms_TradingName_List))))</f>
        <v>Network</v>
      </c>
      <c r="N209" s="57" t="s">
        <v>721</v>
      </c>
      <c r="O209" s="57" t="s">
        <v>721</v>
      </c>
      <c r="P209" s="51"/>
      <c r="Q209" s="51"/>
      <c r="R209" s="51"/>
      <c r="S209" s="51"/>
      <c r="T209" s="51"/>
      <c r="U209" s="51"/>
      <c r="V209" s="51"/>
      <c r="W209" s="51"/>
    </row>
    <row r="210" spans="2:23" ht="15.75" thickBot="1" x14ac:dyDescent="0.3">
      <c r="B210" s="1685"/>
      <c r="C210" s="874"/>
      <c r="D210" s="59"/>
      <c r="F210" s="75"/>
      <c r="N210" s="48"/>
      <c r="P210" s="51"/>
      <c r="Q210" s="51"/>
      <c r="R210" s="51"/>
      <c r="S210" s="51"/>
      <c r="T210" s="51"/>
      <c r="U210" s="51"/>
      <c r="V210" s="51"/>
      <c r="W210" s="51"/>
    </row>
    <row r="211" spans="2:23" ht="26.25" thickBot="1" x14ac:dyDescent="0.3">
      <c r="B211" s="1685"/>
      <c r="C211" s="871" t="s">
        <v>722</v>
      </c>
      <c r="D211" s="875" t="s">
        <v>723</v>
      </c>
      <c r="E211" s="60" t="s">
        <v>724</v>
      </c>
      <c r="F211" s="876" t="s">
        <v>723</v>
      </c>
      <c r="G211" s="60" t="s">
        <v>724</v>
      </c>
      <c r="H211" s="60" t="s">
        <v>723</v>
      </c>
      <c r="I211" s="60" t="s">
        <v>724</v>
      </c>
      <c r="J211" s="60" t="s">
        <v>723</v>
      </c>
      <c r="K211" s="60" t="s">
        <v>724</v>
      </c>
      <c r="L211" s="60" t="s">
        <v>723</v>
      </c>
      <c r="M211" s="61" t="s">
        <v>724</v>
      </c>
      <c r="N211" s="60" t="s">
        <v>723</v>
      </c>
      <c r="O211" s="61" t="s">
        <v>724</v>
      </c>
      <c r="P211" s="51"/>
      <c r="Q211" s="51"/>
      <c r="R211" s="51"/>
      <c r="S211" s="51"/>
      <c r="T211" s="51"/>
      <c r="U211" s="51"/>
      <c r="V211" s="51"/>
      <c r="W211" s="51"/>
    </row>
    <row r="212" spans="2:23" x14ac:dyDescent="0.25">
      <c r="B212" s="1685"/>
      <c r="C212" s="51"/>
      <c r="D212" s="62" t="s">
        <v>725</v>
      </c>
      <c r="F212" s="75"/>
      <c r="P212" s="51"/>
      <c r="Q212" s="51"/>
      <c r="R212" s="51"/>
      <c r="S212" s="51"/>
      <c r="T212" s="51"/>
      <c r="U212" s="51"/>
      <c r="V212" s="51"/>
      <c r="W212" s="51"/>
    </row>
    <row r="213" spans="2:23" ht="15.75" thickBot="1" x14ac:dyDescent="0.3">
      <c r="B213" s="1685"/>
      <c r="C213" s="51"/>
      <c r="F213" s="75"/>
      <c r="P213" s="51"/>
      <c r="Q213" s="51"/>
      <c r="R213" s="51"/>
      <c r="S213" s="51"/>
      <c r="T213" s="51"/>
      <c r="U213" s="51"/>
      <c r="V213" s="51"/>
      <c r="W213" s="51"/>
    </row>
    <row r="214" spans="2:23" ht="15.75" thickBot="1" x14ac:dyDescent="0.3">
      <c r="B214" s="1685"/>
      <c r="C214" s="871" t="s">
        <v>726</v>
      </c>
      <c r="D214" s="877" t="str">
        <f>INDEX(dms_FeederName_1,MATCH(dms_TradingName,dms_TradingName_List))</f>
        <v>CBD</v>
      </c>
      <c r="E214" s="54" t="str">
        <f>INDEX(dms_FeederName_2,MATCH(dms_TradingName,dms_TradingName_List))</f>
        <v>Urban</v>
      </c>
      <c r="F214" s="54" t="str">
        <f>INDEX(dms_FeederName_3,MATCH(dms_TradingName,dms_TradingName_List))</f>
        <v>Short rural</v>
      </c>
      <c r="G214" s="54" t="str">
        <f>INDEX(dms_FeederName_4,MATCH(dms_TradingName,dms_TradingName_List))</f>
        <v>Long rural</v>
      </c>
      <c r="H214" s="55"/>
      <c r="Q214" s="51"/>
      <c r="R214" s="51"/>
      <c r="S214" s="51"/>
      <c r="T214" s="51"/>
      <c r="U214" s="51"/>
      <c r="V214" s="51"/>
      <c r="W214" s="51"/>
    </row>
    <row r="215" spans="2:23" x14ac:dyDescent="0.25">
      <c r="B215" s="51"/>
      <c r="C215" s="42"/>
      <c r="D215" s="64"/>
      <c r="E215" s="75"/>
      <c r="I215" s="65"/>
      <c r="J215" s="64"/>
      <c r="Q215" s="51"/>
      <c r="R215" s="51"/>
      <c r="S215" s="51"/>
      <c r="T215" s="51"/>
      <c r="U215" s="51"/>
      <c r="V215" s="51"/>
      <c r="W215" s="51"/>
    </row>
    <row r="216" spans="2:23" x14ac:dyDescent="0.25">
      <c r="E216" s="75"/>
      <c r="Q216" s="51"/>
      <c r="R216" s="51"/>
      <c r="S216" s="51"/>
      <c r="T216" s="51"/>
      <c r="U216" s="51"/>
      <c r="V216" s="51"/>
      <c r="W216" s="51"/>
    </row>
    <row r="217" spans="2:23" ht="29.25" customHeight="1" x14ac:dyDescent="0.25">
      <c r="B217" s="869" t="s">
        <v>727</v>
      </c>
      <c r="C217" s="869" t="s">
        <v>727</v>
      </c>
      <c r="D217" s="869"/>
      <c r="E217" s="869"/>
      <c r="F217" s="869"/>
      <c r="G217" s="869"/>
      <c r="H217" s="869"/>
      <c r="I217" s="869"/>
      <c r="J217" s="869"/>
      <c r="K217" s="869"/>
      <c r="L217" s="869"/>
      <c r="M217" s="869"/>
      <c r="Q217" s="51"/>
      <c r="R217" s="51"/>
      <c r="S217" s="51"/>
      <c r="T217" s="51"/>
      <c r="U217" s="51"/>
      <c r="V217" s="51"/>
      <c r="W217" s="51"/>
    </row>
    <row r="218" spans="2:23" ht="15.75" customHeight="1" x14ac:dyDescent="0.25">
      <c r="B218" s="878"/>
      <c r="E218" s="75"/>
      <c r="Q218" s="51"/>
      <c r="R218" s="51"/>
      <c r="S218" s="51"/>
      <c r="T218" s="51"/>
      <c r="U218" s="51"/>
      <c r="V218" s="51"/>
      <c r="W218" s="51"/>
    </row>
    <row r="219" spans="2:23" x14ac:dyDescent="0.25">
      <c r="B219" s="878"/>
      <c r="E219" s="75"/>
      <c r="Q219" s="51"/>
      <c r="R219" s="51"/>
      <c r="S219" s="51"/>
      <c r="T219" s="51"/>
      <c r="U219" s="51"/>
      <c r="V219" s="51"/>
      <c r="W219" s="51"/>
    </row>
    <row r="220" spans="2:23" x14ac:dyDescent="0.25">
      <c r="B220" s="879" t="s">
        <v>728</v>
      </c>
      <c r="C220" t="s">
        <v>729</v>
      </c>
      <c r="D220" t="s">
        <v>730</v>
      </c>
      <c r="E220" s="75" t="s">
        <v>731</v>
      </c>
      <c r="Q220" s="51"/>
      <c r="R220" s="51"/>
      <c r="S220" s="51"/>
      <c r="T220" s="51"/>
      <c r="U220" s="51"/>
      <c r="V220" s="51"/>
      <c r="W220" s="51"/>
    </row>
    <row r="221" spans="2:23" x14ac:dyDescent="0.25">
      <c r="B221" s="880"/>
      <c r="C221" t="s">
        <v>732</v>
      </c>
      <c r="E221" s="75"/>
      <c r="Q221" s="51"/>
      <c r="R221" s="51"/>
      <c r="S221" s="51"/>
      <c r="T221" s="51"/>
      <c r="U221" s="51"/>
      <c r="V221" s="51"/>
      <c r="W221" s="51"/>
    </row>
    <row r="222" spans="2:23" x14ac:dyDescent="0.25">
      <c r="B222" s="878"/>
      <c r="E222" s="75"/>
      <c r="Q222" s="51"/>
      <c r="R222" s="51"/>
      <c r="S222" s="51"/>
      <c r="T222" s="51"/>
      <c r="U222" s="51"/>
      <c r="V222" s="51"/>
      <c r="W222" s="51"/>
    </row>
    <row r="223" spans="2:23" x14ac:dyDescent="0.25">
      <c r="B223" s="878"/>
      <c r="D223" s="69"/>
      <c r="E223" s="881"/>
      <c r="F223" s="69"/>
      <c r="G223" s="69"/>
      <c r="H223" s="69"/>
      <c r="I223" s="69"/>
      <c r="J223" s="69"/>
      <c r="K223" s="69"/>
      <c r="L223" s="69"/>
      <c r="M223" s="70"/>
      <c r="Q223" s="51"/>
      <c r="R223" s="51"/>
      <c r="S223" s="51"/>
      <c r="T223" s="51"/>
      <c r="U223" s="51"/>
      <c r="V223" s="51"/>
      <c r="W223" s="51"/>
    </row>
    <row r="224" spans="2:23" x14ac:dyDescent="0.25">
      <c r="B224" s="882" t="s">
        <v>733</v>
      </c>
      <c r="C224" s="69" t="s">
        <v>734</v>
      </c>
      <c r="D224" s="69" t="s">
        <v>735</v>
      </c>
      <c r="E224" s="881" t="s">
        <v>736</v>
      </c>
      <c r="F224" s="69" t="s">
        <v>737</v>
      </c>
      <c r="G224" s="69" t="s">
        <v>738</v>
      </c>
      <c r="H224" s="69" t="s">
        <v>739</v>
      </c>
      <c r="I224" s="69" t="s">
        <v>740</v>
      </c>
      <c r="J224" s="69" t="s">
        <v>741</v>
      </c>
      <c r="K224" s="69" t="s">
        <v>742</v>
      </c>
      <c r="L224" s="69" t="s">
        <v>743</v>
      </c>
      <c r="M224" s="70"/>
      <c r="Q224" s="51"/>
      <c r="R224" s="51"/>
      <c r="S224" s="51"/>
      <c r="T224" s="51"/>
      <c r="U224" s="51"/>
      <c r="V224" s="51"/>
      <c r="W224" s="51"/>
    </row>
    <row r="225" spans="2:23" x14ac:dyDescent="0.25">
      <c r="B225" s="880"/>
      <c r="C225" t="s">
        <v>744</v>
      </c>
      <c r="E225" s="75"/>
      <c r="Q225" s="51"/>
      <c r="R225" s="51"/>
      <c r="S225" s="51"/>
      <c r="T225" s="51"/>
      <c r="U225" s="51"/>
      <c r="V225" s="51"/>
      <c r="W225" s="51"/>
    </row>
    <row r="226" spans="2:23" x14ac:dyDescent="0.25">
      <c r="B226" s="878"/>
      <c r="C226" s="77"/>
      <c r="E226" s="75"/>
      <c r="H226" s="77"/>
      <c r="I226" s="12"/>
      <c r="J226" s="77"/>
      <c r="K226" s="77"/>
      <c r="L226" s="13"/>
      <c r="Q226" s="51"/>
      <c r="R226" s="51"/>
      <c r="S226" s="51"/>
      <c r="T226" s="51"/>
      <c r="U226" s="51"/>
      <c r="V226" s="51"/>
      <c r="W226" s="51"/>
    </row>
    <row r="227" spans="2:23" x14ac:dyDescent="0.25">
      <c r="B227" s="883"/>
      <c r="E227" s="75"/>
      <c r="Q227" s="51"/>
      <c r="R227" s="51"/>
      <c r="S227" s="51"/>
      <c r="T227" s="51"/>
      <c r="U227" s="51"/>
      <c r="V227" s="51"/>
      <c r="W227" s="51"/>
    </row>
    <row r="228" spans="2:23" x14ac:dyDescent="0.25">
      <c r="B228" s="882" t="s">
        <v>745</v>
      </c>
      <c r="C228" t="s">
        <v>746</v>
      </c>
      <c r="D228" t="s">
        <v>747</v>
      </c>
      <c r="E228" s="75" t="s">
        <v>748</v>
      </c>
      <c r="F228" t="s">
        <v>749</v>
      </c>
      <c r="G228" t="s">
        <v>750</v>
      </c>
      <c r="H228" t="s">
        <v>751</v>
      </c>
      <c r="I228" t="s">
        <v>752</v>
      </c>
      <c r="J228" t="s">
        <v>753</v>
      </c>
      <c r="K228" t="s">
        <v>754</v>
      </c>
      <c r="L228" t="s">
        <v>755</v>
      </c>
      <c r="M228" t="s">
        <v>756</v>
      </c>
      <c r="Q228" s="51"/>
      <c r="R228" s="51"/>
      <c r="S228" s="51"/>
      <c r="T228" s="51"/>
      <c r="U228" s="51"/>
      <c r="V228" s="51"/>
      <c r="W228" s="51"/>
    </row>
    <row r="229" spans="2:23" x14ac:dyDescent="0.25">
      <c r="B229" s="51"/>
      <c r="E229" s="75"/>
      <c r="Q229" s="51"/>
      <c r="R229" s="51"/>
      <c r="S229" s="51"/>
      <c r="T229" s="51"/>
      <c r="U229" s="51"/>
      <c r="V229" s="51"/>
      <c r="W229" s="51"/>
    </row>
    <row r="230" spans="2:23" x14ac:dyDescent="0.25">
      <c r="Q230" s="51"/>
      <c r="R230" s="51"/>
      <c r="S230" s="51"/>
      <c r="T230" s="51"/>
      <c r="U230" s="51"/>
      <c r="V230" s="51"/>
      <c r="W230" s="51"/>
    </row>
    <row r="231" spans="2:23" x14ac:dyDescent="0.25">
      <c r="Q231" s="51"/>
      <c r="R231" s="51"/>
      <c r="S231" s="51"/>
      <c r="T231" s="51"/>
      <c r="U231" s="51"/>
      <c r="V231" s="51"/>
      <c r="W231" s="51"/>
    </row>
    <row r="232" spans="2:23" x14ac:dyDescent="0.25">
      <c r="B232" s="882" t="s">
        <v>757</v>
      </c>
      <c r="C232" t="s">
        <v>758</v>
      </c>
      <c r="D232" t="s">
        <v>759</v>
      </c>
      <c r="E232" s="884" t="s">
        <v>760</v>
      </c>
      <c r="F232" s="12" t="s">
        <v>761</v>
      </c>
      <c r="G232" s="77" t="s">
        <v>762</v>
      </c>
      <c r="H232" s="77" t="s">
        <v>763</v>
      </c>
      <c r="I232" s="13" t="s">
        <v>764</v>
      </c>
      <c r="L232" s="51"/>
      <c r="M232" s="51"/>
      <c r="N232" s="51"/>
      <c r="Q232" s="51"/>
      <c r="R232" s="51"/>
      <c r="S232" s="51"/>
      <c r="T232" s="51"/>
      <c r="U232" s="51"/>
      <c r="V232" s="51"/>
      <c r="W232" s="51"/>
    </row>
    <row r="233" spans="2:23" x14ac:dyDescent="0.25">
      <c r="B233" s="77"/>
      <c r="C233" s="77"/>
      <c r="E233" s="75"/>
      <c r="H233" s="77"/>
      <c r="I233" s="12"/>
      <c r="J233" s="77"/>
      <c r="K233" s="77"/>
      <c r="L233" s="13"/>
      <c r="Q233" s="51"/>
      <c r="R233" s="51"/>
      <c r="S233" s="51"/>
      <c r="T233" s="51"/>
      <c r="U233" s="51"/>
      <c r="V233" s="51"/>
      <c r="W233" s="51"/>
    </row>
    <row r="234" spans="2:23" x14ac:dyDescent="0.25">
      <c r="B234" s="77"/>
      <c r="C234" s="77"/>
      <c r="E234" s="75"/>
      <c r="H234" s="77"/>
      <c r="I234" s="12"/>
      <c r="J234" s="77"/>
      <c r="K234" s="77"/>
      <c r="L234" s="13"/>
      <c r="O234" s="51"/>
      <c r="P234" s="51"/>
      <c r="Q234" s="51"/>
      <c r="R234" s="51"/>
      <c r="S234" s="51"/>
      <c r="T234" s="51"/>
      <c r="U234" s="51"/>
      <c r="V234" s="51"/>
      <c r="W234" s="51"/>
    </row>
    <row r="235" spans="2:23" x14ac:dyDescent="0.25">
      <c r="B235" s="77"/>
      <c r="C235" s="77"/>
      <c r="E235" s="75"/>
      <c r="H235" s="77"/>
      <c r="I235" s="12"/>
      <c r="J235" s="77"/>
      <c r="K235" s="77"/>
      <c r="L235" s="13"/>
      <c r="O235" s="51"/>
      <c r="P235" s="51"/>
      <c r="Q235" s="51"/>
      <c r="R235" s="51"/>
      <c r="S235" s="51"/>
      <c r="T235" s="51"/>
      <c r="U235" s="51"/>
      <c r="V235" s="51"/>
      <c r="W235" s="51"/>
    </row>
    <row r="236" spans="2:23" x14ac:dyDescent="0.25">
      <c r="B236" s="77"/>
      <c r="C236" s="77"/>
      <c r="E236" s="75"/>
      <c r="H236" s="77"/>
      <c r="I236" s="12"/>
      <c r="J236" s="77"/>
      <c r="K236" s="77"/>
      <c r="L236" s="13"/>
      <c r="O236" s="51"/>
      <c r="P236" s="51"/>
      <c r="Q236" s="51"/>
      <c r="R236" s="51"/>
      <c r="S236" s="51"/>
      <c r="T236" s="51"/>
      <c r="U236" s="51"/>
      <c r="V236" s="51"/>
      <c r="W236" s="51"/>
    </row>
    <row r="237" spans="2:23" x14ac:dyDescent="0.25">
      <c r="B237" s="77"/>
      <c r="C237" s="77"/>
      <c r="E237" s="75"/>
      <c r="H237" s="77"/>
      <c r="I237" s="12"/>
      <c r="J237" s="77"/>
      <c r="K237" s="77"/>
      <c r="L237" s="13"/>
      <c r="O237" s="51"/>
      <c r="P237" s="51"/>
      <c r="Q237" s="51"/>
      <c r="R237" s="51"/>
      <c r="S237" s="51"/>
      <c r="T237" s="51"/>
      <c r="U237" s="51"/>
      <c r="V237" s="51"/>
      <c r="W237" s="51"/>
    </row>
    <row r="238" spans="2:23" x14ac:dyDescent="0.25">
      <c r="B238" s="77"/>
      <c r="C238" s="77"/>
      <c r="E238" s="75"/>
      <c r="H238" s="77"/>
      <c r="I238" s="12"/>
      <c r="J238" s="77"/>
      <c r="K238" s="77"/>
      <c r="L238" s="13"/>
      <c r="O238" s="51"/>
      <c r="P238" s="51"/>
      <c r="Q238" s="51"/>
      <c r="R238" s="51"/>
      <c r="S238" s="51"/>
      <c r="T238" s="51"/>
      <c r="U238" s="51"/>
      <c r="V238" s="51"/>
      <c r="W238" s="51"/>
    </row>
    <row r="239" spans="2:23" x14ac:dyDescent="0.25">
      <c r="B239" s="77"/>
      <c r="C239" s="77"/>
      <c r="E239" s="75"/>
      <c r="H239" s="77"/>
      <c r="I239" s="12"/>
      <c r="J239" s="77"/>
      <c r="K239" s="77"/>
      <c r="L239" s="13"/>
      <c r="O239" s="51"/>
      <c r="P239" s="51"/>
      <c r="Q239" s="51"/>
      <c r="R239" s="51"/>
      <c r="S239" s="51"/>
      <c r="T239" s="51"/>
      <c r="U239" s="51"/>
      <c r="V239" s="51"/>
      <c r="W239" s="51"/>
    </row>
  </sheetData>
  <mergeCells count="25">
    <mergeCell ref="B196:B197"/>
    <mergeCell ref="B200:B201"/>
    <mergeCell ref="B209:B214"/>
    <mergeCell ref="B136:B151"/>
    <mergeCell ref="B153:B159"/>
    <mergeCell ref="B161:B175"/>
    <mergeCell ref="B177:B178"/>
    <mergeCell ref="B180:B185"/>
    <mergeCell ref="B192:B193"/>
    <mergeCell ref="B66:B79"/>
    <mergeCell ref="B85:B98"/>
    <mergeCell ref="B101:B108"/>
    <mergeCell ref="B111:B116"/>
    <mergeCell ref="B119:B133"/>
    <mergeCell ref="B5:B29"/>
    <mergeCell ref="B33:B56"/>
    <mergeCell ref="K34:K36"/>
    <mergeCell ref="AK34:BF34"/>
    <mergeCell ref="BP34:CK34"/>
    <mergeCell ref="AK35:BF35"/>
    <mergeCell ref="BP35:CK35"/>
    <mergeCell ref="AK36:BF36"/>
    <mergeCell ref="BP36:CK36"/>
    <mergeCell ref="K37:K41"/>
    <mergeCell ref="K45:K4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1"/>
  </sheetPr>
  <dimension ref="A1:AL125"/>
  <sheetViews>
    <sheetView showGridLines="0" zoomScaleNormal="100" workbookViewId="0">
      <pane xSplit="2" topLeftCell="C1" activePane="topRight" state="frozen"/>
      <selection activeCell="G31" sqref="G31"/>
      <selection pane="topRight" activeCell="G31" sqref="G31"/>
    </sheetView>
  </sheetViews>
  <sheetFormatPr defaultColWidth="9.140625" defaultRowHeight="15" x14ac:dyDescent="0.25"/>
  <cols>
    <col min="1" max="1" width="16.7109375" customWidth="1"/>
    <col min="2" max="2" width="33.85546875" style="77" customWidth="1"/>
    <col min="3" max="3" width="60.5703125" style="77" customWidth="1"/>
    <col min="4" max="4" width="38.85546875" customWidth="1"/>
    <col min="5" max="5" width="26.42578125" style="75" customWidth="1"/>
    <col min="6" max="6" width="22.28515625" customWidth="1"/>
    <col min="7" max="7" width="27.28515625" customWidth="1"/>
    <col min="8" max="8" width="28.28515625" style="77" customWidth="1"/>
    <col min="9" max="9" width="23.85546875" style="12" customWidth="1"/>
    <col min="10" max="10" width="25.7109375" style="77" customWidth="1"/>
    <col min="11" max="11" width="27.85546875" style="77" customWidth="1"/>
    <col min="12" max="12" width="27.5703125" style="13" customWidth="1"/>
    <col min="13" max="13" width="27.85546875" customWidth="1"/>
    <col min="14" max="14" width="23.28515625" customWidth="1"/>
    <col min="15" max="15" width="34.28515625" style="51" customWidth="1"/>
    <col min="16" max="16" width="28.42578125" style="51" customWidth="1"/>
    <col min="17" max="18" width="22.28515625" style="51" customWidth="1"/>
    <col min="19" max="20" width="25" style="51" customWidth="1"/>
    <col min="21" max="21" width="22.5703125" style="51" customWidth="1"/>
    <col min="22" max="23" width="23.85546875" style="51" customWidth="1"/>
    <col min="24" max="24" width="26.42578125" customWidth="1"/>
    <col min="25" max="25" width="37.85546875" customWidth="1"/>
    <col min="26" max="26" width="22.7109375" customWidth="1"/>
    <col min="27" max="28" width="27" customWidth="1"/>
    <col min="29" max="30" width="30.140625" customWidth="1"/>
    <col min="31" max="31" width="25.42578125" customWidth="1"/>
    <col min="32" max="32" width="28.85546875" customWidth="1"/>
    <col min="33" max="33" width="28.5703125" customWidth="1"/>
    <col min="34" max="34" width="25.140625" customWidth="1"/>
    <col min="35" max="35" width="30" customWidth="1"/>
    <col min="36" max="36" width="32" customWidth="1"/>
    <col min="37" max="37" width="28.5703125" customWidth="1"/>
  </cols>
  <sheetData>
    <row r="1" spans="1:38" ht="51" customHeight="1" x14ac:dyDescent="0.25">
      <c r="B1" s="664" t="s">
        <v>765</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row>
    <row r="2" spans="1:38" ht="24.75" customHeight="1" thickBot="1" x14ac:dyDescent="0.3">
      <c r="B2"/>
      <c r="C2"/>
      <c r="E2"/>
      <c r="H2"/>
      <c r="I2"/>
      <c r="J2"/>
      <c r="K2"/>
      <c r="L2"/>
      <c r="O2"/>
      <c r="P2"/>
      <c r="Q2"/>
      <c r="R2"/>
      <c r="S2"/>
      <c r="T2"/>
      <c r="U2"/>
      <c r="V2" t="str">
        <f>dms_TradingNameFull</f>
        <v>Australian Gas Networks Limited (reporting data for SA)</v>
      </c>
      <c r="W2"/>
    </row>
    <row r="3" spans="1:38" ht="15" customHeight="1" x14ac:dyDescent="0.25">
      <c r="B3" s="1372" t="s">
        <v>766</v>
      </c>
      <c r="C3" s="1371"/>
      <c r="D3" s="1371"/>
      <c r="E3" s="1371"/>
      <c r="F3" s="1371"/>
      <c r="G3" s="1370"/>
      <c r="H3"/>
      <c r="I3"/>
      <c r="J3"/>
      <c r="K3"/>
      <c r="L3"/>
    </row>
    <row r="4" spans="1:38" x14ac:dyDescent="0.25">
      <c r="B4" s="1369" t="s">
        <v>767</v>
      </c>
      <c r="C4" s="1367">
        <v>42751</v>
      </c>
      <c r="D4" s="1365" t="s">
        <v>768</v>
      </c>
      <c r="E4" s="1366"/>
      <c r="F4" s="1365"/>
      <c r="G4" s="1364"/>
      <c r="H4"/>
      <c r="I4"/>
      <c r="J4"/>
      <c r="K4"/>
      <c r="L4"/>
    </row>
    <row r="5" spans="1:38" x14ac:dyDescent="0.25">
      <c r="B5" s="1369"/>
      <c r="C5" s="1367">
        <v>42660</v>
      </c>
      <c r="D5" s="1365" t="s">
        <v>769</v>
      </c>
      <c r="E5" s="1366"/>
      <c r="F5" s="1365"/>
      <c r="G5" s="1364"/>
      <c r="H5"/>
      <c r="I5"/>
      <c r="J5"/>
      <c r="K5"/>
      <c r="L5"/>
    </row>
    <row r="6" spans="1:38" x14ac:dyDescent="0.25">
      <c r="B6" s="1369"/>
      <c r="C6" s="1367">
        <v>42767</v>
      </c>
      <c r="D6" s="1365" t="s">
        <v>770</v>
      </c>
      <c r="E6" s="1366"/>
      <c r="F6" s="1365"/>
      <c r="G6" s="1364"/>
      <c r="H6"/>
      <c r="I6"/>
      <c r="J6"/>
      <c r="K6"/>
      <c r="L6"/>
    </row>
    <row r="7" spans="1:38" x14ac:dyDescent="0.25">
      <c r="B7" s="1368"/>
      <c r="C7" s="1367">
        <v>42797</v>
      </c>
      <c r="D7" s="1365" t="s">
        <v>771</v>
      </c>
      <c r="E7" s="1366"/>
      <c r="F7" s="1365"/>
      <c r="G7" s="1364"/>
      <c r="H7"/>
      <c r="I7"/>
      <c r="J7"/>
      <c r="K7"/>
      <c r="L7"/>
    </row>
    <row r="8" spans="1:38" x14ac:dyDescent="0.25">
      <c r="B8" s="1368"/>
      <c r="C8" s="1367">
        <v>43187</v>
      </c>
      <c r="D8" s="1365" t="s">
        <v>772</v>
      </c>
      <c r="E8" s="1366"/>
      <c r="F8" s="1365"/>
      <c r="G8" s="1364"/>
      <c r="H8"/>
      <c r="I8"/>
      <c r="J8"/>
      <c r="K8"/>
      <c r="L8"/>
    </row>
    <row r="9" spans="1:38" ht="15.75" thickBot="1" x14ac:dyDescent="0.3">
      <c r="B9" s="1363"/>
      <c r="C9" s="1361" t="s">
        <v>773</v>
      </c>
      <c r="D9" s="1362">
        <v>5</v>
      </c>
      <c r="E9" s="1362"/>
      <c r="F9" s="1361"/>
      <c r="G9" s="1360"/>
      <c r="H9"/>
      <c r="I9"/>
      <c r="J9"/>
      <c r="K9"/>
      <c r="L9"/>
    </row>
    <row r="10" spans="1:38" ht="15.75" thickBot="1" x14ac:dyDescent="0.3">
      <c r="B10"/>
      <c r="C10"/>
      <c r="E10"/>
      <c r="H10"/>
      <c r="I10"/>
      <c r="J10"/>
      <c r="K10"/>
      <c r="L10"/>
      <c r="O10"/>
      <c r="P10"/>
      <c r="Q10"/>
      <c r="R10"/>
      <c r="S10"/>
      <c r="T10"/>
      <c r="U10"/>
      <c r="V10"/>
      <c r="W10"/>
    </row>
    <row r="11" spans="1:38" ht="16.5" thickBot="1" x14ac:dyDescent="0.3">
      <c r="B11" s="1359"/>
      <c r="C11" s="1357"/>
      <c r="D11" s="1357"/>
      <c r="E11" s="1357"/>
      <c r="F11" s="1357"/>
      <c r="G11" s="1357"/>
      <c r="H11" s="1357"/>
      <c r="I11" s="1357"/>
      <c r="J11" s="1357"/>
      <c r="K11" s="1357"/>
      <c r="L11" s="1357"/>
      <c r="M11" s="1357"/>
      <c r="N11" s="1357"/>
      <c r="O11" s="1357"/>
      <c r="P11" s="1358"/>
      <c r="Q11" s="1358"/>
      <c r="R11" s="1358"/>
      <c r="S11" s="1358"/>
      <c r="T11" s="1358"/>
      <c r="U11" s="1358"/>
      <c r="V11" s="1358"/>
      <c r="W11" s="1358"/>
      <c r="X11" s="1358"/>
      <c r="Y11" s="1357"/>
      <c r="Z11" s="1357"/>
      <c r="AA11" s="1696" t="s">
        <v>774</v>
      </c>
      <c r="AB11" s="1696"/>
      <c r="AC11" s="1696"/>
      <c r="AD11" s="1696"/>
      <c r="AE11" s="1696"/>
      <c r="AF11" s="1696"/>
      <c r="AG11" s="1696"/>
      <c r="AH11" s="1696"/>
      <c r="AI11" s="1696"/>
      <c r="AJ11" s="1696"/>
      <c r="AK11" s="1696"/>
      <c r="AL11" s="373"/>
    </row>
    <row r="12" spans="1:38" x14ac:dyDescent="0.25">
      <c r="B12" s="1356"/>
      <c r="C12" s="1354"/>
      <c r="D12" s="1354"/>
      <c r="E12" s="1354"/>
      <c r="F12" s="1354"/>
      <c r="G12" s="1354"/>
      <c r="H12" s="1354"/>
      <c r="I12" s="1354"/>
      <c r="J12" s="1354"/>
      <c r="K12" s="1354"/>
      <c r="L12" s="1354"/>
      <c r="M12" s="1354"/>
      <c r="N12" s="1354"/>
      <c r="O12" s="1355"/>
      <c r="P12" s="1355"/>
      <c r="Q12" s="1355"/>
      <c r="R12" s="1355"/>
      <c r="S12" s="1355"/>
      <c r="T12" s="1355"/>
      <c r="U12" s="1355"/>
      <c r="V12" s="1355"/>
      <c r="W12" s="1355"/>
      <c r="X12" s="1354"/>
      <c r="Y12" s="1354"/>
      <c r="Z12" s="1354"/>
      <c r="AA12" s="1697" t="s">
        <v>775</v>
      </c>
      <c r="AB12" s="1698"/>
      <c r="AC12" s="1698"/>
      <c r="AD12" s="1698"/>
      <c r="AE12" s="4" t="s">
        <v>776</v>
      </c>
      <c r="AF12" s="1699" t="s">
        <v>777</v>
      </c>
      <c r="AG12" s="1700"/>
      <c r="AH12" s="1700"/>
      <c r="AI12" s="1700"/>
      <c r="AJ12" s="1701"/>
      <c r="AK12" s="1702"/>
      <c r="AL12" s="63"/>
    </row>
    <row r="13" spans="1:38" x14ac:dyDescent="0.25">
      <c r="B13" s="1356"/>
      <c r="C13" s="1354"/>
      <c r="D13" s="1354"/>
      <c r="E13" s="1354"/>
      <c r="F13" s="1354"/>
      <c r="G13" s="1354"/>
      <c r="H13" s="1354"/>
      <c r="I13" s="1354"/>
      <c r="J13" s="1354"/>
      <c r="K13" s="1354"/>
      <c r="L13" s="1354"/>
      <c r="M13" s="1354"/>
      <c r="N13" s="1354"/>
      <c r="O13" s="1355"/>
      <c r="P13" s="1355"/>
      <c r="Q13" s="1355"/>
      <c r="R13" s="1355"/>
      <c r="S13" s="1355"/>
      <c r="T13" s="1355"/>
      <c r="U13" s="1355"/>
      <c r="V13" s="1355"/>
      <c r="W13" s="1355"/>
      <c r="X13" s="1354"/>
      <c r="Y13" s="1354"/>
      <c r="Z13" s="1354"/>
      <c r="AA13" s="5"/>
      <c r="AB13" s="6"/>
      <c r="AC13" s="6"/>
      <c r="AD13" s="6"/>
      <c r="AE13" s="7"/>
      <c r="AF13" s="8"/>
      <c r="AG13" s="9"/>
      <c r="AH13" s="9"/>
      <c r="AI13" s="9"/>
      <c r="AJ13" s="10"/>
      <c r="AK13" s="1703"/>
      <c r="AL13" s="63"/>
    </row>
    <row r="14" spans="1:38" ht="15.75" thickBot="1" x14ac:dyDescent="0.3">
      <c r="B14" s="1353"/>
      <c r="C14" s="1352"/>
      <c r="D14" s="1346"/>
      <c r="E14" s="1346"/>
      <c r="F14" s="1351"/>
      <c r="G14" s="1346"/>
      <c r="H14" s="1346"/>
      <c r="I14" s="1349"/>
      <c r="J14" s="1350"/>
      <c r="K14" s="1349"/>
      <c r="L14" s="1349"/>
      <c r="M14" s="1348"/>
      <c r="N14" s="1346"/>
      <c r="O14" s="1347"/>
      <c r="P14" s="1347"/>
      <c r="Q14" s="1347"/>
      <c r="R14" s="1347"/>
      <c r="S14" s="1347"/>
      <c r="T14" s="1347"/>
      <c r="U14" s="1347"/>
      <c r="V14" s="1347"/>
      <c r="W14" s="1347"/>
      <c r="X14" s="1346"/>
      <c r="Y14" s="1346"/>
      <c r="Z14" s="1346"/>
      <c r="AA14" s="1345" t="s">
        <v>778</v>
      </c>
      <c r="AB14" s="1344" t="s">
        <v>779</v>
      </c>
      <c r="AC14" s="1344" t="s">
        <v>780</v>
      </c>
      <c r="AD14" s="1344" t="s">
        <v>781</v>
      </c>
      <c r="AE14" s="1343" t="s">
        <v>782</v>
      </c>
      <c r="AF14" s="1342"/>
      <c r="AG14" s="1341"/>
      <c r="AH14" s="1341"/>
      <c r="AI14" s="1341"/>
      <c r="AJ14" s="1340"/>
      <c r="AK14" s="1704"/>
      <c r="AL14" s="319"/>
    </row>
    <row r="15" spans="1:38" s="399" customFormat="1" ht="40.5" customHeight="1" x14ac:dyDescent="0.25">
      <c r="A15" s="885"/>
      <c r="B15" s="1464" t="s">
        <v>783</v>
      </c>
      <c r="C15" s="1465" t="s">
        <v>784</v>
      </c>
      <c r="D15" s="1466" t="s">
        <v>785</v>
      </c>
      <c r="E15" s="1487" t="s">
        <v>786</v>
      </c>
      <c r="F15" s="1467" t="s">
        <v>787</v>
      </c>
      <c r="G15" s="1468" t="s">
        <v>788</v>
      </c>
      <c r="H15" s="1468" t="s">
        <v>789</v>
      </c>
      <c r="I15" s="1468" t="s">
        <v>790</v>
      </c>
      <c r="J15" s="1468" t="s">
        <v>791</v>
      </c>
      <c r="K15" s="1468" t="s">
        <v>792</v>
      </c>
      <c r="L15" s="1469" t="s">
        <v>793</v>
      </c>
      <c r="M15" s="1470" t="s">
        <v>794</v>
      </c>
      <c r="N15" s="1470" t="s">
        <v>795</v>
      </c>
      <c r="O15" s="1471" t="s">
        <v>796</v>
      </c>
      <c r="P15" s="1472" t="s">
        <v>797</v>
      </c>
      <c r="Q15" s="1473" t="s">
        <v>798</v>
      </c>
      <c r="R15" s="1474" t="s">
        <v>799</v>
      </c>
      <c r="S15" s="1474" t="s">
        <v>800</v>
      </c>
      <c r="T15" s="1474" t="s">
        <v>801</v>
      </c>
      <c r="U15" s="1474" t="s">
        <v>802</v>
      </c>
      <c r="V15" s="1475" t="s">
        <v>803</v>
      </c>
      <c r="W15" s="1475" t="s">
        <v>804</v>
      </c>
      <c r="X15" s="1475" t="s">
        <v>805</v>
      </c>
      <c r="Y15" s="1475" t="s">
        <v>806</v>
      </c>
      <c r="Z15" s="1475" t="s">
        <v>807</v>
      </c>
      <c r="AA15" s="1476" t="s">
        <v>808</v>
      </c>
      <c r="AB15" s="1476" t="s">
        <v>809</v>
      </c>
      <c r="AC15" s="1476" t="s">
        <v>810</v>
      </c>
      <c r="AD15" s="1476" t="s">
        <v>811</v>
      </c>
      <c r="AE15" s="1476" t="s">
        <v>812</v>
      </c>
      <c r="AF15" s="1477" t="s">
        <v>813</v>
      </c>
      <c r="AG15" s="1476" t="s">
        <v>814</v>
      </c>
      <c r="AH15" s="1476" t="s">
        <v>815</v>
      </c>
      <c r="AI15" s="1476" t="s">
        <v>816</v>
      </c>
      <c r="AJ15" s="1478" t="s">
        <v>817</v>
      </c>
      <c r="AK15" s="1488" t="s">
        <v>818</v>
      </c>
      <c r="AL15" s="1489" t="s">
        <v>70</v>
      </c>
    </row>
    <row r="16" spans="1:38" x14ac:dyDescent="0.25">
      <c r="B16" s="1461" t="s">
        <v>819</v>
      </c>
      <c r="C16" s="1325" t="s">
        <v>820</v>
      </c>
      <c r="D16" s="1324">
        <v>19078551685</v>
      </c>
      <c r="E16" s="1483" t="s">
        <v>821</v>
      </c>
      <c r="F16" s="886" t="s">
        <v>444</v>
      </c>
      <c r="G16" s="14" t="s">
        <v>440</v>
      </c>
      <c r="H16" s="14" t="s">
        <v>822</v>
      </c>
      <c r="I16" s="19" t="s">
        <v>506</v>
      </c>
      <c r="J16" s="15" t="s">
        <v>823</v>
      </c>
      <c r="K16" s="14" t="s">
        <v>824</v>
      </c>
      <c r="L16" s="16">
        <v>5</v>
      </c>
      <c r="M16" s="1159">
        <v>5</v>
      </c>
      <c r="N16" s="1160">
        <v>5</v>
      </c>
      <c r="O16" s="887" t="s">
        <v>825</v>
      </c>
      <c r="P16" s="20"/>
      <c r="Q16" s="17" t="s">
        <v>826</v>
      </c>
      <c r="R16" s="21" t="s">
        <v>827</v>
      </c>
      <c r="S16" s="21" t="s">
        <v>828</v>
      </c>
      <c r="T16" s="21" t="s">
        <v>66</v>
      </c>
      <c r="U16" s="1323">
        <v>5000</v>
      </c>
      <c r="V16" s="17" t="s">
        <v>829</v>
      </c>
      <c r="W16" s="21" t="s">
        <v>830</v>
      </c>
      <c r="X16" s="21" t="s">
        <v>828</v>
      </c>
      <c r="Y16" s="21" t="s">
        <v>66</v>
      </c>
      <c r="Z16" s="1332">
        <v>5000</v>
      </c>
      <c r="AA16" s="18" t="s">
        <v>831</v>
      </c>
      <c r="AB16" s="22" t="s">
        <v>831</v>
      </c>
      <c r="AC16" s="22" t="s">
        <v>831</v>
      </c>
      <c r="AD16" s="22" t="s">
        <v>831</v>
      </c>
      <c r="AE16" s="22" t="s">
        <v>831</v>
      </c>
      <c r="AF16" s="18" t="s">
        <v>778</v>
      </c>
      <c r="AG16" s="22" t="s">
        <v>779</v>
      </c>
      <c r="AH16" s="22" t="s">
        <v>780</v>
      </c>
      <c r="AI16" s="23" t="s">
        <v>832</v>
      </c>
      <c r="AJ16" s="1322"/>
      <c r="AK16" s="1481" t="s">
        <v>831</v>
      </c>
      <c r="AL16" s="1486" t="str">
        <f t="shared" ref="AL16:AL29" si="0">B16</f>
        <v>AGN (Albury and Victoria)</v>
      </c>
    </row>
    <row r="17" spans="2:38" x14ac:dyDescent="0.25">
      <c r="B17" s="1462" t="s">
        <v>833</v>
      </c>
      <c r="C17" s="1321" t="s">
        <v>834</v>
      </c>
      <c r="D17" s="1320">
        <v>19078551685</v>
      </c>
      <c r="E17" s="1484" t="s">
        <v>835</v>
      </c>
      <c r="F17" s="1319" t="s">
        <v>444</v>
      </c>
      <c r="G17" s="1314" t="s">
        <v>440</v>
      </c>
      <c r="H17" s="1314" t="s">
        <v>822</v>
      </c>
      <c r="I17" s="19" t="s">
        <v>506</v>
      </c>
      <c r="J17" s="1331" t="s">
        <v>823</v>
      </c>
      <c r="K17" s="1314" t="s">
        <v>824</v>
      </c>
      <c r="L17" s="1318">
        <v>5</v>
      </c>
      <c r="M17" s="1327">
        <v>5</v>
      </c>
      <c r="N17" s="1326">
        <v>5</v>
      </c>
      <c r="O17" s="1315" t="s">
        <v>825</v>
      </c>
      <c r="P17" s="1328"/>
      <c r="Q17" s="1313" t="s">
        <v>826</v>
      </c>
      <c r="R17" s="1312" t="s">
        <v>827</v>
      </c>
      <c r="S17" s="1312" t="s">
        <v>828</v>
      </c>
      <c r="T17" s="1312" t="s">
        <v>66</v>
      </c>
      <c r="U17" s="1311">
        <v>5000</v>
      </c>
      <c r="V17" s="1313" t="s">
        <v>829</v>
      </c>
      <c r="W17" s="1312" t="s">
        <v>830</v>
      </c>
      <c r="X17" s="1312" t="s">
        <v>828</v>
      </c>
      <c r="Y17" s="1312" t="s">
        <v>66</v>
      </c>
      <c r="Z17" s="1311">
        <v>5000</v>
      </c>
      <c r="AA17" s="1310" t="s">
        <v>831</v>
      </c>
      <c r="AB17" s="1309" t="s">
        <v>831</v>
      </c>
      <c r="AC17" s="1309" t="s">
        <v>831</v>
      </c>
      <c r="AD17" s="1309" t="s">
        <v>831</v>
      </c>
      <c r="AE17" s="1309" t="s">
        <v>831</v>
      </c>
      <c r="AF17" s="1310" t="s">
        <v>778</v>
      </c>
      <c r="AG17" s="1309" t="s">
        <v>779</v>
      </c>
      <c r="AH17" s="1309" t="s">
        <v>780</v>
      </c>
      <c r="AI17" s="1308" t="s">
        <v>832</v>
      </c>
      <c r="AJ17" s="1307"/>
      <c r="AK17" s="1482" t="s">
        <v>831</v>
      </c>
      <c r="AL17" s="1486" t="str">
        <f t="shared" si="0"/>
        <v>AGN (Albury)</v>
      </c>
    </row>
    <row r="18" spans="2:38" x14ac:dyDescent="0.25">
      <c r="B18" s="1461" t="s">
        <v>56</v>
      </c>
      <c r="C18" s="1325" t="s">
        <v>836</v>
      </c>
      <c r="D18" s="1324">
        <v>19078551685</v>
      </c>
      <c r="E18" s="1483" t="s">
        <v>837</v>
      </c>
      <c r="F18" s="886" t="s">
        <v>66</v>
      </c>
      <c r="G18" s="14" t="s">
        <v>440</v>
      </c>
      <c r="H18" s="14" t="s">
        <v>822</v>
      </c>
      <c r="I18" s="19" t="s">
        <v>506</v>
      </c>
      <c r="J18" s="15" t="s">
        <v>823</v>
      </c>
      <c r="K18" s="14" t="s">
        <v>824</v>
      </c>
      <c r="L18" s="16">
        <v>5</v>
      </c>
      <c r="M18" s="1159">
        <v>5</v>
      </c>
      <c r="N18" s="1160">
        <v>5</v>
      </c>
      <c r="O18" s="887">
        <v>5</v>
      </c>
      <c r="P18" s="14" t="s">
        <v>838</v>
      </c>
      <c r="Q18" s="17" t="s">
        <v>826</v>
      </c>
      <c r="R18" s="21" t="s">
        <v>827</v>
      </c>
      <c r="S18" s="21" t="s">
        <v>828</v>
      </c>
      <c r="T18" s="21" t="s">
        <v>66</v>
      </c>
      <c r="U18" s="1323">
        <v>5000</v>
      </c>
      <c r="V18" s="17" t="s">
        <v>829</v>
      </c>
      <c r="W18" s="21" t="s">
        <v>830</v>
      </c>
      <c r="X18" s="21" t="s">
        <v>828</v>
      </c>
      <c r="Y18" s="21" t="s">
        <v>66</v>
      </c>
      <c r="Z18" s="1323">
        <v>5000</v>
      </c>
      <c r="AA18" s="18" t="s">
        <v>831</v>
      </c>
      <c r="AB18" s="22" t="s">
        <v>831</v>
      </c>
      <c r="AC18" s="22" t="s">
        <v>831</v>
      </c>
      <c r="AD18" s="22" t="s">
        <v>831</v>
      </c>
      <c r="AE18" s="22" t="s">
        <v>831</v>
      </c>
      <c r="AF18" s="18" t="s">
        <v>778</v>
      </c>
      <c r="AG18" s="22" t="s">
        <v>779</v>
      </c>
      <c r="AH18" s="22" t="s">
        <v>780</v>
      </c>
      <c r="AI18" s="23" t="s">
        <v>832</v>
      </c>
      <c r="AJ18" s="1322"/>
      <c r="AK18" s="1481" t="s">
        <v>831</v>
      </c>
      <c r="AL18" s="1486" t="str">
        <f t="shared" si="0"/>
        <v>AGN (SA)</v>
      </c>
    </row>
    <row r="19" spans="2:38" x14ac:dyDescent="0.25">
      <c r="B19" s="1462" t="s">
        <v>839</v>
      </c>
      <c r="C19" s="1321" t="s">
        <v>840</v>
      </c>
      <c r="D19" s="1320">
        <v>19078551685</v>
      </c>
      <c r="E19" s="1484" t="s">
        <v>841</v>
      </c>
      <c r="F19" s="1319" t="s">
        <v>444</v>
      </c>
      <c r="G19" s="1314" t="s">
        <v>440</v>
      </c>
      <c r="H19" s="1314" t="s">
        <v>822</v>
      </c>
      <c r="I19" s="19" t="s">
        <v>506</v>
      </c>
      <c r="J19" s="1331" t="s">
        <v>823</v>
      </c>
      <c r="K19" s="1314" t="s">
        <v>824</v>
      </c>
      <c r="L19" s="1318">
        <v>5</v>
      </c>
      <c r="M19" s="1327">
        <v>5</v>
      </c>
      <c r="N19" s="1326">
        <v>5</v>
      </c>
      <c r="O19" s="1315" t="s">
        <v>825</v>
      </c>
      <c r="P19" s="1328"/>
      <c r="Q19" s="1313" t="s">
        <v>826</v>
      </c>
      <c r="R19" s="1312" t="s">
        <v>827</v>
      </c>
      <c r="S19" s="1312" t="s">
        <v>828</v>
      </c>
      <c r="T19" s="1312" t="s">
        <v>66</v>
      </c>
      <c r="U19" s="1311">
        <v>5000</v>
      </c>
      <c r="V19" s="1313" t="s">
        <v>829</v>
      </c>
      <c r="W19" s="1312" t="s">
        <v>830</v>
      </c>
      <c r="X19" s="1312" t="s">
        <v>828</v>
      </c>
      <c r="Y19" s="1312" t="s">
        <v>66</v>
      </c>
      <c r="Z19" s="1311">
        <v>5000</v>
      </c>
      <c r="AA19" s="1310" t="s">
        <v>831</v>
      </c>
      <c r="AB19" s="1309" t="s">
        <v>831</v>
      </c>
      <c r="AC19" s="1309" t="s">
        <v>831</v>
      </c>
      <c r="AD19" s="1309" t="s">
        <v>831</v>
      </c>
      <c r="AE19" s="1309" t="s">
        <v>831</v>
      </c>
      <c r="AF19" s="1310" t="s">
        <v>778</v>
      </c>
      <c r="AG19" s="1309" t="s">
        <v>779</v>
      </c>
      <c r="AH19" s="1309" t="s">
        <v>780</v>
      </c>
      <c r="AI19" s="1308" t="s">
        <v>832</v>
      </c>
      <c r="AJ19" s="1307"/>
      <c r="AK19" s="1482" t="s">
        <v>831</v>
      </c>
      <c r="AL19" s="1486" t="str">
        <f t="shared" si="0"/>
        <v>AGN (Victoria)</v>
      </c>
    </row>
    <row r="20" spans="2:38" x14ac:dyDescent="0.25">
      <c r="B20" s="1461" t="s">
        <v>438</v>
      </c>
      <c r="C20" s="1325" t="s">
        <v>842</v>
      </c>
      <c r="D20" s="1324">
        <v>39009737393</v>
      </c>
      <c r="E20" s="1483" t="s">
        <v>843</v>
      </c>
      <c r="F20" s="886" t="s">
        <v>439</v>
      </c>
      <c r="G20" s="14" t="s">
        <v>440</v>
      </c>
      <c r="H20" s="14" t="s">
        <v>441</v>
      </c>
      <c r="I20" s="19" t="s">
        <v>506</v>
      </c>
      <c r="J20" s="15" t="s">
        <v>823</v>
      </c>
      <c r="K20" s="14" t="s">
        <v>824</v>
      </c>
      <c r="L20" s="16">
        <v>5</v>
      </c>
      <c r="M20" s="1159">
        <v>5</v>
      </c>
      <c r="N20" s="1160">
        <v>5</v>
      </c>
      <c r="O20" s="887" t="s">
        <v>825</v>
      </c>
      <c r="P20" s="14" t="s">
        <v>844</v>
      </c>
      <c r="Q20" s="17" t="s">
        <v>845</v>
      </c>
      <c r="R20" s="21" t="s">
        <v>846</v>
      </c>
      <c r="S20" s="21" t="s">
        <v>847</v>
      </c>
      <c r="T20" s="21" t="s">
        <v>848</v>
      </c>
      <c r="U20" s="1323">
        <v>2000</v>
      </c>
      <c r="V20" s="17" t="s">
        <v>845</v>
      </c>
      <c r="W20" s="21" t="s">
        <v>846</v>
      </c>
      <c r="X20" s="21" t="s">
        <v>847</v>
      </c>
      <c r="Y20" s="21" t="s">
        <v>848</v>
      </c>
      <c r="Z20" s="1323">
        <v>2000</v>
      </c>
      <c r="AA20" s="18" t="s">
        <v>831</v>
      </c>
      <c r="AB20" s="22" t="s">
        <v>831</v>
      </c>
      <c r="AC20" s="22" t="s">
        <v>831</v>
      </c>
      <c r="AD20" s="22" t="s">
        <v>831</v>
      </c>
      <c r="AE20" s="22" t="s">
        <v>831</v>
      </c>
      <c r="AF20" s="18" t="s">
        <v>778</v>
      </c>
      <c r="AG20" s="22" t="s">
        <v>779</v>
      </c>
      <c r="AH20" s="22" t="s">
        <v>780</v>
      </c>
      <c r="AI20" s="23" t="s">
        <v>832</v>
      </c>
      <c r="AJ20" s="1322"/>
      <c r="AK20" s="1481" t="s">
        <v>831</v>
      </c>
      <c r="AL20" s="1486" t="str">
        <f t="shared" si="0"/>
        <v>Amadeus</v>
      </c>
    </row>
    <row r="21" spans="2:38" x14ac:dyDescent="0.25">
      <c r="B21" s="1461" t="s">
        <v>443</v>
      </c>
      <c r="C21" s="1325" t="s">
        <v>849</v>
      </c>
      <c r="D21" s="1324" t="s">
        <v>850</v>
      </c>
      <c r="E21" s="1484" t="s">
        <v>851</v>
      </c>
      <c r="F21" s="886" t="s">
        <v>444</v>
      </c>
      <c r="G21" s="14" t="s">
        <v>440</v>
      </c>
      <c r="H21" s="14" t="s">
        <v>441</v>
      </c>
      <c r="I21" s="19" t="s">
        <v>508</v>
      </c>
      <c r="J21" s="15" t="s">
        <v>823</v>
      </c>
      <c r="K21" s="14" t="s">
        <v>824</v>
      </c>
      <c r="L21" s="16">
        <v>5</v>
      </c>
      <c r="M21" s="1159">
        <v>5</v>
      </c>
      <c r="N21" s="1160">
        <v>5</v>
      </c>
      <c r="O21" s="887" t="s">
        <v>825</v>
      </c>
      <c r="P21" s="14"/>
      <c r="Q21" s="17" t="s">
        <v>845</v>
      </c>
      <c r="R21" s="21" t="s">
        <v>846</v>
      </c>
      <c r="S21" s="21" t="s">
        <v>847</v>
      </c>
      <c r="T21" s="21" t="s">
        <v>848</v>
      </c>
      <c r="U21" s="1323">
        <v>2000</v>
      </c>
      <c r="V21" s="17" t="s">
        <v>852</v>
      </c>
      <c r="W21" s="21"/>
      <c r="X21" s="21" t="s">
        <v>853</v>
      </c>
      <c r="Y21" s="21" t="s">
        <v>848</v>
      </c>
      <c r="Z21" s="1323">
        <v>1225</v>
      </c>
      <c r="AA21" s="18" t="s">
        <v>854</v>
      </c>
      <c r="AB21" s="22" t="s">
        <v>855</v>
      </c>
      <c r="AC21" s="22" t="s">
        <v>856</v>
      </c>
      <c r="AD21" s="22" t="s">
        <v>831</v>
      </c>
      <c r="AE21" s="22" t="s">
        <v>831</v>
      </c>
      <c r="AF21" s="18" t="s">
        <v>831</v>
      </c>
      <c r="AG21" s="22" t="s">
        <v>831</v>
      </c>
      <c r="AH21" s="22" t="s">
        <v>831</v>
      </c>
      <c r="AI21" s="23" t="s">
        <v>442</v>
      </c>
      <c r="AJ21" s="1322" t="s">
        <v>778</v>
      </c>
      <c r="AK21" s="1481" t="s">
        <v>779</v>
      </c>
      <c r="AL21" s="1486" t="str">
        <f t="shared" si="0"/>
        <v>APA GasNet</v>
      </c>
    </row>
    <row r="22" spans="2:38" x14ac:dyDescent="0.25">
      <c r="B22" s="1461" t="s">
        <v>857</v>
      </c>
      <c r="C22" s="1325" t="s">
        <v>858</v>
      </c>
      <c r="D22" s="1402">
        <v>65083009</v>
      </c>
      <c r="E22" s="1483" t="s">
        <v>859</v>
      </c>
      <c r="F22" s="886" t="s">
        <v>444</v>
      </c>
      <c r="G22" s="14" t="s">
        <v>440</v>
      </c>
      <c r="H22" s="14" t="s">
        <v>441</v>
      </c>
      <c r="I22" s="19" t="s">
        <v>506</v>
      </c>
      <c r="J22" s="15" t="s">
        <v>823</v>
      </c>
      <c r="K22" s="14" t="s">
        <v>824</v>
      </c>
      <c r="L22" s="16">
        <v>5</v>
      </c>
      <c r="M22" s="1159">
        <v>5</v>
      </c>
      <c r="N22" s="1160">
        <v>5</v>
      </c>
      <c r="O22" s="887" t="s">
        <v>825</v>
      </c>
      <c r="P22" s="14"/>
      <c r="Q22" s="17" t="s">
        <v>845</v>
      </c>
      <c r="R22" s="21" t="s">
        <v>846</v>
      </c>
      <c r="S22" s="21" t="s">
        <v>847</v>
      </c>
      <c r="T22" s="21" t="s">
        <v>848</v>
      </c>
      <c r="U22" s="1323">
        <v>2000</v>
      </c>
      <c r="V22" s="17" t="s">
        <v>852</v>
      </c>
      <c r="W22" s="21"/>
      <c r="X22" s="21" t="s">
        <v>853</v>
      </c>
      <c r="Y22" s="21" t="s">
        <v>848</v>
      </c>
      <c r="Z22" s="1323">
        <v>1225</v>
      </c>
      <c r="AA22" s="18" t="s">
        <v>831</v>
      </c>
      <c r="AB22" s="22" t="s">
        <v>831</v>
      </c>
      <c r="AC22" s="22" t="s">
        <v>831</v>
      </c>
      <c r="AD22" s="22" t="s">
        <v>831</v>
      </c>
      <c r="AE22" s="22" t="s">
        <v>831</v>
      </c>
      <c r="AF22" s="18" t="s">
        <v>778</v>
      </c>
      <c r="AG22" s="22" t="s">
        <v>779</v>
      </c>
      <c r="AH22" s="22" t="s">
        <v>780</v>
      </c>
      <c r="AI22" s="23" t="s">
        <v>832</v>
      </c>
      <c r="AJ22" s="1322"/>
      <c r="AK22" s="1481" t="s">
        <v>831</v>
      </c>
      <c r="AL22" s="1486" t="str">
        <f t="shared" si="0"/>
        <v>APA VTS</v>
      </c>
    </row>
    <row r="23" spans="2:38" s="69" customFormat="1" x14ac:dyDescent="0.25">
      <c r="B23" s="1462" t="s">
        <v>860</v>
      </c>
      <c r="C23" s="1321" t="s">
        <v>861</v>
      </c>
      <c r="D23" s="1339" t="s">
        <v>862</v>
      </c>
      <c r="E23" s="1484" t="s">
        <v>863</v>
      </c>
      <c r="F23" s="1319" t="s">
        <v>444</v>
      </c>
      <c r="G23" s="1314" t="s">
        <v>440</v>
      </c>
      <c r="H23" s="1314" t="s">
        <v>822</v>
      </c>
      <c r="I23" s="19" t="s">
        <v>506</v>
      </c>
      <c r="J23" s="1331" t="s">
        <v>823</v>
      </c>
      <c r="K23" s="1314" t="s">
        <v>824</v>
      </c>
      <c r="L23" s="1318">
        <v>5</v>
      </c>
      <c r="M23" s="1327">
        <v>5</v>
      </c>
      <c r="N23" s="1326">
        <v>5</v>
      </c>
      <c r="O23" s="1315" t="s">
        <v>442</v>
      </c>
      <c r="P23" s="1328" t="s">
        <v>442</v>
      </c>
      <c r="Q23" s="1313" t="s">
        <v>864</v>
      </c>
      <c r="R23" s="1312" t="s">
        <v>865</v>
      </c>
      <c r="S23" s="1312" t="s">
        <v>866</v>
      </c>
      <c r="T23" s="1312" t="s">
        <v>444</v>
      </c>
      <c r="U23" s="1311">
        <v>3008</v>
      </c>
      <c r="V23" s="1333"/>
      <c r="W23" s="1312"/>
      <c r="X23" s="1312"/>
      <c r="Y23" s="1312" t="s">
        <v>444</v>
      </c>
      <c r="Z23" s="1311"/>
      <c r="AA23" s="1310" t="s">
        <v>831</v>
      </c>
      <c r="AB23" s="1309" t="s">
        <v>831</v>
      </c>
      <c r="AC23" s="1309" t="s">
        <v>831</v>
      </c>
      <c r="AD23" s="1309" t="s">
        <v>831</v>
      </c>
      <c r="AE23" s="1309" t="s">
        <v>831</v>
      </c>
      <c r="AF23" s="1310" t="s">
        <v>778</v>
      </c>
      <c r="AG23" s="1309" t="s">
        <v>779</v>
      </c>
      <c r="AH23" s="1309" t="s">
        <v>780</v>
      </c>
      <c r="AI23" s="1308" t="s">
        <v>832</v>
      </c>
      <c r="AJ23" s="1307"/>
      <c r="AK23" s="1482" t="s">
        <v>831</v>
      </c>
      <c r="AL23" s="1486" t="str">
        <f t="shared" si="0"/>
        <v>AusNet (Gas)</v>
      </c>
    </row>
    <row r="24" spans="2:38" x14ac:dyDescent="0.25">
      <c r="B24" s="1463" t="s">
        <v>867</v>
      </c>
      <c r="C24" s="1336" t="s">
        <v>868</v>
      </c>
      <c r="D24" s="1335">
        <v>11222333444</v>
      </c>
      <c r="E24" s="1491" t="s">
        <v>869</v>
      </c>
      <c r="F24" s="1337" t="s">
        <v>444</v>
      </c>
      <c r="G24" s="14" t="s">
        <v>440</v>
      </c>
      <c r="H24" s="14" t="s">
        <v>822</v>
      </c>
      <c r="I24" s="19" t="s">
        <v>506</v>
      </c>
      <c r="J24" s="15" t="s">
        <v>823</v>
      </c>
      <c r="K24" s="14" t="s">
        <v>824</v>
      </c>
      <c r="L24" s="1338">
        <v>5</v>
      </c>
      <c r="M24" s="1159">
        <v>5</v>
      </c>
      <c r="N24" s="1160">
        <v>5</v>
      </c>
      <c r="O24" s="887" t="s">
        <v>442</v>
      </c>
      <c r="P24" s="14" t="s">
        <v>442</v>
      </c>
      <c r="Q24" s="17" t="s">
        <v>870</v>
      </c>
      <c r="R24" s="21"/>
      <c r="S24" s="21" t="s">
        <v>871</v>
      </c>
      <c r="T24" s="21" t="s">
        <v>444</v>
      </c>
      <c r="U24" s="1323">
        <v>3000</v>
      </c>
      <c r="V24" s="17" t="s">
        <v>872</v>
      </c>
      <c r="W24" s="21"/>
      <c r="X24" s="21" t="s">
        <v>871</v>
      </c>
      <c r="Y24" s="21" t="s">
        <v>444</v>
      </c>
      <c r="Z24" s="1323">
        <v>3000</v>
      </c>
      <c r="AA24" s="18" t="s">
        <v>831</v>
      </c>
      <c r="AB24" s="22" t="s">
        <v>831</v>
      </c>
      <c r="AC24" s="22" t="s">
        <v>831</v>
      </c>
      <c r="AD24" s="22" t="s">
        <v>831</v>
      </c>
      <c r="AE24" s="22" t="s">
        <v>831</v>
      </c>
      <c r="AF24" s="18" t="s">
        <v>778</v>
      </c>
      <c r="AG24" s="22" t="s">
        <v>779</v>
      </c>
      <c r="AH24" s="22" t="s">
        <v>780</v>
      </c>
      <c r="AI24" s="23" t="s">
        <v>832</v>
      </c>
      <c r="AJ24" s="1322"/>
      <c r="AK24" s="1481" t="s">
        <v>831</v>
      </c>
      <c r="AL24" s="1486" t="str">
        <f t="shared" si="0"/>
        <v>Australian Distribution Co. (Gas)</v>
      </c>
    </row>
    <row r="25" spans="2:38" x14ac:dyDescent="0.25">
      <c r="B25" s="1463" t="s">
        <v>873</v>
      </c>
      <c r="C25" s="1336" t="s">
        <v>873</v>
      </c>
      <c r="D25" s="1335">
        <v>11222333444</v>
      </c>
      <c r="E25" s="1485" t="s">
        <v>874</v>
      </c>
      <c r="F25" s="1334" t="s">
        <v>848</v>
      </c>
      <c r="G25" s="1314" t="s">
        <v>440</v>
      </c>
      <c r="H25" s="1314" t="s">
        <v>441</v>
      </c>
      <c r="I25" s="19" t="s">
        <v>506</v>
      </c>
      <c r="J25" s="1331" t="s">
        <v>823</v>
      </c>
      <c r="K25" s="1314" t="s">
        <v>824</v>
      </c>
      <c r="L25" s="1318">
        <v>5</v>
      </c>
      <c r="M25" s="1317">
        <v>5</v>
      </c>
      <c r="N25" s="1316">
        <v>5</v>
      </c>
      <c r="O25" s="1315">
        <v>5</v>
      </c>
      <c r="P25" s="1314" t="s">
        <v>875</v>
      </c>
      <c r="Q25" s="1313" t="s">
        <v>870</v>
      </c>
      <c r="R25" s="1312"/>
      <c r="S25" s="1312" t="s">
        <v>847</v>
      </c>
      <c r="T25" s="1312" t="s">
        <v>848</v>
      </c>
      <c r="U25" s="1311">
        <v>2000</v>
      </c>
      <c r="V25" s="1313" t="s">
        <v>872</v>
      </c>
      <c r="W25" s="1312"/>
      <c r="X25" s="1312" t="s">
        <v>847</v>
      </c>
      <c r="Y25" s="1312" t="s">
        <v>848</v>
      </c>
      <c r="Z25" s="1311">
        <v>2000</v>
      </c>
      <c r="AA25" s="1310" t="s">
        <v>831</v>
      </c>
      <c r="AB25" s="1309" t="s">
        <v>831</v>
      </c>
      <c r="AC25" s="1309" t="s">
        <v>831</v>
      </c>
      <c r="AD25" s="1309" t="s">
        <v>831</v>
      </c>
      <c r="AE25" s="1309" t="s">
        <v>831</v>
      </c>
      <c r="AF25" s="1333" t="s">
        <v>778</v>
      </c>
      <c r="AG25" s="1309" t="s">
        <v>779</v>
      </c>
      <c r="AH25" s="1309" t="s">
        <v>780</v>
      </c>
      <c r="AI25" s="1308" t="s">
        <v>832</v>
      </c>
      <c r="AJ25" s="1307"/>
      <c r="AK25" s="1482" t="s">
        <v>831</v>
      </c>
      <c r="AL25" s="1486" t="str">
        <f t="shared" si="0"/>
        <v>Australian Transmission Co. (Gas)</v>
      </c>
    </row>
    <row r="26" spans="2:38" x14ac:dyDescent="0.25">
      <c r="B26" s="1461" t="s">
        <v>876</v>
      </c>
      <c r="C26" s="1325" t="s">
        <v>877</v>
      </c>
      <c r="D26" s="1324">
        <v>76670568688</v>
      </c>
      <c r="E26" s="1483" t="s">
        <v>878</v>
      </c>
      <c r="F26" s="886" t="s">
        <v>879</v>
      </c>
      <c r="G26" s="14" t="s">
        <v>440</v>
      </c>
      <c r="H26" s="14" t="s">
        <v>822</v>
      </c>
      <c r="I26" s="19" t="s">
        <v>506</v>
      </c>
      <c r="J26" s="15" t="s">
        <v>823</v>
      </c>
      <c r="K26" s="14" t="s">
        <v>824</v>
      </c>
      <c r="L26" s="16">
        <v>5</v>
      </c>
      <c r="M26" s="1159">
        <v>5</v>
      </c>
      <c r="N26" s="1160">
        <v>5</v>
      </c>
      <c r="O26" s="887" t="s">
        <v>825</v>
      </c>
      <c r="P26" s="14"/>
      <c r="Q26" s="1403" t="s">
        <v>880</v>
      </c>
      <c r="R26" s="21"/>
      <c r="S26" s="1404" t="s">
        <v>881</v>
      </c>
      <c r="T26" s="1405" t="s">
        <v>879</v>
      </c>
      <c r="U26" s="1323">
        <v>2600</v>
      </c>
      <c r="V26" s="17" t="s">
        <v>882</v>
      </c>
      <c r="W26" s="21"/>
      <c r="X26" s="21" t="s">
        <v>881</v>
      </c>
      <c r="Y26" s="21" t="s">
        <v>879</v>
      </c>
      <c r="Z26" s="1332">
        <v>2601</v>
      </c>
      <c r="AA26" s="18" t="s">
        <v>831</v>
      </c>
      <c r="AB26" s="22" t="s">
        <v>831</v>
      </c>
      <c r="AC26" s="22" t="s">
        <v>831</v>
      </c>
      <c r="AD26" s="22" t="s">
        <v>831</v>
      </c>
      <c r="AE26" s="22" t="s">
        <v>831</v>
      </c>
      <c r="AF26" s="18" t="s">
        <v>778</v>
      </c>
      <c r="AG26" s="22" t="s">
        <v>779</v>
      </c>
      <c r="AH26" s="22" t="s">
        <v>780</v>
      </c>
      <c r="AI26" s="23" t="s">
        <v>832</v>
      </c>
      <c r="AJ26" s="1322"/>
      <c r="AK26" s="1481" t="s">
        <v>831</v>
      </c>
      <c r="AL26" s="1486" t="str">
        <f t="shared" si="0"/>
        <v>Evoenergy Gas</v>
      </c>
    </row>
    <row r="27" spans="2:38" x14ac:dyDescent="0.25">
      <c r="B27" s="1462" t="s">
        <v>883</v>
      </c>
      <c r="C27" s="1321" t="s">
        <v>884</v>
      </c>
      <c r="D27" s="1320" t="s">
        <v>885</v>
      </c>
      <c r="E27" s="1484" t="s">
        <v>886</v>
      </c>
      <c r="F27" s="1319" t="s">
        <v>848</v>
      </c>
      <c r="G27" s="1314" t="s">
        <v>440</v>
      </c>
      <c r="H27" s="1314" t="s">
        <v>822</v>
      </c>
      <c r="I27" s="19" t="s">
        <v>506</v>
      </c>
      <c r="J27" s="1331" t="s">
        <v>823</v>
      </c>
      <c r="K27" s="1314" t="s">
        <v>824</v>
      </c>
      <c r="L27" s="1318">
        <v>5</v>
      </c>
      <c r="M27" s="1327">
        <v>5</v>
      </c>
      <c r="N27" s="1326">
        <v>5</v>
      </c>
      <c r="O27" s="1315"/>
      <c r="P27" s="1328"/>
      <c r="Q27" s="1313"/>
      <c r="R27" s="1312"/>
      <c r="S27" s="1312"/>
      <c r="T27" s="1312"/>
      <c r="U27" s="1311"/>
      <c r="V27" s="1313"/>
      <c r="W27" s="1312"/>
      <c r="X27" s="1312"/>
      <c r="Y27" s="1312"/>
      <c r="Z27" s="1330"/>
      <c r="AA27" s="1310" t="s">
        <v>831</v>
      </c>
      <c r="AB27" s="1309" t="s">
        <v>831</v>
      </c>
      <c r="AC27" s="1309" t="s">
        <v>831</v>
      </c>
      <c r="AD27" s="1309" t="s">
        <v>831</v>
      </c>
      <c r="AE27" s="1309" t="s">
        <v>831</v>
      </c>
      <c r="AF27" s="1310" t="s">
        <v>778</v>
      </c>
      <c r="AG27" s="1309" t="s">
        <v>779</v>
      </c>
      <c r="AH27" s="1309" t="s">
        <v>780</v>
      </c>
      <c r="AI27" s="1308" t="s">
        <v>832</v>
      </c>
      <c r="AJ27" s="1307"/>
      <c r="AK27" s="1482" t="s">
        <v>831</v>
      </c>
      <c r="AL27" s="1486" t="str">
        <f t="shared" si="0"/>
        <v>JGN</v>
      </c>
    </row>
    <row r="28" spans="2:38" x14ac:dyDescent="0.25">
      <c r="B28" s="1461" t="s">
        <v>887</v>
      </c>
      <c r="C28" s="1325" t="s">
        <v>888</v>
      </c>
      <c r="D28" s="1329" t="s">
        <v>889</v>
      </c>
      <c r="E28" s="1483" t="s">
        <v>890</v>
      </c>
      <c r="F28" s="886" t="s">
        <v>444</v>
      </c>
      <c r="G28" s="14" t="s">
        <v>440</v>
      </c>
      <c r="H28" s="14" t="s">
        <v>822</v>
      </c>
      <c r="I28" s="19" t="s">
        <v>506</v>
      </c>
      <c r="J28" s="15" t="s">
        <v>823</v>
      </c>
      <c r="K28" s="14" t="s">
        <v>824</v>
      </c>
      <c r="L28" s="16">
        <v>5</v>
      </c>
      <c r="M28" s="1159">
        <v>5</v>
      </c>
      <c r="N28" s="1160">
        <v>5</v>
      </c>
      <c r="O28" s="887" t="s">
        <v>825</v>
      </c>
      <c r="P28" s="20"/>
      <c r="Q28" s="17" t="s">
        <v>891</v>
      </c>
      <c r="R28" s="21"/>
      <c r="S28" s="21" t="s">
        <v>892</v>
      </c>
      <c r="T28" s="21" t="s">
        <v>444</v>
      </c>
      <c r="U28" s="1323">
        <v>3149</v>
      </c>
      <c r="V28" s="17"/>
      <c r="W28" s="21"/>
      <c r="X28" s="21"/>
      <c r="Y28" s="21" t="s">
        <v>444</v>
      </c>
      <c r="Z28" s="1323"/>
      <c r="AA28" s="18" t="s">
        <v>831</v>
      </c>
      <c r="AB28" s="22" t="s">
        <v>831</v>
      </c>
      <c r="AC28" s="22" t="s">
        <v>831</v>
      </c>
      <c r="AD28" s="22" t="s">
        <v>831</v>
      </c>
      <c r="AE28" s="22" t="s">
        <v>831</v>
      </c>
      <c r="AF28" s="18" t="s">
        <v>778</v>
      </c>
      <c r="AG28" s="22" t="s">
        <v>779</v>
      </c>
      <c r="AH28" s="22" t="s">
        <v>780</v>
      </c>
      <c r="AI28" s="23" t="s">
        <v>832</v>
      </c>
      <c r="AJ28" s="1322"/>
      <c r="AK28" s="1481" t="s">
        <v>831</v>
      </c>
      <c r="AL28" s="1486" t="str">
        <f t="shared" si="0"/>
        <v>Multinet Gas</v>
      </c>
    </row>
    <row r="29" spans="2:38" x14ac:dyDescent="0.25">
      <c r="B29" s="1462" t="s">
        <v>893</v>
      </c>
      <c r="C29" s="1321" t="s">
        <v>894</v>
      </c>
      <c r="D29" s="1320" t="s">
        <v>895</v>
      </c>
      <c r="E29" s="1490" t="s">
        <v>896</v>
      </c>
      <c r="F29" s="1319" t="s">
        <v>897</v>
      </c>
      <c r="G29" s="1314" t="s">
        <v>440</v>
      </c>
      <c r="H29" s="1314" t="s">
        <v>441</v>
      </c>
      <c r="I29" s="19" t="s">
        <v>506</v>
      </c>
      <c r="J29" s="1479" t="s">
        <v>823</v>
      </c>
      <c r="K29" s="1480" t="s">
        <v>824</v>
      </c>
      <c r="L29" s="1318">
        <v>5</v>
      </c>
      <c r="M29" s="1327">
        <v>5</v>
      </c>
      <c r="N29" s="1326">
        <v>5</v>
      </c>
      <c r="O29" s="1315" t="s">
        <v>825</v>
      </c>
      <c r="P29" s="1328" t="s">
        <v>844</v>
      </c>
      <c r="Q29" s="1313" t="s">
        <v>846</v>
      </c>
      <c r="R29" s="1312"/>
      <c r="S29" s="1312" t="s">
        <v>847</v>
      </c>
      <c r="T29" s="1312" t="s">
        <v>848</v>
      </c>
      <c r="U29" s="1311">
        <v>2000</v>
      </c>
      <c r="V29" s="1313" t="s">
        <v>852</v>
      </c>
      <c r="W29" s="1312"/>
      <c r="X29" s="1312" t="s">
        <v>853</v>
      </c>
      <c r="Y29" s="1312" t="s">
        <v>848</v>
      </c>
      <c r="Z29" s="1311">
        <v>1225</v>
      </c>
      <c r="AA29" s="1310" t="s">
        <v>831</v>
      </c>
      <c r="AB29" s="1309" t="s">
        <v>831</v>
      </c>
      <c r="AC29" s="1309" t="s">
        <v>831</v>
      </c>
      <c r="AD29" s="1309" t="s">
        <v>831</v>
      </c>
      <c r="AE29" s="1309" t="s">
        <v>831</v>
      </c>
      <c r="AF29" s="1310" t="s">
        <v>778</v>
      </c>
      <c r="AG29" s="1309" t="s">
        <v>779</v>
      </c>
      <c r="AH29" s="1309" t="s">
        <v>780</v>
      </c>
      <c r="AI29" s="1308" t="s">
        <v>832</v>
      </c>
      <c r="AJ29" s="1307"/>
      <c r="AK29" s="1482" t="s">
        <v>831</v>
      </c>
      <c r="AL29" s="1486" t="str">
        <f t="shared" si="0"/>
        <v>Roma to Brisbane Pipeline</v>
      </c>
    </row>
    <row r="30" spans="2:38" x14ac:dyDescent="0.25">
      <c r="C30" s="11"/>
      <c r="E30"/>
      <c r="F30" s="75"/>
      <c r="H30"/>
      <c r="I30" s="77"/>
      <c r="J30" s="12"/>
      <c r="L30" s="77"/>
      <c r="M30" s="13"/>
      <c r="O30"/>
      <c r="P30" s="77"/>
      <c r="X30" s="51"/>
      <c r="Y30" s="51"/>
    </row>
    <row r="31" spans="2:38" x14ac:dyDescent="0.25">
      <c r="C31" s="11"/>
      <c r="E31"/>
      <c r="F31" s="75"/>
      <c r="H31"/>
      <c r="I31" s="77"/>
      <c r="J31" s="12"/>
      <c r="L31" s="77"/>
      <c r="M31" s="13"/>
      <c r="O31"/>
      <c r="X31" s="51"/>
      <c r="Y31" s="51"/>
    </row>
    <row r="32" spans="2:38" x14ac:dyDescent="0.25">
      <c r="C32" s="11"/>
      <c r="X32" s="51"/>
    </row>
    <row r="33" spans="2:25" ht="15.75" thickBot="1" x14ac:dyDescent="0.3">
      <c r="C33" s="11"/>
      <c r="H33"/>
      <c r="I33"/>
      <c r="J33"/>
      <c r="K33"/>
      <c r="X33" s="51"/>
    </row>
    <row r="34" spans="2:25" ht="47.25" customHeight="1" thickBot="1" x14ac:dyDescent="0.3">
      <c r="B34" s="1694" t="s">
        <v>898</v>
      </c>
      <c r="C34" s="1695"/>
      <c r="D34" s="1695"/>
      <c r="E34" s="1695"/>
      <c r="H34"/>
      <c r="I34"/>
      <c r="J34"/>
      <c r="K34"/>
      <c r="L34" s="77"/>
      <c r="M34" s="77"/>
      <c r="N34" s="13"/>
      <c r="O34"/>
      <c r="P34"/>
      <c r="X34" s="51"/>
      <c r="Y34" s="51"/>
    </row>
    <row r="35" spans="2:25" ht="31.5" customHeight="1" thickBot="1" x14ac:dyDescent="0.3">
      <c r="B35" s="888" t="s">
        <v>899</v>
      </c>
      <c r="C35" s="889" t="s">
        <v>900</v>
      </c>
      <c r="D35" s="890" t="s">
        <v>901</v>
      </c>
      <c r="E35" s="891" t="s">
        <v>902</v>
      </c>
      <c r="H35"/>
      <c r="I35"/>
      <c r="J35"/>
      <c r="K35"/>
      <c r="L35" s="24"/>
      <c r="M35" s="24"/>
      <c r="N35" s="25"/>
      <c r="O35"/>
      <c r="P35"/>
      <c r="X35" s="51"/>
      <c r="Y35" s="51"/>
    </row>
    <row r="36" spans="2:25" x14ac:dyDescent="0.25">
      <c r="B36" s="892" t="s">
        <v>903</v>
      </c>
      <c r="C36" s="892" t="s">
        <v>904</v>
      </c>
      <c r="D36" s="893" t="str">
        <f>IF(dms_MultiYear_ResponseFlag="yes","NEW HISTORICAL ANNUAL REPORTING","ANNUAL REPORTING")</f>
        <v>ANNUAL REPORTING</v>
      </c>
      <c r="E36" s="894">
        <v>1</v>
      </c>
      <c r="H36"/>
      <c r="I36"/>
      <c r="J36"/>
      <c r="K36"/>
      <c r="L36" s="77"/>
      <c r="M36" s="77"/>
      <c r="N36" s="13"/>
      <c r="O36"/>
      <c r="P36"/>
      <c r="X36" s="51"/>
      <c r="Y36" s="51"/>
    </row>
    <row r="37" spans="2:25" x14ac:dyDescent="0.25">
      <c r="B37" s="895" t="s">
        <v>905</v>
      </c>
      <c r="C37" s="895" t="s">
        <v>906</v>
      </c>
      <c r="D37" s="896" t="str">
        <f>IF(dms_MultiYear_ResponseFlag="yes","NEW HISTORICAL CATEGORY ANALYSIS","CATEGORY ANALYSIS")</f>
        <v>CATEGORY ANALYSIS</v>
      </c>
      <c r="E37" s="897">
        <v>1</v>
      </c>
      <c r="H37"/>
      <c r="I37"/>
      <c r="J37"/>
      <c r="K37"/>
      <c r="L37" s="77"/>
      <c r="M37" s="77"/>
      <c r="N37" s="13"/>
      <c r="O37"/>
      <c r="P37"/>
      <c r="X37" s="51"/>
      <c r="Y37" s="51"/>
    </row>
    <row r="38" spans="2:25" x14ac:dyDescent="0.25">
      <c r="B38" s="895" t="s">
        <v>907</v>
      </c>
      <c r="C38" s="895" t="s">
        <v>908</v>
      </c>
      <c r="D38" s="896" t="s">
        <v>909</v>
      </c>
      <c r="E38" s="897">
        <v>5</v>
      </c>
      <c r="H38"/>
      <c r="I38"/>
      <c r="J38"/>
      <c r="K38"/>
      <c r="L38"/>
      <c r="M38" s="77"/>
      <c r="N38" s="13"/>
      <c r="O38"/>
      <c r="P38"/>
      <c r="X38" s="51"/>
      <c r="Y38" s="51"/>
    </row>
    <row r="39" spans="2:25" x14ac:dyDescent="0.25">
      <c r="B39" s="895" t="s">
        <v>910</v>
      </c>
      <c r="C39" s="895" t="s">
        <v>910</v>
      </c>
      <c r="D39" s="896" t="s">
        <v>910</v>
      </c>
      <c r="E39" s="897">
        <v>5</v>
      </c>
      <c r="H39"/>
      <c r="I39"/>
      <c r="J39"/>
      <c r="K39"/>
      <c r="L39"/>
      <c r="M39" s="77"/>
      <c r="N39" s="13"/>
      <c r="O39"/>
      <c r="P39"/>
      <c r="X39" s="51"/>
      <c r="Y39" s="51"/>
    </row>
    <row r="40" spans="2:25" x14ac:dyDescent="0.25">
      <c r="B40" s="895" t="s">
        <v>911</v>
      </c>
      <c r="C40" s="895" t="s">
        <v>912</v>
      </c>
      <c r="D40" s="896" t="str">
        <f>IF(dms_MultiYear_ResponseFlag="yes","NEW HISTORICAL ECONOMIC BENCHMARKING","ECONOMIC BENCHMARKING")</f>
        <v>ECONOMIC BENCHMARKING</v>
      </c>
      <c r="E40" s="898">
        <v>1</v>
      </c>
      <c r="H40"/>
      <c r="I40"/>
      <c r="J40"/>
      <c r="K40"/>
      <c r="L40"/>
      <c r="M40" s="77"/>
      <c r="N40" s="13"/>
      <c r="O40"/>
      <c r="P40"/>
      <c r="X40" s="51"/>
      <c r="Y40" s="51"/>
    </row>
    <row r="41" spans="2:25" x14ac:dyDescent="0.25">
      <c r="B41" s="895" t="s">
        <v>913</v>
      </c>
      <c r="C41" s="895" t="s">
        <v>914</v>
      </c>
      <c r="D41" s="896" t="s">
        <v>915</v>
      </c>
      <c r="E41" s="898">
        <v>5</v>
      </c>
      <c r="H41"/>
      <c r="I41"/>
      <c r="J41"/>
      <c r="K41"/>
      <c r="L41"/>
      <c r="M41" s="77"/>
      <c r="N41" s="13"/>
      <c r="O41"/>
      <c r="P41"/>
      <c r="X41" s="51"/>
      <c r="Y41" s="51"/>
    </row>
    <row r="42" spans="2:25" x14ac:dyDescent="0.25">
      <c r="B42" s="895" t="s">
        <v>916</v>
      </c>
      <c r="C42" s="895" t="s">
        <v>917</v>
      </c>
      <c r="D42" s="896" t="s">
        <v>918</v>
      </c>
      <c r="E42" s="898">
        <v>5</v>
      </c>
      <c r="H42"/>
      <c r="I42"/>
      <c r="J42"/>
      <c r="K42"/>
      <c r="L42"/>
      <c r="M42" s="77"/>
      <c r="N42" s="13"/>
      <c r="O42"/>
      <c r="P42"/>
      <c r="X42" s="51"/>
      <c r="Y42" s="51"/>
    </row>
    <row r="43" spans="2:25" x14ac:dyDescent="0.25">
      <c r="B43" s="895" t="s">
        <v>919</v>
      </c>
      <c r="C43" s="895" t="s">
        <v>919</v>
      </c>
      <c r="D43" s="896" t="s">
        <v>920</v>
      </c>
      <c r="E43" s="898">
        <v>5</v>
      </c>
      <c r="H43"/>
      <c r="I43"/>
      <c r="J43"/>
      <c r="K43"/>
      <c r="L43"/>
      <c r="M43" s="77"/>
      <c r="N43" s="13"/>
      <c r="O43"/>
      <c r="P43"/>
      <c r="X43" s="51"/>
      <c r="Y43" s="51"/>
    </row>
    <row r="44" spans="2:25" x14ac:dyDescent="0.25">
      <c r="B44" s="895" t="s">
        <v>683</v>
      </c>
      <c r="C44" s="895" t="s">
        <v>921</v>
      </c>
      <c r="D44" s="896" t="s">
        <v>922</v>
      </c>
      <c r="E44" s="898">
        <v>5</v>
      </c>
      <c r="H44"/>
      <c r="I44"/>
      <c r="J44"/>
      <c r="K44"/>
      <c r="L44"/>
      <c r="M44" s="77"/>
      <c r="N44" s="13"/>
      <c r="O44"/>
      <c r="P44"/>
      <c r="X44" s="51"/>
      <c r="Y44" s="51"/>
    </row>
    <row r="45" spans="2:25" x14ac:dyDescent="0.25">
      <c r="B45" s="895" t="s">
        <v>923</v>
      </c>
      <c r="C45" s="895" t="s">
        <v>924</v>
      </c>
      <c r="D45" s="896" t="s">
        <v>925</v>
      </c>
      <c r="E45" s="898">
        <v>5</v>
      </c>
      <c r="H45"/>
      <c r="I45"/>
      <c r="J45"/>
      <c r="K45"/>
      <c r="L45"/>
      <c r="M45" s="77"/>
      <c r="N45" s="13"/>
      <c r="O45"/>
      <c r="P45"/>
      <c r="X45" s="51"/>
      <c r="Y45" s="51"/>
    </row>
    <row r="46" spans="2:25" x14ac:dyDescent="0.25">
      <c r="B46" s="895" t="s">
        <v>677</v>
      </c>
      <c r="C46" s="895" t="s">
        <v>926</v>
      </c>
      <c r="D46" s="896" t="s">
        <v>927</v>
      </c>
      <c r="E46" s="898">
        <v>5</v>
      </c>
      <c r="H46"/>
      <c r="I46"/>
      <c r="J46"/>
      <c r="K46"/>
      <c r="L46"/>
      <c r="M46" s="77"/>
      <c r="N46" s="13"/>
      <c r="O46"/>
      <c r="P46"/>
      <c r="X46" s="51"/>
      <c r="Y46" s="51"/>
    </row>
    <row r="47" spans="2:25" ht="15.75" thickBot="1" x14ac:dyDescent="0.3">
      <c r="B47" s="899" t="s">
        <v>928</v>
      </c>
      <c r="C47" s="899" t="s">
        <v>929</v>
      </c>
      <c r="D47" s="900" t="s">
        <v>930</v>
      </c>
      <c r="E47" s="901">
        <v>1</v>
      </c>
      <c r="H47"/>
      <c r="I47"/>
      <c r="J47"/>
      <c r="K47"/>
      <c r="L47"/>
      <c r="M47" s="77"/>
      <c r="N47" s="13"/>
      <c r="O47"/>
      <c r="P47"/>
      <c r="X47" s="51"/>
      <c r="Y47" s="51"/>
    </row>
    <row r="48" spans="2:25" s="51" customFormat="1" x14ac:dyDescent="0.25">
      <c r="E48" s="619"/>
    </row>
    <row r="49" spans="2:22" x14ac:dyDescent="0.25">
      <c r="B49"/>
      <c r="C49" s="51"/>
      <c r="D49" s="51"/>
      <c r="E49" s="619"/>
      <c r="F49" s="51"/>
      <c r="G49" s="51"/>
      <c r="H49" s="51"/>
      <c r="I49" s="51"/>
      <c r="J49" s="51"/>
      <c r="K49" s="51"/>
      <c r="L49" s="51"/>
      <c r="O49"/>
      <c r="P49"/>
      <c r="Q49"/>
      <c r="R49"/>
      <c r="S49"/>
      <c r="T49"/>
      <c r="U49"/>
      <c r="V49"/>
    </row>
    <row r="50" spans="2:22" x14ac:dyDescent="0.25">
      <c r="C50" s="38"/>
      <c r="E50" s="156"/>
    </row>
    <row r="51" spans="2:22" ht="15.75" thickBot="1" x14ac:dyDescent="0.3">
      <c r="B51" s="902" t="s">
        <v>823</v>
      </c>
      <c r="C51" s="395" t="s">
        <v>931</v>
      </c>
      <c r="E51" s="903" t="s">
        <v>932</v>
      </c>
      <c r="G51" s="903" t="s">
        <v>933</v>
      </c>
      <c r="H51"/>
      <c r="I51" s="904" t="s">
        <v>934</v>
      </c>
    </row>
    <row r="52" spans="2:22" ht="15.75" thickBot="1" x14ac:dyDescent="0.3">
      <c r="B52" s="40" t="s">
        <v>935</v>
      </c>
      <c r="C52" s="1306" t="s">
        <v>936</v>
      </c>
      <c r="D52" s="905" t="s">
        <v>937</v>
      </c>
      <c r="E52" s="906" t="str">
        <f ca="1">INDEX(INDIRECT(dms_RPT),dms_PRCP_start_row)</f>
        <v>2016-17</v>
      </c>
      <c r="F52" s="905" t="s">
        <v>938</v>
      </c>
      <c r="G52" s="906" t="str">
        <f ca="1">INDEX(INDIRECT(dms_RPT),dms_CRCP_start_row)</f>
        <v>2021-22</v>
      </c>
      <c r="H52" s="907" t="str">
        <f>FRCP_y1</f>
        <v>2026-27</v>
      </c>
      <c r="I52" s="906" t="str">
        <f ca="1">INDEX(INDIRECT(dms_RPT),dms_FRCP_start_row)</f>
        <v>2026-27</v>
      </c>
    </row>
    <row r="53" spans="2:22" x14ac:dyDescent="0.25">
      <c r="B53" s="41" t="s">
        <v>939</v>
      </c>
      <c r="C53" s="1305" t="s">
        <v>940</v>
      </c>
      <c r="D53" s="908" t="s">
        <v>941</v>
      </c>
      <c r="E53" s="909" t="str">
        <f ca="1">INDEX(INDIRECT(dms_RPT),dms_PRCP_start_row+1)</f>
        <v>2017-18</v>
      </c>
      <c r="F53" s="908" t="s">
        <v>942</v>
      </c>
      <c r="G53" s="910" t="str">
        <f ca="1">INDEX(INDIRECT(dms_RPT),dms_CRCP_start_row+1)</f>
        <v>2022-23</v>
      </c>
      <c r="H53" s="911" t="s">
        <v>943</v>
      </c>
      <c r="I53" s="910" t="str">
        <f ca="1">INDEX(INDIRECT(dms_RPT),dms_FRCP_start_row+1)</f>
        <v>2027-28</v>
      </c>
    </row>
    <row r="54" spans="2:22" x14ac:dyDescent="0.25">
      <c r="B54" s="41" t="s">
        <v>944</v>
      </c>
      <c r="C54" s="1305" t="s">
        <v>945</v>
      </c>
      <c r="D54" s="908" t="s">
        <v>946</v>
      </c>
      <c r="E54" s="910" t="str">
        <f ca="1">INDEX(INDIRECT(dms_RPT),dms_PRCP_start_row+2)</f>
        <v>2018-19</v>
      </c>
      <c r="F54" s="908" t="s">
        <v>947</v>
      </c>
      <c r="G54" s="910" t="str">
        <f ca="1">INDEX(INDIRECT(dms_RPT),dms_CRCP_start_row+2)</f>
        <v>2023-24</v>
      </c>
      <c r="H54" s="908" t="s">
        <v>948</v>
      </c>
      <c r="I54" s="910" t="str">
        <f ca="1">INDEX(INDIRECT(dms_RPT),dms_FRCP_start_row+2)</f>
        <v>2028-29</v>
      </c>
    </row>
    <row r="55" spans="2:22" x14ac:dyDescent="0.25">
      <c r="B55" s="41" t="s">
        <v>949</v>
      </c>
      <c r="C55" s="1305" t="s">
        <v>950</v>
      </c>
      <c r="D55" s="908" t="s">
        <v>951</v>
      </c>
      <c r="E55" s="910" t="str">
        <f ca="1">INDEX(INDIRECT(dms_RPT),dms_PRCP_start_row+3)</f>
        <v>2019-20</v>
      </c>
      <c r="F55" s="908" t="s">
        <v>952</v>
      </c>
      <c r="G55" s="910" t="str">
        <f ca="1">INDEX(INDIRECT(dms_RPT),dms_CRCP_start_row+3)</f>
        <v>2024-25</v>
      </c>
      <c r="H55" s="908" t="s">
        <v>953</v>
      </c>
      <c r="I55" s="910" t="str">
        <f ca="1">INDEX(INDIRECT(dms_RPT),dms_FRCP_start_row+3)</f>
        <v>2029-30</v>
      </c>
    </row>
    <row r="56" spans="2:22" x14ac:dyDescent="0.25">
      <c r="B56" s="41" t="s">
        <v>954</v>
      </c>
      <c r="C56" s="1305" t="s">
        <v>955</v>
      </c>
      <c r="D56" s="908" t="s">
        <v>956</v>
      </c>
      <c r="E56" s="910" t="str">
        <f ca="1">INDEX(INDIRECT(dms_RPT),dms_PRCP_start_row+4)</f>
        <v>2020-21</v>
      </c>
      <c r="F56" s="908" t="s">
        <v>957</v>
      </c>
      <c r="G56" s="910" t="str">
        <f ca="1">INDEX(INDIRECT(dms_RPT),dms_CRCP_start_row+4)</f>
        <v>2025-26</v>
      </c>
      <c r="H56" s="908" t="s">
        <v>958</v>
      </c>
      <c r="I56" s="910" t="str">
        <f ca="1">INDEX(INDIRECT(dms_RPT),dms_FRCP_start_row+4)</f>
        <v>2030-31</v>
      </c>
    </row>
    <row r="57" spans="2:22" x14ac:dyDescent="0.25">
      <c r="B57" s="41" t="s">
        <v>959</v>
      </c>
      <c r="C57" s="1305" t="s">
        <v>960</v>
      </c>
      <c r="D57" s="908" t="s">
        <v>961</v>
      </c>
      <c r="E57" s="910" t="str">
        <f ca="1">INDEX(INDIRECT(dms_RPT),dms_PRCP_start_row+5)</f>
        <v>2021-22</v>
      </c>
      <c r="F57" s="908" t="s">
        <v>962</v>
      </c>
      <c r="G57" s="910" t="str">
        <f ca="1">INDEX(INDIRECT(dms_RPT),dms_CRCP_start_row+5)</f>
        <v>2026-27</v>
      </c>
      <c r="H57" s="908" t="s">
        <v>963</v>
      </c>
      <c r="I57" s="910" t="str">
        <f ca="1">INDEX(INDIRECT(dms_RPT),dms_FRCP_start_row+5)</f>
        <v>2031-32</v>
      </c>
    </row>
    <row r="58" spans="2:22" x14ac:dyDescent="0.25">
      <c r="B58" s="41" t="s">
        <v>964</v>
      </c>
      <c r="C58" s="1305" t="s">
        <v>965</v>
      </c>
      <c r="D58" s="908" t="s">
        <v>966</v>
      </c>
      <c r="E58" s="910" t="str">
        <f ca="1">INDEX(INDIRECT(dms_RPT),dms_PRCP_start_row+6)</f>
        <v>2022-23</v>
      </c>
      <c r="F58" s="908" t="s">
        <v>967</v>
      </c>
      <c r="G58" s="910" t="str">
        <f ca="1">INDEX(INDIRECT(dms_RPT),dms_CRCP_start_row+6)</f>
        <v>2027-28</v>
      </c>
      <c r="H58" s="908" t="s">
        <v>968</v>
      </c>
      <c r="I58" s="910" t="str">
        <f ca="1">INDEX(INDIRECT(dms_RPT),dms_FRCP_start_row+6)</f>
        <v>2032-33</v>
      </c>
    </row>
    <row r="59" spans="2:22" x14ac:dyDescent="0.25">
      <c r="B59" s="41" t="s">
        <v>969</v>
      </c>
      <c r="C59" s="1305" t="s">
        <v>970</v>
      </c>
      <c r="D59" s="908" t="s">
        <v>971</v>
      </c>
      <c r="E59" s="910" t="str">
        <f ca="1">INDEX(INDIRECT(dms_RPT),dms_PRCP_start_row+7)</f>
        <v>2023-24</v>
      </c>
      <c r="F59" s="908" t="s">
        <v>972</v>
      </c>
      <c r="G59" s="910" t="str">
        <f ca="1">INDEX(INDIRECT(dms_RPT),dms_CRCP_start_row+7)</f>
        <v>2028-29</v>
      </c>
      <c r="H59" s="908" t="s">
        <v>973</v>
      </c>
      <c r="I59" s="910" t="str">
        <f ca="1">INDEX(INDIRECT(dms_RPT),dms_FRCP_start_row+7)</f>
        <v>2033-34</v>
      </c>
      <c r="J59"/>
      <c r="K59"/>
      <c r="L59"/>
    </row>
    <row r="60" spans="2:22" x14ac:dyDescent="0.25">
      <c r="B60" s="41" t="s">
        <v>974</v>
      </c>
      <c r="C60" s="1305" t="s">
        <v>975</v>
      </c>
      <c r="D60" s="908" t="s">
        <v>976</v>
      </c>
      <c r="E60" s="910" t="str">
        <f ca="1">INDEX(INDIRECT(dms_RPT),dms_PRCP_start_row+8)</f>
        <v>2024-25</v>
      </c>
      <c r="F60" s="908" t="s">
        <v>977</v>
      </c>
      <c r="G60" s="910" t="str">
        <f ca="1">INDEX(INDIRECT(dms_RPT),dms_CRCP_start_row+8)</f>
        <v>2029-30</v>
      </c>
      <c r="H60" s="908" t="s">
        <v>978</v>
      </c>
      <c r="I60" s="910" t="str">
        <f ca="1">INDEX(INDIRECT(dms_RPT),dms_FRCP_start_row+8)</f>
        <v>2034-35</v>
      </c>
      <c r="J60"/>
      <c r="K60"/>
      <c r="L60"/>
    </row>
    <row r="61" spans="2:22" x14ac:dyDescent="0.25">
      <c r="B61" s="41" t="s">
        <v>979</v>
      </c>
      <c r="C61" s="1305" t="s">
        <v>980</v>
      </c>
      <c r="D61" s="908" t="s">
        <v>981</v>
      </c>
      <c r="E61" s="910" t="str">
        <f ca="1">INDEX(INDIRECT(dms_RPT),dms_PRCP_start_row+9)</f>
        <v>2025-26</v>
      </c>
      <c r="F61" s="908" t="s">
        <v>982</v>
      </c>
      <c r="G61" s="910" t="str">
        <f ca="1">INDEX(INDIRECT(dms_RPT),dms_CRCP_start_row+9)</f>
        <v>2030-31</v>
      </c>
      <c r="H61" s="908" t="s">
        <v>983</v>
      </c>
      <c r="I61" s="910" t="str">
        <f ca="1">INDEX(INDIRECT(dms_RPT),dms_FRCP_start_row+9)</f>
        <v>2035-36</v>
      </c>
      <c r="J61"/>
      <c r="K61"/>
      <c r="L61"/>
    </row>
    <row r="62" spans="2:22" x14ac:dyDescent="0.25">
      <c r="B62" s="41" t="s">
        <v>984</v>
      </c>
      <c r="C62" s="1305" t="s">
        <v>985</v>
      </c>
      <c r="D62" s="908" t="s">
        <v>986</v>
      </c>
      <c r="E62" s="910" t="str">
        <f ca="1">INDEX(INDIRECT(dms_RPT),dms_PRCP_start_row+10)</f>
        <v>2026-27</v>
      </c>
      <c r="F62" s="908" t="s">
        <v>987</v>
      </c>
      <c r="G62" s="910" t="str">
        <f ca="1">INDEX(INDIRECT(dms_RPT),dms_CRCP_start_row+10)</f>
        <v>2031-32</v>
      </c>
      <c r="H62" s="908" t="s">
        <v>988</v>
      </c>
      <c r="I62" s="910" t="str">
        <f ca="1">INDEX(INDIRECT(dms_RPT),dms_FRCP_start_row+10)</f>
        <v>2036-37</v>
      </c>
      <c r="J62"/>
      <c r="K62"/>
      <c r="L62"/>
    </row>
    <row r="63" spans="2:22" x14ac:dyDescent="0.25">
      <c r="B63" s="41" t="s">
        <v>989</v>
      </c>
      <c r="C63" s="1305" t="s">
        <v>990</v>
      </c>
      <c r="D63" s="908" t="s">
        <v>991</v>
      </c>
      <c r="E63" s="910" t="str">
        <f ca="1">INDEX(INDIRECT(dms_RPT),dms_PRCP_start_row+11)</f>
        <v>2027-28</v>
      </c>
      <c r="F63" s="908" t="s">
        <v>992</v>
      </c>
      <c r="G63" s="910" t="str">
        <f ca="1">INDEX(INDIRECT(dms_RPT),dms_CRCP_start_row+11)</f>
        <v>2032-33</v>
      </c>
      <c r="H63" s="908" t="s">
        <v>993</v>
      </c>
      <c r="I63" s="910" t="str">
        <f ca="1">INDEX(INDIRECT(dms_RPT),dms_FRCP_start_row+11)</f>
        <v>2037-38</v>
      </c>
      <c r="J63"/>
      <c r="K63"/>
      <c r="L63"/>
    </row>
    <row r="64" spans="2:22" x14ac:dyDescent="0.25">
      <c r="B64" s="41" t="s">
        <v>994</v>
      </c>
      <c r="C64" s="1305" t="s">
        <v>995</v>
      </c>
      <c r="D64" s="908" t="s">
        <v>996</v>
      </c>
      <c r="E64" s="910" t="str">
        <f ca="1">INDEX(INDIRECT(dms_RPT),dms_PRCP_start_row+12)</f>
        <v>2028-29</v>
      </c>
      <c r="F64" s="908" t="s">
        <v>997</v>
      </c>
      <c r="G64" s="910" t="str">
        <f ca="1">INDEX(INDIRECT(dms_RPT),dms_CRCP_start_row+12)</f>
        <v>2033-34</v>
      </c>
      <c r="H64" s="908" t="s">
        <v>998</v>
      </c>
      <c r="I64" s="910" t="str">
        <f ca="1">INDEX(INDIRECT(dms_RPT),dms_FRCP_start_row+12)</f>
        <v>2038-39</v>
      </c>
      <c r="J64"/>
      <c r="K64"/>
      <c r="L64"/>
    </row>
    <row r="65" spans="2:12" x14ac:dyDescent="0.25">
      <c r="B65" s="41" t="s">
        <v>999</v>
      </c>
      <c r="C65" s="1305" t="s">
        <v>1000</v>
      </c>
      <c r="D65" s="908" t="s">
        <v>1001</v>
      </c>
      <c r="E65" s="910" t="str">
        <f ca="1">INDEX(INDIRECT(dms_RPT),dms_PRCP_start_row+13)</f>
        <v>2029-30</v>
      </c>
      <c r="F65" s="908" t="s">
        <v>1002</v>
      </c>
      <c r="G65" s="910" t="str">
        <f ca="1">INDEX(INDIRECT(dms_RPT),dms_CRCP_start_row+13)</f>
        <v>2034-35</v>
      </c>
      <c r="H65" s="908" t="s">
        <v>1003</v>
      </c>
      <c r="I65" s="910" t="str">
        <f ca="1">INDEX(INDIRECT(dms_RPT),dms_FRCP_start_row+13)</f>
        <v>2039-40</v>
      </c>
      <c r="J65"/>
      <c r="K65"/>
      <c r="L65"/>
    </row>
    <row r="66" spans="2:12" x14ac:dyDescent="0.25">
      <c r="B66" s="41" t="s">
        <v>1004</v>
      </c>
      <c r="C66" s="1305" t="s">
        <v>1005</v>
      </c>
      <c r="D66" s="908" t="s">
        <v>1006</v>
      </c>
      <c r="E66" s="910" t="str">
        <f ca="1">INDEX(INDIRECT(dms_RPT),dms_PRCP_start_row+14)</f>
        <v>2030-31</v>
      </c>
      <c r="F66" s="908" t="s">
        <v>1007</v>
      </c>
      <c r="G66" s="910" t="str">
        <f ca="1">INDEX(INDIRECT(dms_RPT),dms_CRCP_start_row+14)</f>
        <v>2035-36</v>
      </c>
      <c r="H66" s="908" t="s">
        <v>1008</v>
      </c>
      <c r="I66" s="910" t="str">
        <f ca="1">INDEX(INDIRECT(dms_RPT),dms_FRCP_start_row+14)</f>
        <v>2040-41</v>
      </c>
      <c r="J66"/>
      <c r="K66"/>
      <c r="L66"/>
    </row>
    <row r="67" spans="2:12" x14ac:dyDescent="0.25">
      <c r="B67" s="41" t="s">
        <v>1009</v>
      </c>
      <c r="C67" s="1305" t="s">
        <v>1010</v>
      </c>
      <c r="D67" s="908" t="s">
        <v>1011</v>
      </c>
      <c r="E67" s="910" t="str">
        <f ca="1">INDEX(INDIRECT(dms_RPT),dms_PRCP_start_row+15)</f>
        <v>2031-32</v>
      </c>
      <c r="F67" s="908" t="s">
        <v>1012</v>
      </c>
      <c r="G67" s="910" t="str">
        <f ca="1">INDEX(INDIRECT(dms_RPT),dms_CRCP_start_row+15)</f>
        <v>2036-37</v>
      </c>
      <c r="H67" s="908" t="s">
        <v>1013</v>
      </c>
      <c r="I67" s="910" t="str">
        <f ca="1">INDEX(INDIRECT(dms_RPT),dms_FRCP_start_row+15)</f>
        <v>2041-42</v>
      </c>
      <c r="J67"/>
      <c r="K67"/>
      <c r="L67"/>
    </row>
    <row r="68" spans="2:12" x14ac:dyDescent="0.25">
      <c r="B68" s="41" t="s">
        <v>1014</v>
      </c>
      <c r="C68" s="1305" t="s">
        <v>1015</v>
      </c>
      <c r="D68" s="908" t="s">
        <v>1016</v>
      </c>
      <c r="E68" s="910" t="s">
        <v>1017</v>
      </c>
      <c r="F68" s="908" t="s">
        <v>1018</v>
      </c>
      <c r="G68" s="910" t="s">
        <v>1019</v>
      </c>
      <c r="H68" s="908" t="s">
        <v>1020</v>
      </c>
      <c r="I68" s="910" t="str">
        <f ca="1">INDEX(INDIRECT(dms_RPT),dms_FRCP_start_row+16)</f>
        <v>2042-43</v>
      </c>
      <c r="J68"/>
      <c r="K68"/>
      <c r="L68"/>
    </row>
    <row r="69" spans="2:12" x14ac:dyDescent="0.25">
      <c r="B69" s="41" t="s">
        <v>1021</v>
      </c>
      <c r="C69" s="1305">
        <v>2005</v>
      </c>
      <c r="D69" s="908" t="s">
        <v>1022</v>
      </c>
      <c r="E69" s="910" t="s">
        <v>1023</v>
      </c>
      <c r="F69" s="908" t="s">
        <v>1024</v>
      </c>
      <c r="G69" s="910" t="s">
        <v>1025</v>
      </c>
      <c r="H69" s="908" t="s">
        <v>1026</v>
      </c>
      <c r="I69" s="910" t="str">
        <f ca="1">INDEX(INDIRECT(dms_RPT),dms_FRCP_start_row+17)</f>
        <v>2043-44</v>
      </c>
      <c r="J69"/>
      <c r="K69"/>
      <c r="L69"/>
    </row>
    <row r="70" spans="2:12" x14ac:dyDescent="0.25">
      <c r="B70" s="41" t="s">
        <v>1027</v>
      </c>
      <c r="C70" s="1305">
        <v>2006</v>
      </c>
      <c r="D70" s="908" t="s">
        <v>1028</v>
      </c>
      <c r="E70" s="910" t="s">
        <v>1029</v>
      </c>
      <c r="F70" s="908" t="s">
        <v>1030</v>
      </c>
      <c r="G70" s="910" t="s">
        <v>1031</v>
      </c>
      <c r="H70" s="908" t="s">
        <v>1032</v>
      </c>
      <c r="I70" s="910" t="str">
        <f ca="1">INDEX(INDIRECT(dms_RPT),dms_FRCP_start_row+18)</f>
        <v>2044-45</v>
      </c>
      <c r="J70"/>
      <c r="K70"/>
      <c r="L70"/>
    </row>
    <row r="71" spans="2:12" x14ac:dyDescent="0.25">
      <c r="B71" s="41" t="s">
        <v>1033</v>
      </c>
      <c r="C71" s="1305">
        <v>2007</v>
      </c>
      <c r="D71" s="908" t="s">
        <v>1034</v>
      </c>
      <c r="E71" s="910" t="s">
        <v>1035</v>
      </c>
      <c r="F71" s="908" t="s">
        <v>1036</v>
      </c>
      <c r="G71" s="910" t="s">
        <v>1037</v>
      </c>
      <c r="H71" s="908" t="s">
        <v>1038</v>
      </c>
      <c r="I71" s="910" t="str">
        <f ca="1">INDEX(INDIRECT(dms_RPT),dms_FRCP_start_row+19)</f>
        <v>2045-46</v>
      </c>
      <c r="J71"/>
      <c r="K71"/>
      <c r="L71"/>
    </row>
    <row r="72" spans="2:12" x14ac:dyDescent="0.25">
      <c r="B72" s="41" t="s">
        <v>1039</v>
      </c>
      <c r="C72" s="1305">
        <v>2008</v>
      </c>
      <c r="D72" s="908" t="s">
        <v>1040</v>
      </c>
      <c r="E72" s="910" t="s">
        <v>1041</v>
      </c>
      <c r="F72" s="908" t="s">
        <v>1042</v>
      </c>
      <c r="G72" s="910" t="s">
        <v>1043</v>
      </c>
      <c r="H72" s="908" t="s">
        <v>1044</v>
      </c>
      <c r="I72" s="910" t="str">
        <f ca="1">INDEX(INDIRECT(dms_RPT),dms_FRCP_start_row+20)</f>
        <v>2046-47</v>
      </c>
      <c r="J72"/>
      <c r="K72"/>
      <c r="L72"/>
    </row>
    <row r="73" spans="2:12" x14ac:dyDescent="0.25">
      <c r="B73" s="41" t="s">
        <v>1045</v>
      </c>
      <c r="C73" s="1305">
        <v>2009</v>
      </c>
      <c r="D73" s="908" t="s">
        <v>1046</v>
      </c>
      <c r="E73" s="910" t="s">
        <v>1019</v>
      </c>
      <c r="F73" s="908" t="s">
        <v>1047</v>
      </c>
      <c r="G73" s="910" t="s">
        <v>1048</v>
      </c>
      <c r="H73" s="908" t="s">
        <v>1049</v>
      </c>
      <c r="I73" s="910" t="str">
        <f ca="1">INDEX(INDIRECT(dms_RPT),dms_FRCP_start_row+21)</f>
        <v>2047-48</v>
      </c>
      <c r="J73"/>
      <c r="K73"/>
      <c r="L73"/>
    </row>
    <row r="74" spans="2:12" x14ac:dyDescent="0.25">
      <c r="B74" s="41" t="s">
        <v>1050</v>
      </c>
      <c r="C74" s="1305">
        <v>2010</v>
      </c>
      <c r="D74" s="908" t="s">
        <v>1051</v>
      </c>
      <c r="E74" s="910" t="s">
        <v>1025</v>
      </c>
      <c r="F74" s="908" t="s">
        <v>1052</v>
      </c>
      <c r="G74" s="910" t="s">
        <v>1053</v>
      </c>
      <c r="H74" s="908" t="s">
        <v>1054</v>
      </c>
      <c r="I74" s="910" t="str">
        <f ca="1">INDEX(INDIRECT(dms_RPT),dms_FRCP_start_row+22)</f>
        <v>2048-49</v>
      </c>
      <c r="J74"/>
      <c r="K74"/>
      <c r="L74"/>
    </row>
    <row r="75" spans="2:12" x14ac:dyDescent="0.25">
      <c r="B75" s="41" t="s">
        <v>1055</v>
      </c>
      <c r="C75" s="1305">
        <v>2011</v>
      </c>
      <c r="D75" s="908" t="s">
        <v>1056</v>
      </c>
      <c r="E75" s="910" t="s">
        <v>1031</v>
      </c>
      <c r="F75" s="908" t="s">
        <v>1057</v>
      </c>
      <c r="G75" s="910" t="s">
        <v>1058</v>
      </c>
      <c r="H75" s="908" t="s">
        <v>1059</v>
      </c>
      <c r="I75" s="910" t="str">
        <f ca="1">INDEX(INDIRECT(dms_RPT),dms_FRCP_start_row+23)</f>
        <v>2049-50</v>
      </c>
      <c r="J75"/>
      <c r="K75"/>
      <c r="L75"/>
    </row>
    <row r="76" spans="2:12" x14ac:dyDescent="0.25">
      <c r="B76" s="41" t="s">
        <v>1060</v>
      </c>
      <c r="C76" s="1305">
        <v>2012</v>
      </c>
      <c r="D76" s="908" t="s">
        <v>1061</v>
      </c>
      <c r="E76" s="910" t="s">
        <v>1037</v>
      </c>
      <c r="F76" s="908" t="s">
        <v>1062</v>
      </c>
      <c r="G76" s="910" t="s">
        <v>1063</v>
      </c>
      <c r="H76" s="908" t="s">
        <v>1064</v>
      </c>
      <c r="I76" s="910">
        <f ca="1">INDEX(INDIRECT(dms_RPT),dms_FRCP_start_row+24)</f>
        <v>0</v>
      </c>
      <c r="J76"/>
      <c r="K76"/>
      <c r="L76"/>
    </row>
    <row r="77" spans="2:12" x14ac:dyDescent="0.25">
      <c r="B77" s="41" t="s">
        <v>1065</v>
      </c>
      <c r="C77" s="1305">
        <v>2013</v>
      </c>
      <c r="E77"/>
      <c r="H77"/>
      <c r="I77"/>
      <c r="J77"/>
      <c r="K77"/>
      <c r="L77"/>
    </row>
    <row r="78" spans="2:12" x14ac:dyDescent="0.25">
      <c r="B78" s="41" t="s">
        <v>1066</v>
      </c>
      <c r="C78" s="1305">
        <v>2014</v>
      </c>
      <c r="E78"/>
      <c r="H78"/>
      <c r="I78"/>
      <c r="J78"/>
      <c r="K78"/>
      <c r="L78"/>
    </row>
    <row r="79" spans="2:12" x14ac:dyDescent="0.25">
      <c r="B79" s="41" t="s">
        <v>1067</v>
      </c>
      <c r="C79" s="1305">
        <v>2015</v>
      </c>
      <c r="E79"/>
      <c r="H79"/>
      <c r="I79"/>
      <c r="J79"/>
      <c r="K79"/>
      <c r="L79"/>
    </row>
    <row r="80" spans="2:12" x14ac:dyDescent="0.25">
      <c r="B80" s="41" t="s">
        <v>265</v>
      </c>
      <c r="C80" s="1305">
        <v>2016</v>
      </c>
      <c r="E80"/>
      <c r="H80"/>
      <c r="I80"/>
      <c r="J80"/>
      <c r="K80"/>
      <c r="L80"/>
    </row>
    <row r="81" spans="2:12" x14ac:dyDescent="0.25">
      <c r="B81" s="41" t="s">
        <v>266</v>
      </c>
      <c r="C81" s="1305">
        <v>2017</v>
      </c>
      <c r="E81"/>
      <c r="H81"/>
      <c r="I81"/>
      <c r="J81"/>
      <c r="K81"/>
      <c r="L81"/>
    </row>
    <row r="82" spans="2:12" x14ac:dyDescent="0.25">
      <c r="B82" s="41" t="s">
        <v>267</v>
      </c>
      <c r="C82" s="1305">
        <v>2018</v>
      </c>
      <c r="E82"/>
      <c r="H82"/>
      <c r="I82"/>
      <c r="J82"/>
      <c r="K82"/>
      <c r="L82"/>
    </row>
    <row r="83" spans="2:12" x14ac:dyDescent="0.25">
      <c r="B83" s="41" t="s">
        <v>268</v>
      </c>
      <c r="C83" s="1305">
        <v>2019</v>
      </c>
      <c r="E83"/>
      <c r="H83"/>
      <c r="I83"/>
      <c r="J83"/>
      <c r="K83"/>
      <c r="L83"/>
    </row>
    <row r="84" spans="2:12" x14ac:dyDescent="0.25">
      <c r="B84" s="41" t="s">
        <v>269</v>
      </c>
      <c r="C84" s="1305">
        <v>2020</v>
      </c>
      <c r="E84"/>
      <c r="H84"/>
      <c r="I84"/>
      <c r="J84"/>
      <c r="K84"/>
      <c r="L84"/>
    </row>
    <row r="85" spans="2:12" x14ac:dyDescent="0.25">
      <c r="B85" s="41" t="s">
        <v>1068</v>
      </c>
      <c r="C85" s="1305">
        <v>2021</v>
      </c>
      <c r="E85"/>
      <c r="H85"/>
      <c r="I85"/>
      <c r="J85"/>
      <c r="K85"/>
      <c r="L85"/>
    </row>
    <row r="86" spans="2:12" x14ac:dyDescent="0.25">
      <c r="B86" s="41" t="s">
        <v>1069</v>
      </c>
      <c r="C86" s="1305">
        <v>2022</v>
      </c>
      <c r="E86"/>
      <c r="H86"/>
      <c r="I86"/>
      <c r="J86"/>
      <c r="K86"/>
      <c r="L86"/>
    </row>
    <row r="87" spans="2:12" x14ac:dyDescent="0.25">
      <c r="B87" s="41" t="s">
        <v>1070</v>
      </c>
      <c r="C87" s="1305">
        <v>2023</v>
      </c>
      <c r="E87"/>
      <c r="H87"/>
      <c r="I87"/>
      <c r="J87"/>
      <c r="K87"/>
      <c r="L87"/>
    </row>
    <row r="88" spans="2:12" x14ac:dyDescent="0.25">
      <c r="B88" s="41" t="s">
        <v>1071</v>
      </c>
      <c r="C88" s="1305">
        <v>2024</v>
      </c>
      <c r="E88"/>
      <c r="H88"/>
      <c r="I88"/>
      <c r="J88"/>
      <c r="K88"/>
      <c r="L88"/>
    </row>
    <row r="89" spans="2:12" ht="15.75" thickBot="1" x14ac:dyDescent="0.3">
      <c r="B89" s="41" t="s">
        <v>264</v>
      </c>
      <c r="C89" s="1305">
        <v>2025</v>
      </c>
      <c r="E89"/>
      <c r="H89"/>
      <c r="I89"/>
      <c r="J89"/>
      <c r="K89"/>
      <c r="L89"/>
    </row>
    <row r="90" spans="2:12" x14ac:dyDescent="0.25">
      <c r="B90" s="41" t="s">
        <v>80</v>
      </c>
      <c r="C90" s="1305">
        <v>2026</v>
      </c>
      <c r="D90" s="912"/>
      <c r="E90" s="913" t="s">
        <v>1072</v>
      </c>
      <c r="H90"/>
      <c r="I90"/>
      <c r="J90"/>
      <c r="K90"/>
      <c r="L90"/>
    </row>
    <row r="91" spans="2:12" x14ac:dyDescent="0.25">
      <c r="B91" s="41" t="s">
        <v>75</v>
      </c>
      <c r="C91" s="1305">
        <v>2027</v>
      </c>
      <c r="D91" s="914" t="s">
        <v>1073</v>
      </c>
      <c r="E91" s="915" t="str">
        <f ca="1">IFERROR(INDEX(INDIRECT(dms_RPT),dms_CRY_start_row),0)</f>
        <v>2024-25</v>
      </c>
      <c r="H91"/>
      <c r="I91"/>
      <c r="J91"/>
      <c r="K91"/>
      <c r="L91"/>
    </row>
    <row r="92" spans="2:12" x14ac:dyDescent="0.25">
      <c r="B92" s="41" t="s">
        <v>1074</v>
      </c>
      <c r="C92" s="1305">
        <v>2028</v>
      </c>
      <c r="D92" s="914" t="s">
        <v>1075</v>
      </c>
      <c r="E92" s="915" t="str">
        <f ca="1">IFERROR(INDEX(INDIRECT(dms_RPT),dms_CRY_start_row+1),0)</f>
        <v>2025-26</v>
      </c>
      <c r="H92"/>
      <c r="I92"/>
      <c r="J92"/>
      <c r="K92"/>
      <c r="L92"/>
    </row>
    <row r="93" spans="2:12" x14ac:dyDescent="0.25">
      <c r="B93" s="41" t="s">
        <v>1076</v>
      </c>
      <c r="C93" s="1305">
        <v>2029</v>
      </c>
      <c r="D93" s="914" t="s">
        <v>1077</v>
      </c>
      <c r="E93" s="915" t="str">
        <f ca="1">IFERROR(INDEX(INDIRECT(dms_RPT),dms_CRY_start_row+2),0)</f>
        <v>2026-27</v>
      </c>
      <c r="H93"/>
      <c r="I93"/>
      <c r="J93"/>
      <c r="K93"/>
      <c r="L93"/>
    </row>
    <row r="94" spans="2:12" x14ac:dyDescent="0.25">
      <c r="B94" s="41" t="s">
        <v>83</v>
      </c>
      <c r="C94" s="1305">
        <v>2030</v>
      </c>
      <c r="D94" s="914" t="s">
        <v>1078</v>
      </c>
      <c r="E94" s="915" t="str">
        <f ca="1">IFERROR(INDEX(INDIRECT(dms_RPT),dms_CRY_start_row+3),0)</f>
        <v>2027-28</v>
      </c>
      <c r="H94"/>
      <c r="I94"/>
      <c r="J94"/>
      <c r="K94"/>
      <c r="L94"/>
    </row>
    <row r="95" spans="2:12" x14ac:dyDescent="0.25">
      <c r="B95" s="41" t="s">
        <v>1079</v>
      </c>
      <c r="C95" s="1305">
        <v>2031</v>
      </c>
      <c r="D95" s="914" t="s">
        <v>1080</v>
      </c>
      <c r="E95" s="915" t="str">
        <f ca="1">IFERROR(INDEX(INDIRECT(dms_RPT),dms_CRY_start_row+4),0)</f>
        <v>2028-29</v>
      </c>
      <c r="H95"/>
      <c r="I95"/>
      <c r="J95"/>
      <c r="K95"/>
      <c r="L95"/>
    </row>
    <row r="96" spans="2:12" x14ac:dyDescent="0.25">
      <c r="B96" s="41" t="s">
        <v>1017</v>
      </c>
      <c r="C96" s="1305">
        <v>2032</v>
      </c>
      <c r="D96" s="914" t="s">
        <v>1081</v>
      </c>
      <c r="E96" s="915" t="str">
        <f ca="1">IFERROR(INDEX(INDIRECT(dms_RPT),dms_CRY_start_row+5),0)</f>
        <v>2029-30</v>
      </c>
      <c r="H96"/>
      <c r="I96"/>
      <c r="J96"/>
      <c r="K96"/>
      <c r="L96"/>
    </row>
    <row r="97" spans="2:12" x14ac:dyDescent="0.25">
      <c r="B97" s="41" t="s">
        <v>1023</v>
      </c>
      <c r="C97" s="1305">
        <v>2033</v>
      </c>
      <c r="D97" s="914" t="s">
        <v>1082</v>
      </c>
      <c r="E97" s="915" t="str">
        <f ca="1">IFERROR(INDEX(INDIRECT(dms_RPT),dms_CRY_start_row+6),0)</f>
        <v>2030-31</v>
      </c>
      <c r="H97"/>
      <c r="I97"/>
      <c r="J97"/>
      <c r="K97"/>
      <c r="L97"/>
    </row>
    <row r="98" spans="2:12" x14ac:dyDescent="0.25">
      <c r="B98" s="41" t="s">
        <v>1029</v>
      </c>
      <c r="C98" s="1305">
        <v>2034</v>
      </c>
      <c r="D98" s="914" t="s">
        <v>1083</v>
      </c>
      <c r="E98" s="915" t="str">
        <f ca="1">IFERROR(INDEX(INDIRECT(dms_RPT),dms_CRY_start_row+7),0)</f>
        <v>2031-32</v>
      </c>
      <c r="H98"/>
      <c r="I98"/>
      <c r="J98"/>
      <c r="K98"/>
      <c r="L98"/>
    </row>
    <row r="99" spans="2:12" x14ac:dyDescent="0.25">
      <c r="B99" s="41" t="s">
        <v>1035</v>
      </c>
      <c r="C99" s="1305">
        <v>2035</v>
      </c>
      <c r="D99" s="914" t="s">
        <v>1084</v>
      </c>
      <c r="E99" s="915" t="str">
        <f ca="1">IFERROR(INDEX(INDIRECT(dms_RPT),dms_CRY_start_row+8),0)</f>
        <v>2032-33</v>
      </c>
      <c r="I99" s="916"/>
    </row>
    <row r="100" spans="2:12" x14ac:dyDescent="0.25">
      <c r="B100" s="41" t="s">
        <v>1041</v>
      </c>
      <c r="C100" s="1305">
        <v>2036</v>
      </c>
      <c r="D100" s="914" t="s">
        <v>1085</v>
      </c>
      <c r="E100" s="915" t="str">
        <f ca="1">IFERROR(INDEX(INDIRECT(dms_RPT),dms_CRY_start_row+9),0)</f>
        <v>2033-34</v>
      </c>
      <c r="I100" s="916"/>
    </row>
    <row r="101" spans="2:12" x14ac:dyDescent="0.25">
      <c r="B101" s="41" t="s">
        <v>1019</v>
      </c>
      <c r="C101" s="1305">
        <v>2037</v>
      </c>
      <c r="D101" s="914" t="s">
        <v>1086</v>
      </c>
      <c r="E101" s="915" t="str">
        <f ca="1">IFERROR(INDEX(INDIRECT(dms_RPT),dms_CRY_start_row+10),0)</f>
        <v>2034-35</v>
      </c>
    </row>
    <row r="102" spans="2:12" x14ac:dyDescent="0.25">
      <c r="B102" s="41" t="s">
        <v>1025</v>
      </c>
      <c r="C102" s="1305">
        <v>2038</v>
      </c>
      <c r="D102" s="914" t="s">
        <v>1087</v>
      </c>
      <c r="E102" s="915" t="str">
        <f ca="1">IFERROR(INDEX(INDIRECT(dms_RPT),dms_CRY_start_row+11),0)</f>
        <v>2035-36</v>
      </c>
    </row>
    <row r="103" spans="2:12" x14ac:dyDescent="0.25">
      <c r="B103" s="41" t="s">
        <v>1031</v>
      </c>
      <c r="C103" s="1305">
        <v>2039</v>
      </c>
      <c r="D103" s="914" t="s">
        <v>1088</v>
      </c>
      <c r="E103" s="915" t="str">
        <f ca="1">IFERROR(INDEX(INDIRECT(dms_RPT),dms_CRY_start_row+12),0)</f>
        <v>2036-37</v>
      </c>
    </row>
    <row r="104" spans="2:12" x14ac:dyDescent="0.25">
      <c r="B104" s="41" t="s">
        <v>1037</v>
      </c>
      <c r="C104" s="1305">
        <v>2040</v>
      </c>
      <c r="D104" s="914" t="s">
        <v>1089</v>
      </c>
      <c r="E104" s="915" t="str">
        <f ca="1">IFERROR(INDEX(INDIRECT(dms_RPT),dms_CRY_start_row+13),0)</f>
        <v>2037-38</v>
      </c>
      <c r="H104"/>
      <c r="I104"/>
    </row>
    <row r="105" spans="2:12" x14ac:dyDescent="0.25">
      <c r="B105" s="41" t="s">
        <v>1043</v>
      </c>
      <c r="C105" s="1305">
        <v>2041</v>
      </c>
      <c r="D105" s="914" t="s">
        <v>1090</v>
      </c>
      <c r="E105" s="915" t="str">
        <f ca="1">IFERROR(INDEX(INDIRECT(dms_RPT),dms_CRY_start_row+14),0)</f>
        <v>2038-39</v>
      </c>
      <c r="H105"/>
      <c r="I105"/>
    </row>
    <row r="106" spans="2:12" x14ac:dyDescent="0.25">
      <c r="B106" s="41" t="s">
        <v>1048</v>
      </c>
      <c r="C106" s="1305">
        <v>2042</v>
      </c>
      <c r="D106" s="914" t="s">
        <v>1091</v>
      </c>
      <c r="E106" s="915" t="str">
        <f ca="1">IFERROR(INDEX(INDIRECT(dms_RPT),dms_CRY_start_row+15),0)</f>
        <v>2039-40</v>
      </c>
      <c r="H106"/>
      <c r="I106"/>
    </row>
    <row r="107" spans="2:12" x14ac:dyDescent="0.25">
      <c r="B107" s="41" t="s">
        <v>1053</v>
      </c>
      <c r="C107" s="1305">
        <v>2043</v>
      </c>
      <c r="D107" s="914" t="s">
        <v>1092</v>
      </c>
      <c r="E107" s="915" t="s">
        <v>1031</v>
      </c>
      <c r="H107"/>
      <c r="I107"/>
    </row>
    <row r="108" spans="2:12" x14ac:dyDescent="0.25">
      <c r="B108" s="41" t="s">
        <v>1058</v>
      </c>
      <c r="C108" s="1305">
        <v>2044</v>
      </c>
      <c r="D108" s="914" t="s">
        <v>1093</v>
      </c>
      <c r="E108" s="915" t="s">
        <v>1037</v>
      </c>
      <c r="H108"/>
      <c r="I108"/>
    </row>
    <row r="109" spans="2:12" x14ac:dyDescent="0.25">
      <c r="B109" s="41" t="s">
        <v>1063</v>
      </c>
      <c r="C109" s="1305">
        <v>2045</v>
      </c>
      <c r="D109" s="914" t="s">
        <v>1094</v>
      </c>
      <c r="E109" s="915" t="s">
        <v>1043</v>
      </c>
      <c r="H109"/>
      <c r="I109"/>
    </row>
    <row r="110" spans="2:12" x14ac:dyDescent="0.25">
      <c r="B110" s="41" t="s">
        <v>1095</v>
      </c>
      <c r="C110" s="1305">
        <v>2046</v>
      </c>
      <c r="D110" s="914" t="s">
        <v>1096</v>
      </c>
      <c r="E110" s="915" t="s">
        <v>1048</v>
      </c>
      <c r="H110"/>
      <c r="I110"/>
    </row>
    <row r="111" spans="2:12" x14ac:dyDescent="0.25">
      <c r="B111" s="41" t="s">
        <v>1097</v>
      </c>
      <c r="C111" s="1305">
        <v>2047</v>
      </c>
      <c r="D111" s="914" t="s">
        <v>1098</v>
      </c>
      <c r="E111" s="915" t="s">
        <v>1053</v>
      </c>
      <c r="H111"/>
      <c r="I111"/>
    </row>
    <row r="112" spans="2:12" x14ac:dyDescent="0.25">
      <c r="B112" s="41" t="s">
        <v>1099</v>
      </c>
      <c r="C112" s="1305">
        <v>2048</v>
      </c>
      <c r="D112" s="914" t="s">
        <v>1100</v>
      </c>
      <c r="E112" s="915" t="s">
        <v>1058</v>
      </c>
      <c r="H112"/>
      <c r="I112"/>
    </row>
    <row r="113" spans="1:22" x14ac:dyDescent="0.25">
      <c r="B113" s="41" t="s">
        <v>1101</v>
      </c>
      <c r="C113" s="1305" t="s">
        <v>1102</v>
      </c>
      <c r="D113" s="914" t="s">
        <v>1103</v>
      </c>
      <c r="E113" s="915" t="s">
        <v>1063</v>
      </c>
      <c r="H113"/>
      <c r="I113"/>
    </row>
    <row r="114" spans="1:22" x14ac:dyDescent="0.25">
      <c r="B114" s="41" t="s">
        <v>1104</v>
      </c>
      <c r="C114" s="1305" t="s">
        <v>1105</v>
      </c>
      <c r="D114" s="914" t="s">
        <v>1106</v>
      </c>
      <c r="E114" s="915" t="s">
        <v>1095</v>
      </c>
      <c r="H114"/>
      <c r="I114"/>
    </row>
    <row r="115" spans="1:22" x14ac:dyDescent="0.25">
      <c r="B115" s="41"/>
      <c r="C115" s="1305"/>
      <c r="D115" s="914" t="s">
        <v>1107</v>
      </c>
      <c r="E115" s="915" t="s">
        <v>1097</v>
      </c>
      <c r="H115"/>
      <c r="I115"/>
    </row>
    <row r="116" spans="1:22" x14ac:dyDescent="0.25">
      <c r="B116" s="41"/>
      <c r="C116" s="1305"/>
      <c r="D116" s="914" t="s">
        <v>1108</v>
      </c>
      <c r="E116" s="915" t="s">
        <v>1099</v>
      </c>
      <c r="H116"/>
      <c r="I116"/>
    </row>
    <row r="117" spans="1:22" x14ac:dyDescent="0.25">
      <c r="B117" s="41"/>
      <c r="C117" s="1305"/>
      <c r="D117" s="914" t="s">
        <v>1109</v>
      </c>
      <c r="E117" s="915" t="s">
        <v>1101</v>
      </c>
      <c r="H117"/>
      <c r="I117"/>
    </row>
    <row r="118" spans="1:22" ht="15.75" thickBot="1" x14ac:dyDescent="0.3">
      <c r="B118" s="41"/>
      <c r="C118" s="1305"/>
      <c r="D118" s="917" t="s">
        <v>1110</v>
      </c>
      <c r="E118" s="918" t="s">
        <v>1104</v>
      </c>
      <c r="H118"/>
      <c r="I118"/>
    </row>
    <row r="119" spans="1:22" x14ac:dyDescent="0.25">
      <c r="B119" s="41"/>
      <c r="C119" s="1305"/>
      <c r="E119"/>
      <c r="H119"/>
      <c r="I119"/>
    </row>
    <row r="120" spans="1:22" x14ac:dyDescent="0.25">
      <c r="B120" s="41"/>
      <c r="C120" s="1305"/>
      <c r="E120"/>
      <c r="H120"/>
      <c r="I120"/>
    </row>
    <row r="121" spans="1:22" ht="15.75" thickBot="1" x14ac:dyDescent="0.3">
      <c r="B121" s="44"/>
      <c r="C121" s="1304"/>
      <c r="E121" s="919"/>
    </row>
    <row r="122" spans="1:22" s="51" customFormat="1" x14ac:dyDescent="0.25">
      <c r="A122"/>
      <c r="B122" s="13"/>
      <c r="C122"/>
      <c r="D122"/>
      <c r="E122" s="156"/>
      <c r="F122"/>
      <c r="G122"/>
      <c r="H122" s="77"/>
      <c r="I122" s="12"/>
      <c r="J122" s="77"/>
      <c r="K122" s="77"/>
      <c r="L122" s="13"/>
      <c r="M122"/>
      <c r="N122"/>
      <c r="O122"/>
      <c r="P122"/>
      <c r="Q122"/>
      <c r="R122"/>
      <c r="S122"/>
      <c r="T122"/>
      <c r="U122"/>
      <c r="V122"/>
    </row>
    <row r="123" spans="1:22" s="51" customFormat="1" x14ac:dyDescent="0.25">
      <c r="A123"/>
      <c r="B123"/>
      <c r="C123"/>
      <c r="D123"/>
      <c r="E123" s="75"/>
      <c r="F123"/>
      <c r="G123"/>
      <c r="H123"/>
      <c r="I123"/>
      <c r="J123"/>
      <c r="K123"/>
      <c r="L123"/>
      <c r="M123"/>
      <c r="N123"/>
      <c r="O123"/>
      <c r="P123"/>
      <c r="Q123"/>
      <c r="R123"/>
      <c r="S123"/>
      <c r="T123"/>
      <c r="U123"/>
      <c r="V123"/>
    </row>
    <row r="124" spans="1:22" s="51" customFormat="1" x14ac:dyDescent="0.25">
      <c r="A124"/>
      <c r="B124"/>
      <c r="C124"/>
      <c r="D124"/>
      <c r="E124" s="75"/>
      <c r="F124"/>
      <c r="G124"/>
      <c r="H124"/>
      <c r="I124"/>
      <c r="J124"/>
      <c r="K124"/>
      <c r="L124"/>
      <c r="M124"/>
      <c r="N124"/>
      <c r="O124"/>
      <c r="P124"/>
      <c r="Q124"/>
      <c r="R124"/>
      <c r="S124"/>
      <c r="T124"/>
      <c r="U124"/>
      <c r="V124"/>
    </row>
    <row r="125" spans="1:22" s="51" customFormat="1" x14ac:dyDescent="0.25">
      <c r="A125"/>
      <c r="B125"/>
      <c r="C125"/>
      <c r="D125"/>
      <c r="E125" s="75"/>
      <c r="F125"/>
      <c r="G125"/>
      <c r="H125"/>
      <c r="I125"/>
      <c r="J125"/>
      <c r="K125"/>
      <c r="L125"/>
      <c r="M125"/>
      <c r="N125"/>
    </row>
  </sheetData>
  <mergeCells count="5">
    <mergeCell ref="B34:E34"/>
    <mergeCell ref="AA11:AK11"/>
    <mergeCell ref="AA12:AD12"/>
    <mergeCell ref="AF12:AJ12"/>
    <mergeCell ref="AK12:AK14"/>
  </mergeCells>
  <conditionalFormatting sqref="AA16:AE29">
    <cfRule type="containsText" dxfId="15" priority="3" operator="containsText" text="YES">
      <formula>NOT(ISERROR(SEARCH("YES",AA16)))</formula>
    </cfRule>
  </conditionalFormatting>
  <conditionalFormatting sqref="AK16:AK29">
    <cfRule type="cellIs" dxfId="14" priority="5" operator="equal">
      <formula>"YES"</formula>
    </cfRule>
  </conditionalFormatting>
  <pageMargins left="0.7" right="0.7" top="0.75" bottom="0.75" header="0.3" footer="0.3"/>
  <pageSetup paperSize="9" orientation="portrait" r:id="rId1"/>
  <ignoredErrors>
    <ignoredError sqref="C52:C68" numberStoredAsText="1"/>
  </ignoredErrors>
  <legacy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theme="1"/>
    <pageSetUpPr autoPageBreaks="0"/>
  </sheetPr>
  <dimension ref="A1:CL153"/>
  <sheetViews>
    <sheetView showGridLines="0" zoomScaleNormal="100" workbookViewId="0">
      <selection activeCell="G31" sqref="G31"/>
    </sheetView>
  </sheetViews>
  <sheetFormatPr defaultColWidth="9.140625" defaultRowHeight="15" x14ac:dyDescent="0.25"/>
  <cols>
    <col min="1" max="1" width="36.28515625" customWidth="1"/>
    <col min="2" max="2" width="44.5703125" style="77" customWidth="1"/>
    <col min="3" max="3" width="24.140625" style="77" customWidth="1"/>
    <col min="4" max="4" width="33.42578125" style="77" customWidth="1"/>
    <col min="5" max="7" width="17.28515625" style="77" customWidth="1"/>
    <col min="8" max="9" width="13.28515625" style="77" customWidth="1"/>
    <col min="10" max="12" width="13.7109375" customWidth="1"/>
    <col min="13" max="16384" width="9.140625" style="77"/>
  </cols>
  <sheetData>
    <row r="1" spans="1:51" customFormat="1" ht="51" customHeight="1" x14ac:dyDescent="0.25">
      <c r="B1" s="664" t="s">
        <v>1111</v>
      </c>
      <c r="C1" s="665"/>
      <c r="D1" s="665"/>
      <c r="E1" s="665"/>
      <c r="F1" s="665"/>
      <c r="G1" s="665"/>
      <c r="H1" s="665"/>
      <c r="I1" s="665"/>
      <c r="J1" s="665"/>
      <c r="K1" s="665"/>
    </row>
    <row r="2" spans="1:51" customFormat="1" ht="24.75" customHeight="1" x14ac:dyDescent="0.25"/>
    <row r="3" spans="1:51" ht="20.25" x14ac:dyDescent="0.3">
      <c r="B3" s="212" t="s">
        <v>1112</v>
      </c>
      <c r="C3" s="213" t="s">
        <v>1113</v>
      </c>
      <c r="D3" s="214" t="s">
        <v>1114</v>
      </c>
      <c r="E3" s="215"/>
      <c r="F3" s="215"/>
      <c r="G3" s="215"/>
      <c r="H3" s="215"/>
      <c r="I3" s="215"/>
      <c r="J3" s="215"/>
      <c r="K3" s="215"/>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75" thickBot="1" x14ac:dyDescent="0.3">
      <c r="B4" s="73"/>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25">
      <c r="B5" s="920" t="s">
        <v>1115</v>
      </c>
      <c r="C5" s="304"/>
      <c r="D5" s="921"/>
      <c r="E5" s="304"/>
      <c r="F5" s="304"/>
      <c r="G5" s="304"/>
      <c r="H5" s="304"/>
      <c r="I5" s="373"/>
    </row>
    <row r="6" spans="1:51" customFormat="1" x14ac:dyDescent="0.25">
      <c r="B6" s="922" t="s">
        <v>1116</v>
      </c>
      <c r="D6" s="77"/>
      <c r="E6" s="77"/>
      <c r="F6" s="77"/>
      <c r="G6" s="77"/>
      <c r="H6" s="77"/>
      <c r="I6" s="923"/>
    </row>
    <row r="7" spans="1:51" customFormat="1" ht="15.75" thickBot="1" x14ac:dyDescent="0.3">
      <c r="B7" s="924" t="s">
        <v>1117</v>
      </c>
      <c r="C7" s="78"/>
      <c r="D7" s="925"/>
      <c r="E7" s="925"/>
      <c r="F7" s="925"/>
      <c r="G7" s="925"/>
      <c r="H7" s="925"/>
      <c r="I7" s="926"/>
    </row>
    <row r="8" spans="1:51" customFormat="1" ht="15.75" thickBot="1" x14ac:dyDescent="0.3">
      <c r="B8" s="927"/>
      <c r="C8" s="927"/>
      <c r="D8" s="927"/>
      <c r="E8" s="927"/>
      <c r="F8" s="927"/>
      <c r="G8" s="927"/>
      <c r="H8" s="927"/>
      <c r="I8" s="927"/>
    </row>
    <row r="9" spans="1:51" customFormat="1" x14ac:dyDescent="0.25">
      <c r="A9" s="928"/>
      <c r="B9" s="929" t="s">
        <v>1118</v>
      </c>
      <c r="C9" s="930" t="str">
        <f>INDEX(dms_TradingNameFull_List,MATCH(dms_TradingName,dms_TradingName_List))</f>
        <v>Australian Gas Networks Limited (reporting data for SA)</v>
      </c>
      <c r="D9" s="931"/>
      <c r="E9" s="932" t="s">
        <v>1119</v>
      </c>
      <c r="F9" s="933"/>
      <c r="G9" s="933"/>
      <c r="H9" s="933"/>
      <c r="I9" s="934"/>
    </row>
    <row r="10" spans="1:51" customFormat="1" x14ac:dyDescent="0.25">
      <c r="B10" s="929" t="s">
        <v>1120</v>
      </c>
      <c r="C10" s="930" t="str">
        <f>dms_TradingName</f>
        <v>AGN (SA)</v>
      </c>
      <c r="D10" s="931"/>
      <c r="E10" s="932"/>
      <c r="F10" s="933"/>
      <c r="G10" s="933"/>
      <c r="H10" s="933"/>
      <c r="I10" s="934"/>
    </row>
    <row r="11" spans="1:51" customFormat="1" x14ac:dyDescent="0.25">
      <c r="B11" s="929" t="s">
        <v>1121</v>
      </c>
      <c r="C11" s="930" t="str">
        <f>INDEX(dms_UniqueID_List,MATCH(dms_TradingName,dms_TradingName_List))</f>
        <v>GDDSTH100</v>
      </c>
      <c r="D11" s="938" t="s">
        <v>1122</v>
      </c>
      <c r="E11" s="939"/>
      <c r="F11" s="940"/>
      <c r="G11" s="940"/>
      <c r="H11" s="940"/>
      <c r="I11" s="941"/>
    </row>
    <row r="12" spans="1:51" customFormat="1" x14ac:dyDescent="0.25">
      <c r="A12" s="935" t="s">
        <v>1123</v>
      </c>
      <c r="B12" s="936" t="s">
        <v>1124</v>
      </c>
      <c r="C12" s="937" t="s">
        <v>923</v>
      </c>
      <c r="D12" s="938" t="s">
        <v>1125</v>
      </c>
      <c r="E12" s="939"/>
      <c r="F12" s="940"/>
      <c r="G12" s="940"/>
      <c r="H12" s="940"/>
      <c r="I12" s="941"/>
    </row>
    <row r="13" spans="1:51" customFormat="1" x14ac:dyDescent="0.25">
      <c r="A13" s="1705" t="s">
        <v>1126</v>
      </c>
      <c r="B13" s="929" t="s">
        <v>86</v>
      </c>
      <c r="C13" s="942" t="s">
        <v>87</v>
      </c>
      <c r="D13" s="932" t="s">
        <v>1127</v>
      </c>
      <c r="E13" s="943"/>
      <c r="F13" s="933"/>
      <c r="G13" s="933"/>
      <c r="H13" s="933"/>
      <c r="I13" s="934"/>
    </row>
    <row r="14" spans="1:51" customFormat="1" x14ac:dyDescent="0.25">
      <c r="A14" s="1706"/>
      <c r="B14" s="929" t="s">
        <v>1128</v>
      </c>
      <c r="C14" s="942" t="s">
        <v>90</v>
      </c>
      <c r="D14" s="932" t="s">
        <v>1129</v>
      </c>
      <c r="E14" s="1708"/>
      <c r="F14" s="1708"/>
      <c r="G14" s="1708"/>
      <c r="H14" s="1708"/>
      <c r="I14" s="1709"/>
    </row>
    <row r="15" spans="1:51" customFormat="1" x14ac:dyDescent="0.25">
      <c r="A15" s="1706"/>
      <c r="B15" s="929" t="s">
        <v>1130</v>
      </c>
      <c r="C15" s="942" t="s">
        <v>496</v>
      </c>
      <c r="D15" s="932" t="s">
        <v>1131</v>
      </c>
      <c r="E15" s="1254"/>
      <c r="F15" s="1254"/>
      <c r="G15" s="1254"/>
      <c r="H15" s="1254"/>
      <c r="I15" s="1255"/>
    </row>
    <row r="16" spans="1:51" customFormat="1" ht="39" customHeight="1" x14ac:dyDescent="0.25">
      <c r="A16" s="1706"/>
      <c r="B16" s="944" t="s">
        <v>1132</v>
      </c>
      <c r="C16" s="1710">
        <f>dms_Amendment_Text</f>
        <v>0</v>
      </c>
      <c r="D16" s="1710"/>
      <c r="E16" s="1710"/>
      <c r="F16" s="945" t="s">
        <v>1133</v>
      </c>
      <c r="G16" s="1254"/>
      <c r="H16" s="1254"/>
      <c r="I16" s="1255"/>
    </row>
    <row r="17" spans="1:11" customFormat="1" ht="15" customHeight="1" thickBot="1" x14ac:dyDescent="0.3">
      <c r="A17" s="1707"/>
      <c r="B17" s="946" t="s">
        <v>1134</v>
      </c>
      <c r="C17" s="947">
        <f>dms_Typed_Submission_Date</f>
        <v>45839</v>
      </c>
      <c r="D17" s="948" t="s">
        <v>1135</v>
      </c>
      <c r="E17" s="949"/>
      <c r="F17" s="950"/>
      <c r="G17" s="950"/>
      <c r="H17" s="950"/>
      <c r="I17" s="951"/>
    </row>
    <row r="18" spans="1:11" customFormat="1" ht="15" customHeight="1" thickBot="1" x14ac:dyDescent="0.3">
      <c r="B18" s="77"/>
      <c r="C18" s="77"/>
      <c r="D18" s="77"/>
      <c r="E18" s="77"/>
      <c r="F18" s="77"/>
      <c r="G18" s="77"/>
      <c r="H18" s="77"/>
      <c r="I18" s="77"/>
    </row>
    <row r="19" spans="1:11" customFormat="1" ht="15.75" thickBot="1" x14ac:dyDescent="0.3">
      <c r="A19" s="935" t="s">
        <v>1136</v>
      </c>
      <c r="B19" s="952" t="s">
        <v>1137</v>
      </c>
      <c r="C19" s="953" t="s">
        <v>1138</v>
      </c>
      <c r="D19" s="954"/>
      <c r="E19" s="954"/>
      <c r="F19" s="954"/>
      <c r="G19" s="954"/>
      <c r="H19" s="954"/>
      <c r="I19" s="955"/>
      <c r="J19" s="78"/>
      <c r="K19" s="78"/>
    </row>
    <row r="20" spans="1:11" customFormat="1" x14ac:dyDescent="0.25">
      <c r="A20" s="1711" t="s">
        <v>1139</v>
      </c>
      <c r="B20" s="956" t="s">
        <v>1140</v>
      </c>
      <c r="C20" s="112" t="s">
        <v>90</v>
      </c>
      <c r="D20" s="106" t="s">
        <v>1141</v>
      </c>
      <c r="E20" s="107" t="s">
        <v>1142</v>
      </c>
      <c r="F20" s="108"/>
      <c r="G20" s="108"/>
      <c r="H20" s="108"/>
      <c r="I20" s="108"/>
      <c r="J20" s="109"/>
      <c r="K20" s="110"/>
    </row>
    <row r="21" spans="1:11" s="24" customFormat="1" x14ac:dyDescent="0.25">
      <c r="A21" s="1712"/>
      <c r="B21" s="957" t="s">
        <v>416</v>
      </c>
      <c r="C21" s="87" t="str">
        <f>INDEX(dms_Sector_List,MATCH(dms_TradingName,dms_TradingName_List))</f>
        <v>Gas</v>
      </c>
      <c r="D21" s="83" t="s">
        <v>1143</v>
      </c>
      <c r="E21" s="84" t="s">
        <v>1144</v>
      </c>
      <c r="F21" s="85"/>
      <c r="G21" s="85"/>
      <c r="H21" s="85"/>
      <c r="I21" s="85"/>
      <c r="J21" s="86"/>
      <c r="K21" s="103"/>
    </row>
    <row r="22" spans="1:11" customFormat="1" x14ac:dyDescent="0.25">
      <c r="A22" s="1712"/>
      <c r="B22" s="957" t="s">
        <v>417</v>
      </c>
      <c r="C22" s="82" t="str">
        <f>INDEX(dms_Segment_List,MATCH(dms_TradingName,dms_TradingName_List))</f>
        <v>Distribution</v>
      </c>
      <c r="D22" s="83" t="s">
        <v>1145</v>
      </c>
      <c r="E22" s="84" t="s">
        <v>1146</v>
      </c>
      <c r="F22" s="85"/>
      <c r="G22" s="85"/>
      <c r="H22" s="85"/>
      <c r="I22" s="85"/>
      <c r="J22" s="86"/>
      <c r="K22" s="103"/>
    </row>
    <row r="23" spans="1:11" customFormat="1" x14ac:dyDescent="0.25">
      <c r="A23" s="1712"/>
      <c r="B23" s="957" t="s">
        <v>1147</v>
      </c>
      <c r="C23" s="87" t="str">
        <f ca="1">IF(dms_MultiYear_Flag=1,LEFT(dms_Specified_FinalYear,2)&amp;RIGHT(dms_Specified_FinalYear,2),dms_RYE_result)</f>
        <v>2031</v>
      </c>
      <c r="D23" s="83" t="s">
        <v>1148</v>
      </c>
      <c r="E23" s="84" t="s">
        <v>1149</v>
      </c>
      <c r="F23" s="85"/>
      <c r="G23" s="85"/>
      <c r="H23" s="85"/>
      <c r="I23" s="85"/>
      <c r="J23" s="86"/>
      <c r="K23" s="103"/>
    </row>
    <row r="24" spans="1:11" customFormat="1" x14ac:dyDescent="0.25">
      <c r="A24" s="1712"/>
      <c r="B24" s="957" t="s">
        <v>1150</v>
      </c>
      <c r="C24" s="82" t="str">
        <f>INDEX(dms_RPT_List,MATCH(dms_TradingName,dms_TradingName_List))</f>
        <v>Financial</v>
      </c>
      <c r="D24" s="83" t="s">
        <v>1151</v>
      </c>
      <c r="E24" s="84" t="s">
        <v>1152</v>
      </c>
      <c r="F24" s="85"/>
      <c r="G24" s="85"/>
      <c r="H24" s="85"/>
      <c r="I24" s="85"/>
      <c r="J24" s="86"/>
      <c r="K24" s="103"/>
    </row>
    <row r="25" spans="1:11" customFormat="1" x14ac:dyDescent="0.25">
      <c r="A25" s="1712"/>
      <c r="B25" s="957" t="s">
        <v>1153</v>
      </c>
      <c r="C25" s="90" t="s">
        <v>635</v>
      </c>
      <c r="D25" s="83" t="s">
        <v>1154</v>
      </c>
      <c r="E25" s="91" t="s">
        <v>1155</v>
      </c>
      <c r="F25" s="92"/>
      <c r="G25" s="92"/>
      <c r="H25" s="92"/>
      <c r="I25" s="92"/>
      <c r="J25" s="92"/>
      <c r="K25" s="93"/>
    </row>
    <row r="26" spans="1:11" customFormat="1" x14ac:dyDescent="0.25">
      <c r="A26" s="1712"/>
      <c r="B26" s="957" t="s">
        <v>1156</v>
      </c>
      <c r="C26" s="82" t="s">
        <v>496</v>
      </c>
      <c r="D26" s="88" t="s">
        <v>1157</v>
      </c>
      <c r="E26" s="89" t="s">
        <v>1158</v>
      </c>
      <c r="F26" s="85"/>
      <c r="G26" s="85"/>
      <c r="H26" s="85"/>
      <c r="I26" s="85"/>
      <c r="J26" s="86"/>
      <c r="K26" s="103"/>
    </row>
    <row r="27" spans="1:11" customFormat="1" ht="15.75" customHeight="1" thickBot="1" x14ac:dyDescent="0.3">
      <c r="A27" s="1713"/>
      <c r="B27" s="958" t="s">
        <v>1159</v>
      </c>
      <c r="C27" s="94" t="str">
        <f>INDEX(dms_JurisdictionList,MATCH(dms_TradingName,dms_TradingName_List))</f>
        <v>SA</v>
      </c>
      <c r="D27" s="95" t="s">
        <v>1160</v>
      </c>
      <c r="E27" s="96" t="s">
        <v>1161</v>
      </c>
      <c r="F27" s="97"/>
      <c r="G27" s="97"/>
      <c r="H27" s="97"/>
      <c r="I27" s="97"/>
      <c r="J27" s="98"/>
      <c r="K27" s="99"/>
    </row>
    <row r="28" spans="1:11" customFormat="1" ht="22.5" customHeight="1" thickBot="1" x14ac:dyDescent="0.3">
      <c r="A28" s="1714" t="s">
        <v>1162</v>
      </c>
      <c r="B28" s="959" t="s">
        <v>1163</v>
      </c>
      <c r="C28" s="216"/>
      <c r="D28" s="216"/>
      <c r="E28" s="960"/>
      <c r="F28" s="961"/>
      <c r="G28" s="961"/>
      <c r="H28" s="961"/>
      <c r="I28" s="961"/>
      <c r="J28" s="961"/>
      <c r="K28" s="962"/>
    </row>
    <row r="29" spans="1:11" s="51" customFormat="1" ht="22.5" customHeight="1" x14ac:dyDescent="0.25">
      <c r="A29" s="1715"/>
      <c r="B29" s="963" t="s">
        <v>1164</v>
      </c>
      <c r="C29" s="964" t="str">
        <f>IFERROR(CRY,"NO")</f>
        <v>NO</v>
      </c>
      <c r="D29" s="965"/>
      <c r="E29" s="966"/>
      <c r="F29" s="966"/>
      <c r="G29" s="966"/>
      <c r="H29" s="966"/>
      <c r="I29" s="966"/>
      <c r="J29" s="966"/>
      <c r="K29" s="967"/>
    </row>
    <row r="30" spans="1:11" customFormat="1" x14ac:dyDescent="0.25">
      <c r="A30" s="1715"/>
      <c r="B30" s="968" t="s">
        <v>1165</v>
      </c>
      <c r="C30" s="90" t="str">
        <f>IFERROR(IF(dms_RPT="calendar",CRY-1,LEFT(CRY,4)),"CRY not present")</f>
        <v>CRY not present</v>
      </c>
      <c r="D30" s="969" t="s">
        <v>1166</v>
      </c>
      <c r="E30" s="970" t="s">
        <v>1167</v>
      </c>
      <c r="F30" s="969"/>
      <c r="G30" s="969"/>
      <c r="H30" s="969"/>
      <c r="I30" s="969"/>
      <c r="J30" s="971"/>
      <c r="K30" s="972"/>
    </row>
    <row r="31" spans="1:11" customFormat="1" x14ac:dyDescent="0.25">
      <c r="A31" s="1715"/>
      <c r="B31" s="973" t="s">
        <v>1168</v>
      </c>
      <c r="C31" s="82" t="str">
        <f>INDEX(dms_RPTMonth_List,MATCH(dms_TradingName,dms_TradingName_List))</f>
        <v>June</v>
      </c>
      <c r="D31" s="88" t="s">
        <v>1169</v>
      </c>
      <c r="E31" s="83" t="s">
        <v>1170</v>
      </c>
      <c r="F31" s="88"/>
      <c r="G31" s="88"/>
      <c r="H31" s="88"/>
      <c r="I31" s="88"/>
      <c r="J31" s="974"/>
      <c r="K31" s="975"/>
    </row>
    <row r="32" spans="1:11" customFormat="1" ht="14.25" customHeight="1" x14ac:dyDescent="0.25">
      <c r="A32" s="1715"/>
      <c r="B32" s="973" t="s">
        <v>1171</v>
      </c>
      <c r="C32" s="102" t="str">
        <f ca="1">IF(dms_Model="RFM",dms_DollarReal_Prev, IF(dms_SingleYearModel="yes",CONCATENATE(dms_RPTMonth)&amp;" "&amp;VALUE((LEFT(dms_CRY_start_year,2)&amp;RIGHT(dms_CRY_start_year,2))),CONCATENATE(dms_RPTMonth)&amp;" "&amp;dms_DollarReal_year))</f>
        <v>June 2026</v>
      </c>
      <c r="D32" s="83" t="s">
        <v>1172</v>
      </c>
      <c r="E32" s="83" t="s">
        <v>1173</v>
      </c>
      <c r="F32" s="88"/>
      <c r="G32" s="88"/>
      <c r="H32" s="88"/>
      <c r="I32" s="88"/>
      <c r="J32" s="974"/>
      <c r="K32" s="975"/>
    </row>
    <row r="33" spans="1:90" customFormat="1" ht="24" customHeight="1" thickBot="1" x14ac:dyDescent="0.3">
      <c r="A33" s="1716"/>
      <c r="B33" s="976" t="s">
        <v>1174</v>
      </c>
      <c r="C33" s="977" t="s">
        <v>1175</v>
      </c>
      <c r="D33" s="95" t="s">
        <v>1176</v>
      </c>
      <c r="E33" s="95" t="s">
        <v>1177</v>
      </c>
      <c r="F33" s="978"/>
      <c r="G33" s="978"/>
      <c r="H33" s="978"/>
      <c r="I33" s="978"/>
      <c r="J33" s="979"/>
      <c r="K33" s="980"/>
    </row>
    <row r="34" spans="1:90" customFormat="1" ht="24" customHeight="1" thickBot="1" x14ac:dyDescent="0.3">
      <c r="B34" s="981" t="s">
        <v>1178</v>
      </c>
      <c r="C34" s="982"/>
      <c r="D34" s="982"/>
      <c r="E34" s="982"/>
      <c r="F34" s="983"/>
      <c r="G34" s="983"/>
      <c r="H34" s="983"/>
      <c r="I34" s="983"/>
      <c r="J34" s="983"/>
      <c r="K34" s="984"/>
      <c r="AL34" s="1673"/>
      <c r="AM34" s="1673"/>
      <c r="AN34" s="1673"/>
      <c r="AO34" s="1673"/>
      <c r="AP34" s="1673"/>
      <c r="AQ34" s="1673"/>
      <c r="AR34" s="1673"/>
      <c r="AS34" s="1673"/>
      <c r="AT34" s="1673"/>
      <c r="AU34" s="1673"/>
      <c r="AV34" s="1673"/>
      <c r="AW34" s="1673"/>
      <c r="AX34" s="1673"/>
      <c r="AY34" s="1673"/>
      <c r="AZ34" s="1673"/>
      <c r="BA34" s="1673"/>
      <c r="BB34" s="1673"/>
      <c r="BC34" s="1673"/>
      <c r="BD34" s="1673"/>
      <c r="BE34" s="1673"/>
      <c r="BF34" s="1673"/>
      <c r="BG34" s="1673"/>
      <c r="BQ34" s="1673"/>
      <c r="BR34" s="1673"/>
      <c r="BS34" s="1673"/>
      <c r="BT34" s="1673"/>
      <c r="BU34" s="1673"/>
      <c r="BV34" s="1673"/>
      <c r="BW34" s="1673"/>
      <c r="BX34" s="1673"/>
      <c r="BY34" s="1673"/>
      <c r="BZ34" s="1673"/>
      <c r="CA34" s="1673"/>
      <c r="CB34" s="1673"/>
      <c r="CC34" s="1673"/>
      <c r="CD34" s="1673"/>
      <c r="CE34" s="1673"/>
      <c r="CF34" s="1673"/>
      <c r="CG34" s="1673"/>
      <c r="CH34" s="1673"/>
      <c r="CI34" s="1673"/>
      <c r="CJ34" s="1673"/>
      <c r="CK34" s="1673"/>
      <c r="CL34" s="1673"/>
    </row>
    <row r="35" spans="1:90" s="51" customFormat="1" ht="30.75" customHeight="1" thickBot="1" x14ac:dyDescent="0.3">
      <c r="B35" s="985" t="s">
        <v>1179</v>
      </c>
      <c r="C35" s="986" t="str">
        <f>INDEX(dms_FormControl_List,MATCH(dms_TradingName,dms_TradingName_List))</f>
        <v>Tariff cap</v>
      </c>
      <c r="D35" s="970" t="s">
        <v>1180</v>
      </c>
      <c r="E35" s="987" t="s">
        <v>1181</v>
      </c>
      <c r="F35" s="988"/>
      <c r="G35" s="988"/>
      <c r="H35" s="988"/>
      <c r="I35" s="988"/>
      <c r="J35" s="989"/>
      <c r="K35" s="990"/>
      <c r="AL35" s="1673"/>
      <c r="AM35" s="1673"/>
      <c r="AN35" s="1673"/>
      <c r="AO35" s="1673"/>
      <c r="AP35" s="1673"/>
      <c r="AQ35" s="1673"/>
      <c r="AR35" s="1673"/>
      <c r="AS35" s="1673"/>
      <c r="AT35" s="1673"/>
      <c r="AU35" s="1673"/>
      <c r="AV35" s="1673"/>
      <c r="AW35" s="1673"/>
      <c r="AX35" s="1673"/>
      <c r="AY35" s="1673"/>
      <c r="AZ35" s="1673"/>
      <c r="BA35" s="1673"/>
      <c r="BB35" s="1673"/>
      <c r="BC35" s="1673"/>
      <c r="BD35" s="1673"/>
      <c r="BE35" s="1673"/>
      <c r="BF35" s="1673"/>
      <c r="BG35" s="1673"/>
      <c r="BQ35" s="1673"/>
      <c r="BR35" s="1673"/>
      <c r="BS35" s="1673"/>
      <c r="BT35" s="1673"/>
      <c r="BU35" s="1673"/>
      <c r="BV35" s="1673"/>
      <c r="BW35" s="1673"/>
      <c r="BX35" s="1673"/>
      <c r="BY35" s="1673"/>
      <c r="BZ35" s="1673"/>
      <c r="CA35" s="1673"/>
      <c r="CB35" s="1673"/>
      <c r="CC35" s="1673"/>
      <c r="CD35" s="1673"/>
      <c r="CE35" s="1673"/>
      <c r="CF35" s="1673"/>
      <c r="CG35" s="1673"/>
      <c r="CH35" s="1673"/>
      <c r="CI35" s="1673"/>
      <c r="CJ35" s="1673"/>
      <c r="CK35" s="1673"/>
      <c r="CL35" s="1673"/>
    </row>
    <row r="36" spans="1:90" customFormat="1" ht="24" customHeight="1" thickBot="1" x14ac:dyDescent="0.3">
      <c r="A36" s="1717" t="s">
        <v>1182</v>
      </c>
      <c r="B36" s="100" t="s">
        <v>1183</v>
      </c>
      <c r="C36" s="101"/>
      <c r="D36" s="960"/>
      <c r="E36" s="960"/>
      <c r="F36" s="961"/>
      <c r="G36" s="961"/>
      <c r="H36" s="961"/>
      <c r="I36" s="961"/>
      <c r="J36" s="961"/>
      <c r="K36" s="962"/>
      <c r="AL36" s="1673"/>
      <c r="AM36" s="1673"/>
      <c r="AN36" s="1673"/>
      <c r="AO36" s="1673"/>
      <c r="AP36" s="1673"/>
      <c r="AQ36" s="1673"/>
      <c r="AR36" s="1673"/>
      <c r="AS36" s="1673"/>
      <c r="AT36" s="1673"/>
      <c r="AU36" s="1673"/>
      <c r="AV36" s="1673"/>
      <c r="AW36" s="1673"/>
      <c r="AX36" s="1673"/>
      <c r="AY36" s="1673"/>
      <c r="AZ36" s="1673"/>
      <c r="BA36" s="1673"/>
      <c r="BB36" s="1673"/>
      <c r="BC36" s="1673"/>
      <c r="BD36" s="1673"/>
      <c r="BE36" s="1673"/>
      <c r="BF36" s="1673"/>
      <c r="BG36" s="1673"/>
      <c r="BQ36" s="1673"/>
      <c r="BR36" s="1673"/>
      <c r="BS36" s="1673"/>
      <c r="BT36" s="1673"/>
      <c r="BU36" s="1673"/>
      <c r="BV36" s="1673"/>
      <c r="BW36" s="1673"/>
      <c r="BX36" s="1673"/>
      <c r="BY36" s="1673"/>
      <c r="BZ36" s="1673"/>
      <c r="CA36" s="1673"/>
      <c r="CB36" s="1673"/>
      <c r="CC36" s="1673"/>
      <c r="CD36" s="1673"/>
      <c r="CE36" s="1673"/>
      <c r="CF36" s="1673"/>
      <c r="CG36" s="1673"/>
      <c r="CH36" s="1673"/>
      <c r="CI36" s="1673"/>
      <c r="CJ36" s="1673"/>
      <c r="CK36" s="1673"/>
      <c r="CL36" s="1673"/>
    </row>
    <row r="37" spans="1:90" customFormat="1" x14ac:dyDescent="0.25">
      <c r="A37" s="1718"/>
      <c r="B37" s="991" t="s">
        <v>1184</v>
      </c>
      <c r="C37" s="992" t="str">
        <f>FRCP_y1</f>
        <v>2026-27</v>
      </c>
      <c r="D37" s="1303" t="s">
        <v>1185</v>
      </c>
      <c r="E37" s="993" t="s">
        <v>1186</v>
      </c>
      <c r="F37" s="994"/>
      <c r="G37" s="994"/>
      <c r="H37" s="994"/>
      <c r="I37" s="994"/>
      <c r="J37" s="994"/>
      <c r="K37" s="995"/>
    </row>
    <row r="38" spans="1:90" customFormat="1" x14ac:dyDescent="0.25">
      <c r="A38" s="1718"/>
      <c r="B38" s="996" t="s">
        <v>1187</v>
      </c>
      <c r="C38" s="997" t="str">
        <f ca="1">IFERROR(CRY,CRCP_y4)</f>
        <v>2024-25</v>
      </c>
      <c r="D38" s="1300" t="s">
        <v>1188</v>
      </c>
      <c r="E38" s="998"/>
      <c r="F38" s="999"/>
      <c r="G38" s="999"/>
      <c r="H38" s="999"/>
      <c r="I38" s="999"/>
      <c r="J38" s="999"/>
      <c r="K38" s="1000"/>
    </row>
    <row r="39" spans="1:90" customFormat="1" x14ac:dyDescent="0.25">
      <c r="A39" s="1718"/>
      <c r="B39" s="996" t="s">
        <v>1189</v>
      </c>
      <c r="C39" s="997">
        <f ca="1">IFERROR(MATCH(dms_CRY_start_year,INDIRECT(dms_RPT),0),0)</f>
        <v>38</v>
      </c>
      <c r="D39" s="1300" t="s">
        <v>1190</v>
      </c>
      <c r="E39" s="998"/>
      <c r="F39" s="999"/>
      <c r="G39" s="999"/>
      <c r="H39" s="999"/>
      <c r="I39" s="999"/>
      <c r="J39" s="999"/>
      <c r="K39" s="1000"/>
    </row>
    <row r="40" spans="1:90" customFormat="1" x14ac:dyDescent="0.25">
      <c r="A40" s="1718"/>
      <c r="B40" s="1001" t="s">
        <v>1191</v>
      </c>
      <c r="C40" s="1002">
        <f ca="1">MATCH(dms_start_year,INDIRECT(dms_RPT),0)</f>
        <v>40</v>
      </c>
      <c r="D40" s="1301" t="s">
        <v>1192</v>
      </c>
      <c r="E40" s="1003" t="s">
        <v>1193</v>
      </c>
      <c r="F40" s="1004"/>
      <c r="G40" s="1004"/>
      <c r="H40" s="1004"/>
      <c r="I40" s="1004"/>
      <c r="J40" s="1004"/>
      <c r="K40" s="1005"/>
    </row>
    <row r="41" spans="1:90" customFormat="1" x14ac:dyDescent="0.25">
      <c r="A41" s="1718"/>
      <c r="B41" s="1006" t="s">
        <v>1194</v>
      </c>
      <c r="C41" s="1007">
        <f ca="1">dms_FRCP_start_row-dms_CRCPlength_Num</f>
        <v>35</v>
      </c>
      <c r="D41" s="1296" t="s">
        <v>1195</v>
      </c>
      <c r="E41" s="1008" t="s">
        <v>1196</v>
      </c>
      <c r="F41" s="1009"/>
      <c r="G41" s="1009"/>
      <c r="H41" s="1009"/>
      <c r="I41" s="1009"/>
      <c r="J41" s="1009"/>
      <c r="K41" s="1010"/>
    </row>
    <row r="42" spans="1:90" customFormat="1" x14ac:dyDescent="0.25">
      <c r="A42" s="1718"/>
      <c r="B42" s="1006" t="s">
        <v>1197</v>
      </c>
      <c r="C42" s="1007">
        <f ca="1">dms_FRCP_start_row-dms_CRCPlength_Num-dms_PRCPlength_Num</f>
        <v>30</v>
      </c>
      <c r="D42" s="1296" t="s">
        <v>1198</v>
      </c>
      <c r="E42" s="1008" t="s">
        <v>1199</v>
      </c>
      <c r="F42" s="1009"/>
      <c r="G42" s="1009"/>
      <c r="H42" s="1009"/>
      <c r="I42" s="1009"/>
      <c r="J42" s="1009"/>
      <c r="K42" s="1010"/>
    </row>
    <row r="43" spans="1:90" customFormat="1" x14ac:dyDescent="0.25">
      <c r="A43" s="1718"/>
      <c r="B43" s="1011" t="s">
        <v>1200</v>
      </c>
      <c r="C43" s="1012">
        <f ca="1">dms_FRCP_start_row+(dms_FRCPlength_Num-1)</f>
        <v>44</v>
      </c>
      <c r="D43" s="1302" t="s">
        <v>1201</v>
      </c>
      <c r="E43" s="1013" t="s">
        <v>1202</v>
      </c>
      <c r="F43" s="1014"/>
      <c r="G43" s="1014"/>
      <c r="H43" s="1014"/>
      <c r="I43" s="1014"/>
      <c r="J43" s="1014"/>
      <c r="K43" s="1015"/>
    </row>
    <row r="44" spans="1:90" customFormat="1" x14ac:dyDescent="0.25">
      <c r="A44" s="1718"/>
      <c r="B44" s="1001" t="s">
        <v>1203</v>
      </c>
      <c r="C44" s="1016" t="str">
        <f ca="1">INDEX(INDIRECT(dms_RPT),dms_FRCP_start_row)</f>
        <v>2026-27</v>
      </c>
      <c r="D44" s="1301" t="s">
        <v>1204</v>
      </c>
      <c r="E44" s="1003" t="s">
        <v>1205</v>
      </c>
      <c r="F44" s="1004"/>
      <c r="G44" s="1004"/>
      <c r="H44" s="1004"/>
      <c r="I44" s="1004"/>
      <c r="J44" s="1004"/>
      <c r="K44" s="1005"/>
    </row>
    <row r="45" spans="1:90" customFormat="1" x14ac:dyDescent="0.25">
      <c r="A45" s="1718"/>
      <c r="B45" s="1006" t="s">
        <v>1206</v>
      </c>
      <c r="C45" s="1007" t="str">
        <f ca="1">INDEX(INDIRECT(dms_RPT),dms_CRCP_start_row)</f>
        <v>2021-22</v>
      </c>
      <c r="D45" s="1296" t="s">
        <v>1207</v>
      </c>
      <c r="E45" s="1008" t="s">
        <v>1208</v>
      </c>
      <c r="F45" s="1009"/>
      <c r="G45" s="1009"/>
      <c r="H45" s="1009"/>
      <c r="I45" s="1009"/>
      <c r="J45" s="1009"/>
      <c r="K45" s="1010"/>
    </row>
    <row r="46" spans="1:90" customFormat="1" x14ac:dyDescent="0.25">
      <c r="A46" s="1718"/>
      <c r="B46" s="1017" t="s">
        <v>1209</v>
      </c>
      <c r="C46" s="1018" t="str">
        <f ca="1">INDEX(INDIRECT(dms_RPT),dms_PRCP_start_row)</f>
        <v>2016-17</v>
      </c>
      <c r="D46" s="1298" t="s">
        <v>1210</v>
      </c>
      <c r="E46" s="1013" t="s">
        <v>1211</v>
      </c>
      <c r="F46" s="1014"/>
      <c r="G46" s="1014"/>
      <c r="H46" s="1014"/>
      <c r="I46" s="1014"/>
      <c r="J46" s="1014"/>
      <c r="K46" s="1015"/>
    </row>
    <row r="47" spans="1:90" customFormat="1" x14ac:dyDescent="0.25">
      <c r="A47" s="1718"/>
      <c r="B47" s="1001" t="s">
        <v>1212</v>
      </c>
      <c r="C47" s="1016" t="str">
        <f ca="1">INDEX(INDIRECT(dms_RPT),dms_FRCP_start_row+dms_FRCPlength_Num-1)</f>
        <v>2030-31</v>
      </c>
      <c r="D47" s="1301" t="s">
        <v>1213</v>
      </c>
      <c r="E47" s="1008" t="s">
        <v>1214</v>
      </c>
      <c r="F47" s="1009"/>
      <c r="G47" s="1009"/>
      <c r="H47" s="1009"/>
      <c r="I47" s="1009"/>
      <c r="J47" s="1009"/>
      <c r="K47" s="1010"/>
    </row>
    <row r="48" spans="1:90" customFormat="1" x14ac:dyDescent="0.25">
      <c r="A48" s="1718"/>
      <c r="B48" s="1006" t="s">
        <v>1215</v>
      </c>
      <c r="C48" s="1007" t="str">
        <f ca="1">INDEX(INDIRECT(dms_RPT),dms_CRCP_start_row+dms_CRCPlength_Num-1)</f>
        <v>2025-26</v>
      </c>
      <c r="D48" s="1296" t="s">
        <v>1216</v>
      </c>
      <c r="E48" s="1008" t="s">
        <v>1217</v>
      </c>
      <c r="F48" s="1009"/>
      <c r="G48" s="1009"/>
      <c r="H48" s="1009"/>
      <c r="I48" s="1009"/>
      <c r="J48" s="1009"/>
      <c r="K48" s="1010"/>
    </row>
    <row r="49" spans="1:11" customFormat="1" x14ac:dyDescent="0.25">
      <c r="A49" s="1718"/>
      <c r="B49" s="1017" t="s">
        <v>1218</v>
      </c>
      <c r="C49" s="1018" t="str">
        <f ca="1">INDEX(INDIRECT(dms_RPT),dms_PRCP_start_row+dms_FRCPlength_Num-1)</f>
        <v>2020-21</v>
      </c>
      <c r="D49" s="1298" t="s">
        <v>1219</v>
      </c>
      <c r="E49" s="1013" t="s">
        <v>1220</v>
      </c>
      <c r="F49" s="1014"/>
      <c r="G49" s="1014"/>
      <c r="H49" s="1014"/>
      <c r="I49" s="1014"/>
      <c r="J49" s="1014"/>
      <c r="K49" s="1015"/>
    </row>
    <row r="50" spans="1:11" customFormat="1" x14ac:dyDescent="0.25">
      <c r="A50" s="1718"/>
      <c r="B50" s="1001" t="s">
        <v>1221</v>
      </c>
      <c r="C50" s="1016" t="str">
        <f ca="1">INDEX(INDIRECT(dms_RPT),dms_RYE_start_row)</f>
        <v>2030-31</v>
      </c>
      <c r="D50" s="1301" t="s">
        <v>1222</v>
      </c>
      <c r="E50" s="1008" t="s">
        <v>1223</v>
      </c>
      <c r="F50" s="1009"/>
      <c r="G50" s="1009"/>
      <c r="H50" s="1009"/>
      <c r="I50" s="1009"/>
      <c r="J50" s="1009"/>
      <c r="K50" s="1010"/>
    </row>
    <row r="51" spans="1:11" customFormat="1" x14ac:dyDescent="0.25">
      <c r="A51" s="1718"/>
      <c r="B51" s="1017" t="s">
        <v>1224</v>
      </c>
      <c r="C51" s="1019" t="str">
        <f>FRY</f>
        <v>2029-30</v>
      </c>
      <c r="D51" s="1298" t="s">
        <v>1225</v>
      </c>
      <c r="E51" s="1013" t="s">
        <v>1226</v>
      </c>
      <c r="F51" s="1014"/>
      <c r="G51" s="1014"/>
      <c r="H51" s="1014"/>
      <c r="I51" s="1014"/>
      <c r="J51" s="1014"/>
      <c r="K51" s="1015"/>
    </row>
    <row r="52" spans="1:11" customFormat="1" x14ac:dyDescent="0.25">
      <c r="A52" s="1718"/>
      <c r="B52" s="996" t="s">
        <v>1227</v>
      </c>
      <c r="C52" s="1020" t="str">
        <f ca="1">LEFT(CRCP_final_year,2)&amp;RIGHT(CRCP_final_year,2)</f>
        <v>2026</v>
      </c>
      <c r="D52" s="1300" t="s">
        <v>1228</v>
      </c>
      <c r="E52" s="1021" t="s">
        <v>1229</v>
      </c>
      <c r="F52" s="1022"/>
      <c r="G52" s="1022"/>
      <c r="H52" s="1022"/>
      <c r="I52" s="1022"/>
      <c r="J52" s="1022"/>
      <c r="K52" s="1023"/>
    </row>
    <row r="53" spans="1:11" customFormat="1" x14ac:dyDescent="0.25">
      <c r="A53" s="1718"/>
      <c r="B53" s="1024" t="s">
        <v>1230</v>
      </c>
      <c r="C53" s="1025" t="str">
        <f ca="1">LEFT(PRCP_final_year,2)&amp;RIGHT(PRCP_final_year,2)</f>
        <v>2021</v>
      </c>
      <c r="D53" s="1299" t="s">
        <v>1231</v>
      </c>
      <c r="E53" s="1013" t="s">
        <v>1232</v>
      </c>
      <c r="F53" s="1014"/>
      <c r="G53" s="1014"/>
      <c r="H53" s="1014"/>
      <c r="I53" s="1014"/>
      <c r="J53" s="1014"/>
      <c r="K53" s="1015"/>
    </row>
    <row r="54" spans="1:11" customFormat="1" x14ac:dyDescent="0.25">
      <c r="A54" s="1718"/>
      <c r="B54" s="1026" t="s">
        <v>1233</v>
      </c>
      <c r="C54" s="1027">
        <f>IFERROR(LEFT(CRY,2)&amp;RIGHT(CRY,2),0)</f>
        <v>0</v>
      </c>
      <c r="D54" s="1297" t="s">
        <v>1234</v>
      </c>
      <c r="E54" s="1003" t="s">
        <v>1235</v>
      </c>
      <c r="F54" s="1009"/>
      <c r="G54" s="1009"/>
      <c r="H54" s="1009"/>
      <c r="I54" s="1009"/>
      <c r="J54" s="1009"/>
      <c r="K54" s="1010"/>
    </row>
    <row r="55" spans="1:11" customFormat="1" x14ac:dyDescent="0.25">
      <c r="A55" s="1718"/>
      <c r="B55" s="1006" t="s">
        <v>1236</v>
      </c>
      <c r="C55" s="1007" t="str">
        <f ca="1">IF(dms_Model_Span&gt;1,IF(dms_Model="RFM",(LEFT(dms_DollarReal_year,2)&amp;RIGHT(dms_DollarReal_year,2)),(LEFT(dms_Reset_final_year,2)&amp;RIGHT(dms_Reset_final_year,2))),0)</f>
        <v>2031</v>
      </c>
      <c r="D55" s="1296" t="s">
        <v>1237</v>
      </c>
      <c r="E55" s="1008" t="s">
        <v>1238</v>
      </c>
      <c r="F55" s="1009"/>
      <c r="G55" s="1009"/>
      <c r="H55" s="1009"/>
      <c r="I55" s="1009"/>
      <c r="J55" s="1009"/>
      <c r="K55" s="1010"/>
    </row>
    <row r="56" spans="1:11" customFormat="1" x14ac:dyDescent="0.25">
      <c r="A56" s="1718"/>
      <c r="B56" s="1006" t="s">
        <v>1239</v>
      </c>
      <c r="C56" s="1007">
        <f>IF(dms_MultiYear_ResponseFlag="Yes",(LEFT(dms_Specified_FinalYear,2)&amp;RIGHT(dms_Specified_FinalYear,2)),0)</f>
        <v>0</v>
      </c>
      <c r="D56" s="1296" t="s">
        <v>1240</v>
      </c>
      <c r="E56" s="1008" t="s">
        <v>1241</v>
      </c>
      <c r="F56" s="1009"/>
      <c r="G56" s="1009"/>
      <c r="H56" s="1009"/>
      <c r="I56" s="1009"/>
      <c r="J56" s="1009"/>
      <c r="K56" s="1010"/>
    </row>
    <row r="57" spans="1:11" customFormat="1" x14ac:dyDescent="0.25">
      <c r="A57" s="1718"/>
      <c r="B57" s="1006" t="s">
        <v>1242</v>
      </c>
      <c r="C57" s="1007">
        <f>INDEX(dms_Model_Span_List,MATCH(dms_Model,dms_Model_List))</f>
        <v>5</v>
      </c>
      <c r="D57" s="1296" t="s">
        <v>1243</v>
      </c>
      <c r="E57" s="1008" t="s">
        <v>1244</v>
      </c>
      <c r="F57" s="1009"/>
      <c r="G57" s="1009"/>
      <c r="H57" s="1009"/>
      <c r="I57" s="1009"/>
      <c r="J57" s="1009"/>
      <c r="K57" s="1010"/>
    </row>
    <row r="58" spans="1:11" customFormat="1" x14ac:dyDescent="0.25">
      <c r="A58" s="1718"/>
      <c r="B58" s="1017" t="s">
        <v>1245</v>
      </c>
      <c r="C58" s="1018" t="str">
        <f ca="1">IF(dms_MultiYear_ResponseFlag="yes",dms_Specified_RYE,(IF(dms_Model_Span&gt;1,dms_Reset_RYE,dms_CRY_RYE)))</f>
        <v>2031</v>
      </c>
      <c r="D58" s="1298" t="s">
        <v>1246</v>
      </c>
      <c r="E58" s="1013" t="s">
        <v>1247</v>
      </c>
      <c r="F58" s="1014"/>
      <c r="G58" s="1014"/>
      <c r="H58" s="1014"/>
      <c r="I58" s="1014"/>
      <c r="J58" s="1014"/>
      <c r="K58" s="1015"/>
    </row>
    <row r="59" spans="1:11" customFormat="1" x14ac:dyDescent="0.25">
      <c r="A59" s="1718"/>
      <c r="B59" s="1026" t="s">
        <v>1248</v>
      </c>
      <c r="C59" s="1027" t="str">
        <f ca="1">IF(dms_Reset_RYE&gt;0,CONCATENATE(FRCP_y1," to ",FRCP_final_year),0)</f>
        <v>2026-27 to 2030-31</v>
      </c>
      <c r="D59" s="1297" t="s">
        <v>1249</v>
      </c>
      <c r="E59" s="1008" t="s">
        <v>1250</v>
      </c>
      <c r="F59" s="1028"/>
      <c r="G59" s="1009"/>
      <c r="H59" s="1009"/>
      <c r="I59" s="1009"/>
      <c r="J59" s="1009"/>
      <c r="K59" s="1010"/>
    </row>
    <row r="60" spans="1:11" customFormat="1" x14ac:dyDescent="0.25">
      <c r="A60" s="1718"/>
      <c r="B60" s="1006" t="s">
        <v>1251</v>
      </c>
      <c r="C60" s="1007">
        <f>IF(dms_Specified_RYE&gt;0,CONCATENATE(CRY," to ",dms_Specified_FinalYear),0)</f>
        <v>0</v>
      </c>
      <c r="D60" s="1296" t="s">
        <v>1252</v>
      </c>
      <c r="E60" s="1008" t="s">
        <v>1253</v>
      </c>
      <c r="F60" s="1009"/>
      <c r="G60" s="1009"/>
      <c r="H60" s="1009"/>
      <c r="I60" s="1009"/>
      <c r="J60" s="1009"/>
      <c r="K60" s="1010"/>
    </row>
    <row r="61" spans="1:11" customFormat="1" ht="15.75" thickBot="1" x14ac:dyDescent="0.3">
      <c r="A61" s="1718"/>
      <c r="B61" s="1029" t="s">
        <v>1254</v>
      </c>
      <c r="C61" s="1030" t="str">
        <f ca="1">IF(dms_MultiYear_Flag=1,dms_SpecifiedYear_Span,IF(dms_Model_Span&gt;1,dms_y1&amp;" to "&amp;FRCP_final_year,CRY))</f>
        <v>2024-25 to 2030-31</v>
      </c>
      <c r="D61" s="1295" t="s">
        <v>1255</v>
      </c>
      <c r="E61" s="1031" t="s">
        <v>1256</v>
      </c>
      <c r="F61" s="1032"/>
      <c r="G61" s="1032"/>
      <c r="H61" s="1032"/>
      <c r="I61" s="1032"/>
      <c r="J61" s="1032"/>
      <c r="K61" s="1033"/>
    </row>
    <row r="62" spans="1:11" customFormat="1" ht="25.5" customHeight="1" thickBot="1" x14ac:dyDescent="0.3">
      <c r="B62" s="100" t="s">
        <v>1257</v>
      </c>
      <c r="C62" s="101"/>
      <c r="D62" s="982"/>
      <c r="E62" s="982"/>
      <c r="F62" s="983"/>
      <c r="G62" s="983"/>
      <c r="H62" s="983"/>
      <c r="I62" s="983"/>
      <c r="J62" s="983"/>
      <c r="K62" s="984"/>
    </row>
    <row r="63" spans="1:11" customFormat="1" ht="18" x14ac:dyDescent="0.25">
      <c r="B63" s="1034" t="s">
        <v>1258</v>
      </c>
      <c r="C63" s="1035" t="s">
        <v>1138</v>
      </c>
      <c r="D63" s="1036"/>
      <c r="E63" s="1037"/>
      <c r="F63" s="1038"/>
      <c r="G63" s="1038"/>
      <c r="H63" s="1038"/>
      <c r="I63" s="1038"/>
      <c r="J63" s="1039"/>
      <c r="K63" s="1040"/>
    </row>
    <row r="64" spans="1:11" customFormat="1" x14ac:dyDescent="0.25">
      <c r="B64" s="1041"/>
      <c r="C64" s="1042">
        <f>IF(dms_MultiYear_ResponseFlag="No",0,1)</f>
        <v>0</v>
      </c>
      <c r="D64" s="1043" t="s">
        <v>1259</v>
      </c>
      <c r="E64" s="1044" t="s">
        <v>1260</v>
      </c>
      <c r="F64" s="1045"/>
      <c r="G64" s="1045"/>
      <c r="H64" s="1045"/>
      <c r="I64" s="1045"/>
      <c r="J64" s="1046"/>
      <c r="K64" s="1047"/>
    </row>
    <row r="65" spans="2:11" customFormat="1" ht="25.5" x14ac:dyDescent="0.25">
      <c r="B65" s="1041"/>
      <c r="C65" s="1048" t="str">
        <f>IF(dms_MultiYear_Flag=1,FRY,"not a Multiple year submission")</f>
        <v>not a Multiple year submission</v>
      </c>
      <c r="D65" s="1043" t="s">
        <v>1261</v>
      </c>
      <c r="E65" s="1049" t="s">
        <v>1262</v>
      </c>
      <c r="F65" s="1045"/>
      <c r="G65" s="1045"/>
      <c r="H65" s="1045"/>
      <c r="I65" s="1050"/>
      <c r="J65" s="1051"/>
      <c r="K65" s="1052"/>
    </row>
    <row r="66" spans="2:11" customFormat="1" ht="15.75" thickBot="1" x14ac:dyDescent="0.3">
      <c r="B66" s="1053" t="s">
        <v>1263</v>
      </c>
      <c r="C66" s="1054" t="str">
        <f>IFERROR(IF(dms_MultiYear_Flag=1,FRY,CRY),"not an ABC")</f>
        <v>not an ABC</v>
      </c>
      <c r="D66" s="1055" t="s">
        <v>1264</v>
      </c>
      <c r="E66" s="1055" t="s">
        <v>1265</v>
      </c>
      <c r="F66" s="1056"/>
      <c r="G66" s="1056" t="s">
        <v>1266</v>
      </c>
      <c r="H66" s="1056"/>
      <c r="I66" s="1056"/>
      <c r="J66" s="1057"/>
      <c r="K66" s="1058"/>
    </row>
    <row r="67" spans="2:11" customFormat="1" ht="22.5" customHeight="1" thickBot="1" x14ac:dyDescent="0.3">
      <c r="B67" s="100" t="s">
        <v>1267</v>
      </c>
      <c r="C67" s="101"/>
      <c r="D67" s="101"/>
      <c r="E67" s="101"/>
      <c r="F67" s="104"/>
      <c r="G67" s="104"/>
      <c r="H67" s="104"/>
      <c r="I67" s="104"/>
      <c r="J67" s="104"/>
      <c r="K67" s="105"/>
    </row>
    <row r="68" spans="2:11" customFormat="1" x14ac:dyDescent="0.25">
      <c r="B68" s="1059" t="s">
        <v>1268</v>
      </c>
      <c r="C68" s="1060"/>
      <c r="D68" s="1061"/>
      <c r="E68" s="1062"/>
      <c r="F68" s="1063"/>
      <c r="G68" s="1063"/>
      <c r="H68" s="1063"/>
      <c r="I68" s="1063"/>
      <c r="J68" s="1064"/>
      <c r="K68" s="1065"/>
    </row>
    <row r="69" spans="2:11" customFormat="1" x14ac:dyDescent="0.25">
      <c r="B69" s="1041" t="s">
        <v>1269</v>
      </c>
      <c r="C69" s="1066">
        <f>INDEX(dms_PRCPlength_List,MATCH(dms_TradingName,dms_TradingName_List))</f>
        <v>5</v>
      </c>
      <c r="D69" s="1036" t="s">
        <v>1270</v>
      </c>
      <c r="E69" s="1067" t="s">
        <v>1271</v>
      </c>
      <c r="F69" s="1068"/>
      <c r="G69" s="1068"/>
      <c r="H69" s="1068"/>
      <c r="I69" s="1068"/>
      <c r="J69" s="1068"/>
      <c r="K69" s="1069"/>
    </row>
    <row r="70" spans="2:11" customFormat="1" x14ac:dyDescent="0.25">
      <c r="B70" s="1041" t="s">
        <v>1272</v>
      </c>
      <c r="C70" s="1042">
        <f>INDEX(dms_CRCPlength_List,MATCH(dms_TradingName,dms_TradingName_List))</f>
        <v>5</v>
      </c>
      <c r="D70" s="1070" t="s">
        <v>1273</v>
      </c>
      <c r="E70" s="1071" t="s">
        <v>1274</v>
      </c>
      <c r="F70" s="1063"/>
      <c r="G70" s="1063"/>
      <c r="H70" s="1063"/>
      <c r="I70" s="1063"/>
      <c r="J70" s="1063"/>
      <c r="K70" s="1072"/>
    </row>
    <row r="71" spans="2:11" customFormat="1" x14ac:dyDescent="0.25">
      <c r="B71" s="1073" t="s">
        <v>1275</v>
      </c>
      <c r="C71" s="1074">
        <f>INDEX(dms_FRCPlength_List,MATCH(dms_TradingName,dms_TradingName_List))</f>
        <v>5</v>
      </c>
      <c r="D71" s="1075" t="s">
        <v>1276</v>
      </c>
      <c r="E71" s="1076" t="s">
        <v>1277</v>
      </c>
      <c r="F71" s="1077"/>
      <c r="G71" s="1077"/>
      <c r="H71" s="1077"/>
      <c r="I71" s="1077"/>
      <c r="J71" s="1077"/>
      <c r="K71" s="1078"/>
    </row>
    <row r="72" spans="2:11" customFormat="1" x14ac:dyDescent="0.25">
      <c r="B72" s="1079" t="s">
        <v>1278</v>
      </c>
      <c r="C72" s="1061"/>
      <c r="D72" s="1061"/>
      <c r="E72" s="1062"/>
      <c r="F72" s="1063"/>
      <c r="G72" s="1063"/>
      <c r="H72" s="1063"/>
      <c r="I72" s="1063"/>
      <c r="J72" s="1064"/>
      <c r="K72" s="1065"/>
    </row>
    <row r="73" spans="2:11" customFormat="1" x14ac:dyDescent="0.25">
      <c r="B73" s="1719" t="s">
        <v>1279</v>
      </c>
      <c r="C73" s="1080">
        <f>IF(dms_Model="EB",1,0)</f>
        <v>0</v>
      </c>
      <c r="D73" s="1061" t="s">
        <v>1280</v>
      </c>
      <c r="E73" s="1062"/>
      <c r="F73" s="1063"/>
      <c r="G73" s="1063"/>
      <c r="H73" s="1063"/>
      <c r="I73" s="1063"/>
      <c r="J73" s="1064"/>
      <c r="K73" s="1065"/>
    </row>
    <row r="74" spans="2:11" customFormat="1" x14ac:dyDescent="0.25">
      <c r="B74" s="1719"/>
      <c r="C74" s="1081">
        <f>IF(dms_Model="CA",1,0)</f>
        <v>0</v>
      </c>
      <c r="D74" s="1082" t="s">
        <v>1281</v>
      </c>
      <c r="E74" s="1083" t="s">
        <v>1282</v>
      </c>
      <c r="F74" s="1084"/>
      <c r="G74" s="1084"/>
      <c r="H74" s="1084"/>
      <c r="I74" s="1084"/>
      <c r="J74" s="1085"/>
      <c r="K74" s="1086"/>
    </row>
    <row r="75" spans="2:11" customFormat="1" x14ac:dyDescent="0.25">
      <c r="B75" s="1720"/>
      <c r="C75" s="1081">
        <f>IF(dms_Model="ARR",1,0)</f>
        <v>0</v>
      </c>
      <c r="D75" s="1082" t="s">
        <v>1283</v>
      </c>
      <c r="E75" s="1083"/>
      <c r="F75" s="1084"/>
      <c r="G75" s="1084"/>
      <c r="H75" s="1084"/>
      <c r="I75" s="1084"/>
      <c r="J75" s="1085"/>
      <c r="K75" s="1086"/>
    </row>
    <row r="76" spans="2:11" customFormat="1" x14ac:dyDescent="0.25">
      <c r="B76" s="1087" t="s">
        <v>1284</v>
      </c>
      <c r="C76" s="1088" t="str">
        <f>IF(SUM(dms_SingleYear_Model)=1,"yes","no")</f>
        <v>no</v>
      </c>
      <c r="D76" s="1083" t="s">
        <v>1285</v>
      </c>
      <c r="E76" s="1083" t="s">
        <v>1286</v>
      </c>
      <c r="F76" s="1056"/>
      <c r="G76" s="1056"/>
      <c r="H76" s="1056"/>
      <c r="I76" s="1084"/>
      <c r="J76" s="1085"/>
      <c r="K76" s="1086"/>
    </row>
    <row r="77" spans="2:11" customFormat="1" x14ac:dyDescent="0.25">
      <c r="B77" s="1089" t="s">
        <v>1287</v>
      </c>
      <c r="C77" s="1090">
        <f>IF(AND(dms_SingleYearModel="yes",dms_MultiYear_Flag=0),CRY,0)</f>
        <v>0</v>
      </c>
      <c r="D77" s="1075" t="s">
        <v>1288</v>
      </c>
      <c r="E77" s="1076" t="s">
        <v>1289</v>
      </c>
      <c r="F77" s="1091"/>
      <c r="G77" s="1091"/>
      <c r="H77" s="1091"/>
      <c r="I77" s="1091"/>
      <c r="J77" s="1091"/>
      <c r="K77" s="1092"/>
    </row>
    <row r="78" spans="2:11" customFormat="1" x14ac:dyDescent="0.25">
      <c r="B78" s="1059" t="s">
        <v>1290</v>
      </c>
      <c r="C78" s="1054"/>
      <c r="D78" s="1070"/>
      <c r="E78" s="1071"/>
      <c r="F78" s="1063"/>
      <c r="G78" s="1063"/>
      <c r="H78" s="1063"/>
      <c r="I78" s="1063"/>
      <c r="J78" s="1063"/>
      <c r="K78" s="1072"/>
    </row>
    <row r="79" spans="2:11" customFormat="1" x14ac:dyDescent="0.25">
      <c r="B79" s="1041"/>
      <c r="C79" s="1054"/>
      <c r="D79" s="1070"/>
      <c r="E79" s="1071"/>
      <c r="F79" s="1063"/>
      <c r="G79" s="1063"/>
      <c r="H79" s="1063"/>
      <c r="I79" s="1063"/>
      <c r="J79" s="1063"/>
      <c r="K79" s="1072"/>
    </row>
    <row r="80" spans="2:11" customFormat="1" x14ac:dyDescent="0.25">
      <c r="B80" s="1041" t="s">
        <v>1291</v>
      </c>
      <c r="C80" s="1054" t="str">
        <f>IF(dms_Model_Span&gt;1,"yes","no")</f>
        <v>yes</v>
      </c>
      <c r="D80" s="1070"/>
      <c r="E80" s="1071"/>
      <c r="F80" s="1063"/>
      <c r="G80" s="1063"/>
      <c r="H80" s="1063"/>
      <c r="I80" s="1063"/>
      <c r="J80" s="1063"/>
      <c r="K80" s="1072"/>
    </row>
    <row r="81" spans="2:12" customFormat="1" x14ac:dyDescent="0.25">
      <c r="B81" s="1041" t="s">
        <v>1292</v>
      </c>
      <c r="C81" s="1093" t="str">
        <f ca="1">IF(dms_Model_Span&gt;1,dms_Reset_final_year,0)</f>
        <v>2030-31</v>
      </c>
      <c r="D81" s="1070" t="s">
        <v>1293</v>
      </c>
      <c r="E81" s="1071" t="s">
        <v>1294</v>
      </c>
      <c r="F81" s="1063"/>
      <c r="G81" s="1063"/>
      <c r="H81" s="1063"/>
      <c r="I81" s="1063"/>
      <c r="J81" s="1063"/>
      <c r="K81" s="1072"/>
    </row>
    <row r="82" spans="2:12" customFormat="1" x14ac:dyDescent="0.25">
      <c r="B82" s="1041"/>
      <c r="C82" s="1054"/>
      <c r="D82" s="1070"/>
      <c r="E82" s="1071"/>
      <c r="F82" s="1063"/>
      <c r="G82" s="1063"/>
      <c r="H82" s="1063"/>
      <c r="I82" s="1063"/>
      <c r="J82" s="1063"/>
      <c r="K82" s="1072"/>
    </row>
    <row r="83" spans="2:12" customFormat="1" x14ac:dyDescent="0.25">
      <c r="B83" s="1041" t="s">
        <v>1295</v>
      </c>
      <c r="C83" s="1054" t="str">
        <f>IF(dms_MultiYear_Flag=1,"yes","no")</f>
        <v>no</v>
      </c>
      <c r="D83" s="1070" t="s">
        <v>1296</v>
      </c>
      <c r="E83" s="1071"/>
      <c r="F83" s="1063"/>
      <c r="G83" s="1063"/>
      <c r="H83" s="1063"/>
      <c r="I83" s="1063"/>
      <c r="J83" s="1063"/>
      <c r="K83" s="1072"/>
    </row>
    <row r="84" spans="2:12" customFormat="1" x14ac:dyDescent="0.25">
      <c r="B84" s="1073" t="s">
        <v>1297</v>
      </c>
      <c r="C84" s="1094">
        <f>IF(dms_MultiYear_Flag=1,C51,0)</f>
        <v>0</v>
      </c>
      <c r="D84" s="1095"/>
      <c r="E84" s="1096"/>
      <c r="F84" s="1077"/>
      <c r="G84" s="1077"/>
      <c r="H84" s="1077"/>
      <c r="I84" s="1077"/>
      <c r="J84" s="1077"/>
      <c r="K84" s="1078"/>
    </row>
    <row r="85" spans="2:12" customFormat="1" ht="15.75" thickBot="1" x14ac:dyDescent="0.3">
      <c r="B85" s="1041"/>
      <c r="C85" s="1054"/>
      <c r="D85" s="1070"/>
      <c r="E85" s="1071"/>
      <c r="F85" s="1063"/>
      <c r="G85" s="1063"/>
      <c r="H85" s="1063"/>
      <c r="I85" s="1063"/>
      <c r="J85" s="1063"/>
      <c r="K85" s="1072"/>
    </row>
    <row r="86" spans="2:12" customFormat="1" ht="28.5" customHeight="1" thickBot="1" x14ac:dyDescent="0.3">
      <c r="B86" s="100" t="s">
        <v>1298</v>
      </c>
      <c r="C86" s="101"/>
      <c r="D86" s="101"/>
      <c r="E86" s="101"/>
      <c r="F86" s="104"/>
      <c r="G86" s="104"/>
      <c r="H86" s="104"/>
      <c r="I86" s="104"/>
      <c r="J86" s="104"/>
      <c r="K86" s="105"/>
    </row>
    <row r="87" spans="2:12" s="51" customFormat="1" ht="24.75" customHeight="1" thickBot="1" x14ac:dyDescent="0.3">
      <c r="B87" s="1097" t="s">
        <v>1299</v>
      </c>
      <c r="C87" s="90" t="str">
        <f>IFERROR(IF(dms_Segment="Transmission",dms_Cal_Year_B4_CRY,CRY),"CRY not present")</f>
        <v>CRY not present</v>
      </c>
      <c r="D87" s="970" t="s">
        <v>1300</v>
      </c>
      <c r="E87" s="987" t="s">
        <v>1301</v>
      </c>
      <c r="F87" s="988"/>
      <c r="G87" s="988"/>
      <c r="H87" s="988"/>
      <c r="I87" s="988"/>
      <c r="J87" s="989"/>
      <c r="K87" s="990"/>
    </row>
    <row r="88" spans="2:12" customFormat="1" ht="27" customHeight="1" thickBot="1" x14ac:dyDescent="0.3">
      <c r="B88" s="100" t="s">
        <v>1302</v>
      </c>
      <c r="C88" s="101"/>
      <c r="D88" s="101"/>
      <c r="E88" s="101"/>
      <c r="F88" s="104"/>
      <c r="G88" s="104"/>
      <c r="H88" s="104"/>
      <c r="I88" s="104"/>
      <c r="J88" s="104"/>
      <c r="K88" s="105"/>
    </row>
    <row r="89" spans="2:12" customFormat="1" x14ac:dyDescent="0.25">
      <c r="B89" s="118" t="s">
        <v>1303</v>
      </c>
      <c r="C89" s="119"/>
      <c r="D89" s="120"/>
      <c r="E89" s="89" t="s">
        <v>1304</v>
      </c>
      <c r="F89" s="79"/>
      <c r="G89" s="79"/>
      <c r="H89" s="79"/>
      <c r="I89" s="79"/>
      <c r="J89" s="79"/>
      <c r="K89" s="80"/>
    </row>
    <row r="90" spans="2:12" customFormat="1" x14ac:dyDescent="0.25">
      <c r="B90" s="118"/>
      <c r="C90" s="119" t="str">
        <f>IF(dms_Model&lt;&gt;"CA","not a CA","Is a CA")</f>
        <v>not a CA</v>
      </c>
      <c r="D90" s="120"/>
      <c r="E90" s="121" t="s">
        <v>1305</v>
      </c>
      <c r="F90" s="79"/>
      <c r="G90" s="79"/>
      <c r="H90" s="79"/>
      <c r="I90" s="79"/>
      <c r="J90" s="79"/>
      <c r="K90" s="80"/>
    </row>
    <row r="91" spans="2:12" customFormat="1" x14ac:dyDescent="0.25">
      <c r="B91" s="122" t="s">
        <v>1306</v>
      </c>
      <c r="C91" s="119" t="str">
        <f>IFERROR(IF(INDEX(dms_060301_Avg_Duration_Sustained_Int_Values,1,1)&lt;&gt;"","yes","no"),"no")</f>
        <v>no</v>
      </c>
      <c r="D91" s="120" t="s">
        <v>1307</v>
      </c>
      <c r="E91" s="123" t="s">
        <v>1308</v>
      </c>
      <c r="F91" s="79"/>
      <c r="G91" s="79"/>
      <c r="H91" s="79"/>
      <c r="I91" s="79"/>
      <c r="J91" s="79"/>
      <c r="K91" s="80"/>
    </row>
    <row r="92" spans="2:12" customFormat="1" x14ac:dyDescent="0.25">
      <c r="B92" s="122"/>
      <c r="C92" s="124" t="str">
        <f>IF(AND(dms_Model="CA",(dms_060301_checkvalue="no")),"error - NR not present","no errors")</f>
        <v>no errors</v>
      </c>
      <c r="D92" s="120"/>
      <c r="E92" s="123" t="s">
        <v>1309</v>
      </c>
      <c r="F92" s="79"/>
      <c r="G92" s="79"/>
      <c r="H92" s="79"/>
      <c r="I92" s="79"/>
      <c r="J92" s="79"/>
      <c r="K92" s="80"/>
    </row>
    <row r="93" spans="2:12" customFormat="1" x14ac:dyDescent="0.25">
      <c r="B93" s="125" t="s">
        <v>1310</v>
      </c>
      <c r="C93" s="119" t="str">
        <f>IFERROR(IF(dms_Model="CA",LOOKUP(2,1/(dms_060301_Avg_Duration_Sustained_Int_Values&lt;&gt;""),(ROW(dms_060301_Avg_Duration_Sustained_Int_Values))),"not a CA"),"6.3 not present")</f>
        <v>not a CA</v>
      </c>
      <c r="D93" s="120" t="s">
        <v>1311</v>
      </c>
      <c r="E93" s="123" t="s">
        <v>1312</v>
      </c>
      <c r="F93" s="79"/>
      <c r="G93" s="79"/>
      <c r="H93" s="79"/>
      <c r="I93" s="79"/>
      <c r="J93" s="79"/>
      <c r="K93" s="80"/>
    </row>
    <row r="94" spans="2:12" customFormat="1" x14ac:dyDescent="0.25">
      <c r="B94" s="126" t="s">
        <v>1313</v>
      </c>
      <c r="C94" s="127" t="str">
        <f>IFERROR(IF(dms_Model="CA",(dms_060301_LastRow-15),"not a CA"),"error")</f>
        <v>not a CA</v>
      </c>
      <c r="D94" s="128" t="s">
        <v>1314</v>
      </c>
      <c r="E94" s="129" t="s">
        <v>1315</v>
      </c>
      <c r="F94" s="117"/>
      <c r="G94" s="117"/>
      <c r="H94" s="117"/>
      <c r="I94" s="117"/>
      <c r="J94" s="117"/>
      <c r="K94" s="130"/>
      <c r="L94" s="76"/>
    </row>
    <row r="95" spans="2:12" ht="15.75" thickBot="1" x14ac:dyDescent="0.3">
      <c r="B95" s="131" t="s">
        <v>1316</v>
      </c>
      <c r="C95" s="132">
        <f>INDEX(dms_663_List,MATCH(dms_TradingName,dms_TradingName_List))</f>
        <v>5</v>
      </c>
      <c r="D95" s="114" t="s">
        <v>1317</v>
      </c>
      <c r="E95" s="123" t="s">
        <v>1318</v>
      </c>
      <c r="F95" s="133"/>
      <c r="G95" s="133"/>
      <c r="H95" s="133"/>
      <c r="I95" s="133"/>
      <c r="J95" s="133"/>
      <c r="K95" s="134"/>
    </row>
    <row r="96" spans="2:12" customFormat="1" ht="21" customHeight="1" thickBot="1" x14ac:dyDescent="0.3">
      <c r="B96" s="100" t="s">
        <v>1319</v>
      </c>
      <c r="C96" s="101"/>
      <c r="D96" s="101"/>
      <c r="E96" s="101"/>
      <c r="F96" s="104"/>
      <c r="G96" s="104"/>
      <c r="H96" s="104"/>
      <c r="I96" s="104"/>
      <c r="J96" s="104"/>
      <c r="K96" s="105"/>
    </row>
    <row r="97" spans="2:12" ht="25.5" x14ac:dyDescent="0.25">
      <c r="B97" s="118" t="s">
        <v>1320</v>
      </c>
      <c r="C97" s="135" t="s">
        <v>1321</v>
      </c>
      <c r="D97" s="136"/>
      <c r="E97" s="137" t="s">
        <v>1322</v>
      </c>
      <c r="F97" s="138"/>
      <c r="G97" s="138"/>
      <c r="H97" s="133"/>
      <c r="I97" s="133"/>
      <c r="J97" s="133"/>
      <c r="K97" s="134"/>
    </row>
    <row r="98" spans="2:12" x14ac:dyDescent="0.25">
      <c r="B98" s="125" t="s">
        <v>1323</v>
      </c>
      <c r="C98" s="135" t="str">
        <f>IFERROR(IF(dms_LeapYear,"yes"),"no")</f>
        <v>no</v>
      </c>
      <c r="D98" s="136"/>
      <c r="E98" s="139"/>
      <c r="F98" s="138"/>
      <c r="G98" s="138"/>
      <c r="H98" s="133"/>
      <c r="I98" s="133"/>
      <c r="J98" s="133"/>
      <c r="K98" s="134"/>
    </row>
    <row r="99" spans="2:12" x14ac:dyDescent="0.25">
      <c r="B99" s="140" t="s">
        <v>1324</v>
      </c>
      <c r="C99" s="141" t="str">
        <f xml:space="preserve">
IFERROR(IF(MONTH(DATE(YEAR(dms_LeapYear),2,29))=2,"is a leap year","not a leap year"),
"dms_LeapYear not present")</f>
        <v>dms_LeapYear not present</v>
      </c>
      <c r="D99" s="114" t="s">
        <v>1325</v>
      </c>
      <c r="E99" s="114" t="s">
        <v>1326</v>
      </c>
      <c r="F99" s="133"/>
      <c r="G99" s="133"/>
      <c r="H99" s="133"/>
      <c r="I99" s="133"/>
      <c r="J99" s="133"/>
      <c r="K99" s="134"/>
    </row>
    <row r="100" spans="2:12" x14ac:dyDescent="0.25">
      <c r="B100" s="140" t="s">
        <v>1327</v>
      </c>
      <c r="C100" s="142">
        <f>IF(dms_LeapYear_Result="is a leap year",1827,1826)</f>
        <v>1826</v>
      </c>
      <c r="D100" s="114" t="s">
        <v>1328</v>
      </c>
      <c r="E100" s="115" t="s">
        <v>1329</v>
      </c>
      <c r="F100" s="133"/>
      <c r="G100" s="133"/>
      <c r="H100" s="85" t="s">
        <v>1330</v>
      </c>
      <c r="I100" s="133"/>
      <c r="J100" s="133"/>
      <c r="K100" s="134"/>
    </row>
    <row r="101" spans="2:12" x14ac:dyDescent="0.25">
      <c r="B101" s="140" t="s">
        <v>1331</v>
      </c>
      <c r="C101" s="142">
        <f>IF(dms_LeapYear_Result="is a leap year",366,365)</f>
        <v>365</v>
      </c>
      <c r="D101" s="114" t="s">
        <v>1332</v>
      </c>
      <c r="E101" s="115" t="s">
        <v>1333</v>
      </c>
      <c r="F101" s="133"/>
      <c r="G101" s="133"/>
      <c r="H101" s="85" t="s">
        <v>1334</v>
      </c>
      <c r="I101" s="133"/>
      <c r="J101" s="133"/>
      <c r="K101" s="134"/>
    </row>
    <row r="102" spans="2:12" ht="15.75" thickBot="1" x14ac:dyDescent="0.3">
      <c r="B102" s="143" t="s">
        <v>1335</v>
      </c>
      <c r="C102" s="144">
        <f>IF(dms_Model="ARR",dms_060701_ARR_MaxRows,IF(dms_Model="Reset",dms_060701_Reset_MaxRows,"not a relevant RIN type"))</f>
        <v>1826</v>
      </c>
      <c r="D102" s="145" t="s">
        <v>1336</v>
      </c>
      <c r="E102" s="146" t="s">
        <v>1337</v>
      </c>
      <c r="F102" s="147"/>
      <c r="G102" s="147"/>
      <c r="H102" s="147"/>
      <c r="I102" s="147"/>
      <c r="J102" s="147"/>
      <c r="K102" s="148"/>
    </row>
    <row r="103" spans="2:12" ht="24" customHeight="1" x14ac:dyDescent="0.25">
      <c r="B103" s="149" t="s">
        <v>1338</v>
      </c>
      <c r="C103" s="150" t="str">
        <f>IF(dms_FifthFeeder_flag_NSP="NO","This NSP has only 4 feeder categories","This NSP has 5 feeder categories")</f>
        <v>This NSP has only 4 feeder categories</v>
      </c>
      <c r="D103" s="151"/>
      <c r="E103" s="152"/>
      <c r="F103" s="153"/>
      <c r="G103" s="153"/>
      <c r="H103" s="153"/>
      <c r="I103" s="153"/>
      <c r="J103" s="153"/>
      <c r="K103" s="154"/>
    </row>
    <row r="104" spans="2:12" x14ac:dyDescent="0.25">
      <c r="B104" s="125" t="s">
        <v>1339</v>
      </c>
      <c r="C104" s="155">
        <f>IF(dms_FifthFeeder_flag_NSP="NO",10,12)</f>
        <v>10</v>
      </c>
      <c r="D104" s="114" t="s">
        <v>1340</v>
      </c>
      <c r="E104" s="123" t="s">
        <v>1341</v>
      </c>
      <c r="F104" s="133"/>
      <c r="G104" s="133"/>
      <c r="H104" s="133"/>
      <c r="I104" s="133"/>
      <c r="J104" s="133"/>
      <c r="K104" s="134"/>
    </row>
    <row r="105" spans="2:12" x14ac:dyDescent="0.25">
      <c r="B105" s="126" t="s">
        <v>1342</v>
      </c>
      <c r="C105" s="157">
        <f>IF(dms_Model="ARR",15,9)</f>
        <v>9</v>
      </c>
      <c r="D105" s="116" t="s">
        <v>1343</v>
      </c>
      <c r="E105" s="158" t="s">
        <v>1344</v>
      </c>
      <c r="F105" s="159"/>
      <c r="G105" s="159"/>
      <c r="H105" s="159"/>
      <c r="I105" s="159"/>
      <c r="J105" s="159"/>
      <c r="K105" s="160"/>
    </row>
    <row r="106" spans="2:12" x14ac:dyDescent="0.25">
      <c r="B106" s="118" t="s">
        <v>1345</v>
      </c>
      <c r="C106" s="161"/>
      <c r="D106" s="162"/>
      <c r="E106" s="89" t="s">
        <v>1346</v>
      </c>
      <c r="F106" s="133"/>
      <c r="G106" s="133"/>
      <c r="H106" s="133"/>
      <c r="I106" s="133"/>
      <c r="J106" s="133"/>
      <c r="K106" s="134"/>
    </row>
    <row r="107" spans="2:12" x14ac:dyDescent="0.25">
      <c r="B107" s="125" t="s">
        <v>1347</v>
      </c>
      <c r="C107" s="161" t="str">
        <f ca="1">IF(dms_SingleYearModel="yes",(CONCATENATE(IF(LEN(CRY)=4,"1-Jan-","1-Jul-"),LEFT(CRY,4))),(CONCATENATE(IF(LEN(PRCP_y4)=4,"1-Jan-","1-Jul-"),LEFT(PRCP_y4,4))))</f>
        <v>1-Jul-2019</v>
      </c>
      <c r="D107" s="114" t="s">
        <v>702</v>
      </c>
      <c r="E107" s="121" t="s">
        <v>1348</v>
      </c>
      <c r="F107" s="133"/>
      <c r="G107" s="133"/>
      <c r="H107" s="133"/>
      <c r="I107" s="133"/>
      <c r="J107" s="133"/>
      <c r="K107" s="134"/>
    </row>
    <row r="108" spans="2:12" ht="15.75" thickBot="1" x14ac:dyDescent="0.3">
      <c r="B108" s="163" t="s">
        <v>1349</v>
      </c>
      <c r="C108" s="164">
        <f ca="1">DATEVALUE(dms_060701_StartDateTxt)</f>
        <v>43647</v>
      </c>
      <c r="D108" s="165" t="s">
        <v>1350</v>
      </c>
      <c r="E108" s="166" t="s">
        <v>1351</v>
      </c>
      <c r="F108" s="167"/>
      <c r="G108" s="167"/>
      <c r="H108" s="167"/>
      <c r="I108" s="167"/>
      <c r="J108" s="167"/>
      <c r="K108" s="168"/>
      <c r="L108" s="76"/>
    </row>
    <row r="109" spans="2:12" customFormat="1" ht="15.75" thickBot="1" x14ac:dyDescent="0.3">
      <c r="B109" s="100" t="s">
        <v>1352</v>
      </c>
      <c r="C109" s="101"/>
      <c r="D109" s="101"/>
      <c r="E109" s="101"/>
      <c r="F109" s="104"/>
      <c r="G109" s="104"/>
      <c r="H109" s="104"/>
      <c r="I109" s="104"/>
      <c r="J109" s="104"/>
      <c r="K109" s="105"/>
    </row>
    <row r="110" spans="2:12" ht="38.25" x14ac:dyDescent="0.25">
      <c r="B110" s="169" t="s">
        <v>1353</v>
      </c>
      <c r="C110" s="135" t="s">
        <v>1354</v>
      </c>
      <c r="D110" s="89"/>
      <c r="E110" s="89" t="s">
        <v>1355</v>
      </c>
      <c r="F110" s="170"/>
      <c r="G110" s="170"/>
      <c r="H110" s="170"/>
      <c r="I110" s="170"/>
      <c r="J110" s="170"/>
      <c r="K110" s="171"/>
      <c r="L110" s="76"/>
    </row>
    <row r="111" spans="2:12" x14ac:dyDescent="0.25">
      <c r="B111" s="118" t="s">
        <v>1356</v>
      </c>
      <c r="C111" s="173" t="str">
        <f>IFERROR(IF((ROW(dms_060801_StartCell)-1)=1,"yes","yes"),"no")</f>
        <v>no</v>
      </c>
      <c r="D111" s="172" t="s">
        <v>1357</v>
      </c>
      <c r="E111" s="123" t="s">
        <v>1358</v>
      </c>
      <c r="F111" s="133"/>
      <c r="G111" s="133"/>
      <c r="H111" s="133"/>
      <c r="I111" s="133"/>
      <c r="J111" s="133"/>
      <c r="K111" s="134"/>
      <c r="L111" s="76"/>
    </row>
    <row r="112" spans="2:12" x14ac:dyDescent="0.25">
      <c r="B112" s="125" t="s">
        <v>1359</v>
      </c>
      <c r="C112" s="161">
        <v>12</v>
      </c>
      <c r="D112" s="114" t="s">
        <v>1360</v>
      </c>
      <c r="E112" s="123" t="s">
        <v>1361</v>
      </c>
      <c r="F112" s="133"/>
      <c r="G112" s="133"/>
      <c r="H112" s="133"/>
      <c r="I112" s="133"/>
      <c r="J112" s="133"/>
      <c r="K112" s="134"/>
    </row>
    <row r="113" spans="2:11" x14ac:dyDescent="0.25">
      <c r="B113" s="125" t="s">
        <v>1362</v>
      </c>
      <c r="C113" s="173" t="str">
        <f>IFERROR(IF(dms_060801_StartCell&lt;&gt;"",IF(dms_Model="ARR",(LOOKUP(2,1/(dms_060801_01_Values&lt;&gt;""),(ROW(dms_060801_01_Values)))),"not an ARR"),0),"0")</f>
        <v>0</v>
      </c>
      <c r="D113" s="114" t="s">
        <v>1363</v>
      </c>
      <c r="E113" s="115" t="s">
        <v>1364</v>
      </c>
      <c r="F113" s="133"/>
      <c r="G113" s="133"/>
      <c r="H113" s="133"/>
      <c r="I113" s="133"/>
      <c r="J113" s="133"/>
      <c r="K113" s="134"/>
    </row>
    <row r="114" spans="2:11" ht="15.75" thickBot="1" x14ac:dyDescent="0.3">
      <c r="B114" s="163" t="s">
        <v>1365</v>
      </c>
      <c r="C114" s="174" t="str">
        <f>IFERROR(IF(dms_Model="ARR",(MAX(0,dms_0608_LastRow-dms_0608_OffsetRows)),"not an ARR"),"0")</f>
        <v>not an ARR</v>
      </c>
      <c r="D114" s="165" t="s">
        <v>1366</v>
      </c>
      <c r="E114" s="175" t="s">
        <v>1367</v>
      </c>
      <c r="F114" s="176"/>
      <c r="G114" s="167"/>
      <c r="H114" s="167"/>
      <c r="I114" s="167"/>
      <c r="J114" s="167"/>
      <c r="K114" s="168"/>
    </row>
    <row r="115" spans="2:11" customFormat="1" ht="15.75" thickBot="1" x14ac:dyDescent="0.3">
      <c r="B115" s="100" t="s">
        <v>1368</v>
      </c>
      <c r="C115" s="101"/>
      <c r="D115" s="101"/>
      <c r="E115" s="101"/>
      <c r="F115" s="104"/>
      <c r="G115" s="104"/>
      <c r="H115" s="104"/>
      <c r="I115" s="104"/>
      <c r="J115" s="104"/>
      <c r="K115" s="105"/>
    </row>
    <row r="116" spans="2:11" x14ac:dyDescent="0.25">
      <c r="B116" s="118" t="s">
        <v>1369</v>
      </c>
      <c r="C116" s="177"/>
      <c r="D116" s="114"/>
      <c r="E116" s="123"/>
      <c r="F116" s="178"/>
      <c r="G116" s="133"/>
      <c r="H116" s="133"/>
      <c r="I116" s="133"/>
      <c r="J116" s="133"/>
      <c r="K116" s="134"/>
    </row>
    <row r="117" spans="2:11" x14ac:dyDescent="0.25">
      <c r="B117" s="125" t="s">
        <v>1370</v>
      </c>
      <c r="C117" s="161" t="str">
        <f ca="1">LEFT(PRCP_y3,4)</f>
        <v>2018</v>
      </c>
      <c r="D117" s="114" t="s">
        <v>1371</v>
      </c>
      <c r="E117" s="179" t="s">
        <v>1372</v>
      </c>
      <c r="F117" s="133"/>
      <c r="G117" s="133"/>
      <c r="H117" s="133"/>
      <c r="I117" s="133"/>
      <c r="J117" s="133"/>
      <c r="K117" s="134"/>
    </row>
    <row r="118" spans="2:11" ht="15.75" thickBot="1" x14ac:dyDescent="0.3">
      <c r="B118" s="1098"/>
      <c r="C118" s="1099"/>
      <c r="D118" s="1100"/>
      <c r="E118" s="1101"/>
      <c r="F118" s="1102"/>
      <c r="G118" s="1102"/>
      <c r="H118" s="1102"/>
      <c r="I118" s="1102"/>
      <c r="J118" s="1102"/>
      <c r="K118" s="1103"/>
    </row>
    <row r="119" spans="2:11" customFormat="1" ht="15.75" thickBot="1" x14ac:dyDescent="0.3">
      <c r="B119" s="100" t="s">
        <v>1373</v>
      </c>
      <c r="C119" s="101"/>
      <c r="D119" s="101"/>
      <c r="E119" s="101"/>
      <c r="F119" s="104"/>
      <c r="G119" s="104"/>
      <c r="H119" s="104"/>
      <c r="I119" s="104"/>
      <c r="J119" s="104"/>
      <c r="K119" s="105"/>
    </row>
    <row r="120" spans="2:11" customFormat="1" ht="14.25" customHeight="1" x14ac:dyDescent="0.25">
      <c r="B120" s="182" t="s">
        <v>1374</v>
      </c>
      <c r="C120" s="183" t="str">
        <f>INDEX(dms_DeterminationRef_List,MATCH(dms_TradingName,dms_TradingName_List))</f>
        <v>distribution determination</v>
      </c>
      <c r="D120" s="184" t="s">
        <v>1375</v>
      </c>
      <c r="E120" s="185"/>
      <c r="F120" s="186"/>
      <c r="G120" s="186"/>
      <c r="H120" s="186"/>
      <c r="I120" s="186"/>
      <c r="J120" s="186"/>
      <c r="K120" s="187"/>
    </row>
    <row r="121" spans="2:11" customFormat="1" ht="14.25" customHeight="1" x14ac:dyDescent="0.25">
      <c r="B121" s="188" t="s">
        <v>1376</v>
      </c>
      <c r="C121" s="189" t="str">
        <f>INDEX(dms_Public_Lighting_List,MATCH(dms_TradingName,dms_TradingName_List))</f>
        <v>NO</v>
      </c>
      <c r="D121" s="190" t="s">
        <v>1377</v>
      </c>
      <c r="E121" s="191" t="s">
        <v>1378</v>
      </c>
      <c r="F121" s="192"/>
      <c r="G121" s="192"/>
      <c r="H121" s="192"/>
      <c r="I121" s="192"/>
      <c r="J121" s="192"/>
      <c r="K121" s="193"/>
    </row>
    <row r="122" spans="2:11" ht="15" customHeight="1" x14ac:dyDescent="0.25">
      <c r="B122" s="111" t="s">
        <v>1379</v>
      </c>
      <c r="C122" s="112" t="str">
        <f>INDEX(dms_CBD_flag,MATCH(dms_TradingName,dms_TradingName_List))</f>
        <v>NO</v>
      </c>
      <c r="D122" s="106" t="s">
        <v>1380</v>
      </c>
      <c r="E122" s="106"/>
      <c r="F122" s="194"/>
      <c r="G122" s="194"/>
      <c r="H122" s="194"/>
      <c r="I122" s="194"/>
      <c r="J122" s="194"/>
      <c r="K122" s="195"/>
    </row>
    <row r="123" spans="2:11" ht="15" customHeight="1" x14ac:dyDescent="0.25">
      <c r="B123" s="113" t="s">
        <v>1381</v>
      </c>
      <c r="C123" s="82" t="str">
        <f>INDEX(dms_Urban_flag,MATCH(dms_TradingName,dms_TradingName_List))</f>
        <v>NO</v>
      </c>
      <c r="D123" s="83" t="s">
        <v>1382</v>
      </c>
      <c r="E123" s="83"/>
      <c r="F123" s="88"/>
      <c r="G123" s="88"/>
      <c r="H123" s="88"/>
      <c r="I123" s="88"/>
      <c r="J123" s="88"/>
      <c r="K123" s="196"/>
    </row>
    <row r="124" spans="2:11" ht="15" customHeight="1" x14ac:dyDescent="0.25">
      <c r="B124" s="113" t="s">
        <v>1383</v>
      </c>
      <c r="C124" s="82" t="str">
        <f>INDEX(dms_ShortRural_flag,MATCH(dms_TradingName,dms_TradingName_List))</f>
        <v>NO</v>
      </c>
      <c r="D124" s="83" t="s">
        <v>1384</v>
      </c>
      <c r="E124" s="83"/>
      <c r="F124" s="88"/>
      <c r="G124" s="88"/>
      <c r="H124" s="88"/>
      <c r="I124" s="88"/>
      <c r="J124" s="88"/>
      <c r="K124" s="196"/>
    </row>
    <row r="125" spans="2:11" ht="15" customHeight="1" x14ac:dyDescent="0.25">
      <c r="B125" s="197" t="s">
        <v>1385</v>
      </c>
      <c r="C125" s="198" t="str">
        <f>INDEX(dms_LongRural_flag,MATCH(dms_TradingName,dms_TradingName_List))</f>
        <v>NO</v>
      </c>
      <c r="D125" s="199" t="s">
        <v>1386</v>
      </c>
      <c r="E125" s="199"/>
      <c r="F125" s="200"/>
      <c r="G125" s="200"/>
      <c r="H125" s="200"/>
      <c r="I125" s="200"/>
      <c r="J125" s="200"/>
      <c r="K125" s="201"/>
    </row>
    <row r="126" spans="2:11" ht="15.75" thickBot="1" x14ac:dyDescent="0.3">
      <c r="B126" s="202" t="s">
        <v>1387</v>
      </c>
      <c r="C126" s="203" t="str">
        <f>INDEX(dms_FeederType_5_flag,MATCH(dms_TradingName,dms_TradingName_List))</f>
        <v>NO</v>
      </c>
      <c r="D126" s="165" t="s">
        <v>1388</v>
      </c>
      <c r="E126" s="175" t="s">
        <v>1389</v>
      </c>
      <c r="F126" s="204"/>
      <c r="G126" s="204"/>
      <c r="H126" s="204"/>
      <c r="I126" s="204"/>
      <c r="J126" s="204"/>
      <c r="K126" s="205"/>
    </row>
    <row r="127" spans="2:11" ht="15.75" thickBot="1" x14ac:dyDescent="0.3">
      <c r="B127" s="1098"/>
      <c r="C127" s="1099"/>
      <c r="D127" s="1100"/>
      <c r="E127" s="1101"/>
      <c r="F127" s="1102"/>
      <c r="G127" s="1102"/>
      <c r="H127" s="1102"/>
      <c r="I127" s="1102"/>
      <c r="J127" s="1102"/>
      <c r="K127" s="1103"/>
    </row>
    <row r="128" spans="2:11" customFormat="1" ht="15.75" thickBot="1" x14ac:dyDescent="0.3">
      <c r="B128" s="1104" t="s">
        <v>1390</v>
      </c>
      <c r="C128" s="1105"/>
      <c r="D128" s="1105"/>
      <c r="E128" s="1105"/>
      <c r="F128" s="1106"/>
      <c r="G128" s="1106"/>
      <c r="H128" s="1106"/>
      <c r="I128" s="1106"/>
      <c r="J128" s="1106"/>
      <c r="K128" s="1107"/>
    </row>
    <row r="129" spans="2:11" ht="15.75" thickBot="1" x14ac:dyDescent="0.3">
      <c r="B129" s="206" t="s">
        <v>1391</v>
      </c>
      <c r="C129" s="207" t="s">
        <v>831</v>
      </c>
      <c r="D129" s="208" t="s">
        <v>1392</v>
      </c>
      <c r="E129" s="209" t="s">
        <v>1393</v>
      </c>
      <c r="F129" s="210"/>
      <c r="G129" s="210"/>
      <c r="H129" s="210"/>
      <c r="I129" s="210"/>
      <c r="J129" s="210"/>
      <c r="K129" s="211"/>
    </row>
    <row r="130" spans="2:11" customFormat="1" ht="15.75" thickBot="1" x14ac:dyDescent="0.3"/>
    <row r="131" spans="2:11" customFormat="1" ht="15.75" thickBot="1" x14ac:dyDescent="0.3">
      <c r="B131" s="1104" t="s">
        <v>1394</v>
      </c>
      <c r="C131" s="1105"/>
      <c r="D131" s="1105"/>
      <c r="E131" s="1105"/>
      <c r="F131" s="1106"/>
      <c r="G131" s="1106"/>
      <c r="H131" s="1106"/>
      <c r="I131" s="1106"/>
      <c r="J131" s="1106"/>
      <c r="K131" s="1107"/>
    </row>
    <row r="132" spans="2:11" x14ac:dyDescent="0.25">
      <c r="B132" s="81" t="s">
        <v>1395</v>
      </c>
      <c r="C132" s="180" t="s">
        <v>831</v>
      </c>
      <c r="D132" s="83" t="s">
        <v>1396</v>
      </c>
      <c r="E132" s="181"/>
      <c r="F132" s="92"/>
      <c r="G132" s="92"/>
      <c r="H132" s="92"/>
      <c r="I132" s="92"/>
      <c r="J132" s="92"/>
      <c r="K132" s="93"/>
    </row>
    <row r="133" spans="2:11" customFormat="1" x14ac:dyDescent="0.25"/>
    <row r="134" spans="2:11" ht="15.75" thickBot="1" x14ac:dyDescent="0.3">
      <c r="B134" s="1098"/>
      <c r="C134" s="1099"/>
      <c r="D134" s="1100"/>
      <c r="E134" s="1101"/>
      <c r="F134" s="1102"/>
      <c r="G134" s="1102"/>
      <c r="H134" s="1102"/>
      <c r="I134" s="1102"/>
      <c r="J134" s="1102"/>
      <c r="K134" s="1103"/>
    </row>
    <row r="135" spans="2:11" ht="15.75" thickBot="1" x14ac:dyDescent="0.3">
      <c r="B135" s="1108" t="s">
        <v>1397</v>
      </c>
      <c r="C135" s="1109"/>
      <c r="D135" s="1109"/>
      <c r="E135" s="1109"/>
      <c r="F135" s="1110"/>
      <c r="G135" s="1110"/>
      <c r="H135" s="1110"/>
      <c r="I135" s="1110"/>
      <c r="J135" s="1110"/>
      <c r="K135" s="1111"/>
    </row>
    <row r="136" spans="2:11" x14ac:dyDescent="0.25">
      <c r="B136" s="217" t="s">
        <v>1398</v>
      </c>
      <c r="C136" s="180" t="s">
        <v>831</v>
      </c>
      <c r="D136" s="218" t="s">
        <v>1399</v>
      </c>
      <c r="E136" s="219"/>
      <c r="F136" s="220"/>
      <c r="G136" s="220"/>
      <c r="H136" s="220"/>
      <c r="I136" s="220"/>
      <c r="J136" s="220"/>
      <c r="K136" s="221"/>
    </row>
    <row r="137" spans="2:11" x14ac:dyDescent="0.25">
      <c r="B137" s="222"/>
      <c r="C137" s="223" t="s">
        <v>1400</v>
      </c>
      <c r="D137" s="224" t="s">
        <v>1401</v>
      </c>
      <c r="E137" s="225"/>
      <c r="F137" s="226"/>
      <c r="G137" s="226"/>
      <c r="H137" s="226"/>
      <c r="I137" s="226"/>
      <c r="J137" s="226"/>
      <c r="K137" s="227"/>
    </row>
    <row r="138" spans="2:11" x14ac:dyDescent="0.25">
      <c r="B138" s="222"/>
      <c r="C138" s="228">
        <v>2013</v>
      </c>
      <c r="D138" s="229" t="s">
        <v>1402</v>
      </c>
      <c r="E138" s="230"/>
      <c r="F138" s="231"/>
      <c r="G138" s="231"/>
      <c r="H138" s="231"/>
      <c r="I138" s="231"/>
      <c r="J138" s="231"/>
      <c r="K138" s="232"/>
    </row>
    <row r="139" spans="2:11" x14ac:dyDescent="0.25">
      <c r="B139" s="222"/>
      <c r="C139" s="228">
        <v>2014</v>
      </c>
      <c r="D139" s="229" t="s">
        <v>1403</v>
      </c>
      <c r="E139" s="230"/>
      <c r="F139" s="231"/>
      <c r="G139" s="231"/>
      <c r="H139" s="231"/>
      <c r="I139" s="231"/>
      <c r="J139" s="231"/>
      <c r="K139" s="232"/>
    </row>
    <row r="140" spans="2:11" x14ac:dyDescent="0.25">
      <c r="B140" s="222"/>
      <c r="C140" s="228">
        <v>2015</v>
      </c>
      <c r="D140" s="229" t="s">
        <v>1404</v>
      </c>
      <c r="E140" s="230"/>
      <c r="F140" s="231"/>
      <c r="G140" s="231"/>
      <c r="H140" s="231"/>
      <c r="I140" s="231"/>
      <c r="J140" s="231"/>
      <c r="K140" s="232"/>
    </row>
    <row r="141" spans="2:11" x14ac:dyDescent="0.25">
      <c r="B141" s="222"/>
      <c r="C141" s="228">
        <v>2016</v>
      </c>
      <c r="D141" s="229" t="s">
        <v>1405</v>
      </c>
      <c r="E141" s="230"/>
      <c r="F141" s="231"/>
      <c r="G141" s="231"/>
      <c r="H141" s="231"/>
      <c r="I141" s="231"/>
      <c r="J141" s="231"/>
      <c r="K141" s="232"/>
    </row>
    <row r="142" spans="2:11" x14ac:dyDescent="0.25">
      <c r="B142" s="233"/>
      <c r="C142" s="234">
        <v>2017</v>
      </c>
      <c r="D142" s="235" t="s">
        <v>1406</v>
      </c>
      <c r="E142" s="236"/>
      <c r="F142" s="237"/>
      <c r="G142" s="237"/>
      <c r="H142" s="237"/>
      <c r="I142" s="237"/>
      <c r="J142" s="237"/>
      <c r="K142" s="238"/>
    </row>
    <row r="143" spans="2:11" x14ac:dyDescent="0.25">
      <c r="B143" s="233"/>
      <c r="C143" s="234">
        <v>2018</v>
      </c>
      <c r="D143" s="235" t="s">
        <v>1407</v>
      </c>
      <c r="E143" s="236"/>
      <c r="F143" s="237"/>
      <c r="G143" s="237"/>
      <c r="H143" s="237"/>
      <c r="I143" s="237"/>
      <c r="J143" s="237"/>
      <c r="K143" s="238"/>
    </row>
    <row r="144" spans="2:11" x14ac:dyDescent="0.25">
      <c r="B144" s="233"/>
      <c r="C144" s="234">
        <v>2019</v>
      </c>
      <c r="D144" s="235" t="s">
        <v>1408</v>
      </c>
      <c r="E144" s="236"/>
      <c r="F144" s="237"/>
      <c r="G144" s="237"/>
      <c r="H144" s="237"/>
      <c r="I144" s="237"/>
      <c r="J144" s="237"/>
      <c r="K144" s="238"/>
    </row>
    <row r="145" spans="2:11" x14ac:dyDescent="0.25">
      <c r="B145" s="233"/>
      <c r="C145" s="234">
        <v>2020</v>
      </c>
      <c r="D145" s="235" t="s">
        <v>1409</v>
      </c>
      <c r="E145" s="236"/>
      <c r="F145" s="237"/>
      <c r="G145" s="237"/>
      <c r="H145" s="237"/>
      <c r="I145" s="237"/>
      <c r="J145" s="237"/>
      <c r="K145" s="238"/>
    </row>
    <row r="146" spans="2:11" ht="15.75" thickBot="1" x14ac:dyDescent="0.3">
      <c r="B146" s="239"/>
      <c r="C146" s="240">
        <v>2021</v>
      </c>
      <c r="D146" s="241" t="s">
        <v>1410</v>
      </c>
      <c r="E146" s="242"/>
      <c r="F146" s="243"/>
      <c r="G146" s="243"/>
      <c r="H146" s="243"/>
      <c r="I146" s="243"/>
      <c r="J146" s="243"/>
      <c r="K146" s="244"/>
    </row>
    <row r="147" spans="2:11" x14ac:dyDescent="0.25">
      <c r="B147"/>
      <c r="C147"/>
    </row>
    <row r="148" spans="2:11" x14ac:dyDescent="0.25">
      <c r="B148"/>
      <c r="C148"/>
    </row>
    <row r="149" spans="2:11" x14ac:dyDescent="0.25">
      <c r="B149"/>
      <c r="C149"/>
      <c r="D149"/>
      <c r="E149"/>
      <c r="F149"/>
      <c r="G149"/>
      <c r="H149"/>
      <c r="I149"/>
    </row>
    <row r="150" spans="2:11" x14ac:dyDescent="0.25">
      <c r="B150"/>
      <c r="C150"/>
      <c r="D150"/>
      <c r="E150"/>
      <c r="F150"/>
      <c r="G150"/>
      <c r="H150"/>
      <c r="I150"/>
    </row>
    <row r="151" spans="2:11" x14ac:dyDescent="0.25">
      <c r="B151"/>
      <c r="C151"/>
      <c r="D151"/>
      <c r="E151"/>
      <c r="F151"/>
      <c r="G151"/>
      <c r="H151"/>
      <c r="I151"/>
    </row>
    <row r="152" spans="2:11" x14ac:dyDescent="0.25">
      <c r="B152"/>
      <c r="C152"/>
      <c r="D152"/>
      <c r="E152"/>
      <c r="F152"/>
      <c r="G152"/>
      <c r="H152"/>
      <c r="I152"/>
    </row>
    <row r="153" spans="2:11" x14ac:dyDescent="0.25">
      <c r="B153"/>
      <c r="C153"/>
      <c r="D153"/>
      <c r="E153"/>
      <c r="F153"/>
      <c r="G153"/>
      <c r="H153"/>
      <c r="I153"/>
    </row>
  </sheetData>
  <dataConsolidate/>
  <mergeCells count="13">
    <mergeCell ref="A36:A61"/>
    <mergeCell ref="AL36:BG36"/>
    <mergeCell ref="BQ36:CL36"/>
    <mergeCell ref="AL34:BG34"/>
    <mergeCell ref="B73:B75"/>
    <mergeCell ref="BQ34:CL34"/>
    <mergeCell ref="AL35:BG35"/>
    <mergeCell ref="BQ35:CL35"/>
    <mergeCell ref="A13:A17"/>
    <mergeCell ref="E14:I14"/>
    <mergeCell ref="C16:E16"/>
    <mergeCell ref="A20:A27"/>
    <mergeCell ref="A28:A33"/>
  </mergeCells>
  <conditionalFormatting sqref="B86">
    <cfRule type="expression" dxfId="13" priority="11">
      <formula>dms_Model="EB"</formula>
    </cfRule>
  </conditionalFormatting>
  <conditionalFormatting sqref="B88">
    <cfRule type="expression" dxfId="12" priority="12">
      <formula>dms_Model="CA"</formula>
    </cfRule>
  </conditionalFormatting>
  <conditionalFormatting sqref="B96">
    <cfRule type="expression" dxfId="11" priority="9">
      <formula>IF(OR(dms_Model="ARR",dms_Model="Reset"),"True")</formula>
    </cfRule>
  </conditionalFormatting>
  <conditionalFormatting sqref="B109">
    <cfRule type="expression" dxfId="10" priority="10">
      <formula>dms_Model="ARR"</formula>
    </cfRule>
  </conditionalFormatting>
  <conditionalFormatting sqref="B115">
    <cfRule type="expression" dxfId="9" priority="4">
      <formula>AND(dms_Model="Reset",dms_Segment="Transmission")</formula>
    </cfRule>
  </conditionalFormatting>
  <conditionalFormatting sqref="C25">
    <cfRule type="expression" dxfId="8" priority="14">
      <formula>SUM(dms_SingleYear_Model)&gt;0</formula>
    </cfRule>
  </conditionalFormatting>
  <conditionalFormatting sqref="C63">
    <cfRule type="cellIs" dxfId="7" priority="5" operator="equal">
      <formula>"YES"</formula>
    </cfRule>
  </conditionalFormatting>
  <conditionalFormatting sqref="C65">
    <cfRule type="expression" dxfId="6" priority="13">
      <formula>dms_MultiYear_Flag=1</formula>
    </cfRule>
  </conditionalFormatting>
  <conditionalFormatting sqref="C77">
    <cfRule type="cellIs" dxfId="5" priority="2" operator="greaterThan">
      <formula>0</formula>
    </cfRule>
  </conditionalFormatting>
  <conditionalFormatting sqref="C81 C84">
    <cfRule type="cellIs" dxfId="4" priority="3" operator="greaterThan">
      <formula>0</formula>
    </cfRule>
  </conditionalFormatting>
  <conditionalFormatting sqref="C94">
    <cfRule type="cellIs" dxfId="2" priority="8" operator="equal">
      <formula>"error"</formula>
    </cfRule>
  </conditionalFormatting>
  <conditionalFormatting sqref="C111">
    <cfRule type="cellIs" dxfId="1" priority="1" operator="equal">
      <formula>"no"</formula>
    </cfRule>
  </conditionalFormatting>
  <conditionalFormatting sqref="C132 C136">
    <cfRule type="cellIs" dxfId="0" priority="6" operator="equal">
      <formula>"YES"</formula>
    </cfRule>
  </conditionalFormatting>
  <dataValidations count="9">
    <dataValidation type="list" allowBlank="1" showInputMessage="1" showErrorMessage="1" sqref="C13" xr:uid="{00000000-0002-0000-0300-000000000000}">
      <formula1>dms_SourceList</formula1>
    </dataValidation>
    <dataValidation type="list" allowBlank="1" showInputMessage="1" showErrorMessage="1" sqref="C19 C63" xr:uid="{00000000-0002-0000-0300-000001000000}">
      <formula1>"Yes, No"</formula1>
    </dataValidation>
    <dataValidation type="list" allowBlank="1" showInputMessage="1" showErrorMessage="1" sqref="C26" xr:uid="{00000000-0002-0000-0300-000002000000}">
      <formula1>"Public, Confidential"</formula1>
    </dataValidation>
    <dataValidation type="list" allowBlank="1" showInputMessage="1" showErrorMessage="1" sqref="C24" xr:uid="{00000000-0002-0000-0300-000003000000}">
      <formula1>"Financial, Calendar, Other"</formula1>
    </dataValidation>
    <dataValidation type="list" allowBlank="1" showInputMessage="1" showErrorMessage="1" sqref="C14" xr:uid="{00000000-0002-0000-0300-000004000000}">
      <formula1>dms_DataQuality_List</formula1>
    </dataValidation>
    <dataValidation type="list" allowBlank="1" showInputMessage="1" showErrorMessage="1" promptTitle="Model" prompt="Make sure corresponding Source type is correctly selected !!!_x000a__x000a_eg: ABC=Reporting, Reset=Regulatory proposal  etc" sqref="C12" xr:uid="{00000000-0002-0000-0300-000005000000}">
      <formula1>dms_Model_List</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00000000-0002-0000-0300-000006000000}"/>
    <dataValidation type="list" allowBlank="1" showInputMessage="1" showErrorMessage="1" sqref="C129 C136 C132" xr:uid="{00000000-0002-0000-0300-000007000000}">
      <formula1>"YES, NO"</formula1>
    </dataValidation>
    <dataValidation type="list" allowBlank="1" showInputMessage="1" showErrorMessage="1" sqref="C15" xr:uid="{00000000-0002-0000-0300-000008000000}">
      <formula1>dms_Confid_status_List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21F96AA7-2092-49E6-8853-318599CC985B}">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81d0cd9-c043-4c37-9584-5b1b876d03c4" xsi:nil="true"/>
    <lcf76f155ced4ddcb4097134ff3c332f xmlns="f69beede-7b9e-489f-8a4d-ae25a14c8199">
      <Terms xmlns="http://schemas.microsoft.com/office/infopath/2007/PartnerControls"/>
    </lcf76f155ced4ddcb4097134ff3c332f>
    <_Flow_SignoffStatus xmlns="f69beede-7b9e-489f-8a4d-ae25a14c819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B82531811A0864984EF832EAE07F637" ma:contentTypeVersion="17" ma:contentTypeDescription="Create a new document." ma:contentTypeScope="" ma:versionID="572c7f5f96001b06a5c4da29e0639228">
  <xsd:schema xmlns:xsd="http://www.w3.org/2001/XMLSchema" xmlns:xs="http://www.w3.org/2001/XMLSchema" xmlns:p="http://schemas.microsoft.com/office/2006/metadata/properties" xmlns:ns2="f69beede-7b9e-489f-8a4d-ae25a14c8199" xmlns:ns3="e81d0cd9-c043-4c37-9584-5b1b876d03c4" targetNamespace="http://schemas.microsoft.com/office/2006/metadata/properties" ma:root="true" ma:fieldsID="0942a6c255d507fddc1468424bd57414" ns2:_="" ns3:_="">
    <xsd:import namespace="f69beede-7b9e-489f-8a4d-ae25a14c8199"/>
    <xsd:import namespace="e81d0cd9-c043-4c37-9584-5b1b876d03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SearchProperties" minOccurs="0"/>
                <xsd:element ref="ns2:_Flow_SignoffStatus"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beede-7b9e-489f-8a4d-ae25a14c8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b4a0c63-b107-443f-81ac-4a77d015a5bc"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Sign_x002d_off_x0020_status">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1d0cd9-c043-4c37-9584-5b1b876d03c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396865c-e6a8-4405-b92b-f461e49fd139}" ma:internalName="TaxCatchAll" ma:showField="CatchAllData" ma:web="e81d0cd9-c043-4c37-9584-5b1b876d03c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301209-B632-4B32-B882-3994A6161967}">
  <ds:schemaRefs>
    <ds:schemaRef ds:uri="http://schemas.microsoft.com/sharepoint/v3/contenttype/forms"/>
  </ds:schemaRefs>
</ds:datastoreItem>
</file>

<file path=customXml/itemProps2.xml><?xml version="1.0" encoding="utf-8"?>
<ds:datastoreItem xmlns:ds="http://schemas.openxmlformats.org/officeDocument/2006/customXml" ds:itemID="{5545587A-D499-4130-8816-B8A91AB20BC8}">
  <ds:schemaRefs>
    <ds:schemaRef ds:uri="http://purl.org/dc/terms/"/>
    <ds:schemaRef ds:uri="http://schemas.microsoft.com/office/infopath/2007/PartnerControls"/>
    <ds:schemaRef ds:uri="http://schemas.microsoft.com/office/2006/metadata/properties"/>
    <ds:schemaRef ds:uri="http://purl.org/dc/dcmitype/"/>
    <ds:schemaRef ds:uri="e81d0cd9-c043-4c37-9584-5b1b876d03c4"/>
    <ds:schemaRef ds:uri="http://schemas.microsoft.com/office/2006/documentManagement/types"/>
    <ds:schemaRef ds:uri="http://www.w3.org/XML/1998/namespace"/>
    <ds:schemaRef ds:uri="f69beede-7b9e-489f-8a4d-ae25a14c8199"/>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843FC613-FF16-4154-853C-47820F4457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beede-7b9e-489f-8a4d-ae25a14c8199"/>
    <ds:schemaRef ds:uri="e81d0cd9-c043-4c37-9584-5b1b876d03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762</vt:i4>
      </vt:variant>
    </vt:vector>
  </HeadingPairs>
  <TitlesOfParts>
    <vt:vector size="786" baseType="lpstr">
      <vt:lpstr>Instructions</vt:lpstr>
      <vt:lpstr>CONTENTS</vt:lpstr>
      <vt:lpstr>Business &amp; other details</vt:lpstr>
      <vt:lpstr>E1. Expenditure Summary</vt:lpstr>
      <vt:lpstr>E2. Mains Repex</vt:lpstr>
      <vt:lpstr>E3. Mains Augex</vt:lpstr>
      <vt:lpstr>E4. Meter replacement</vt:lpstr>
      <vt:lpstr>E5. Connections (gas)</vt:lpstr>
      <vt:lpstr>E6. Telemetry</vt:lpstr>
      <vt:lpstr>E10. Overheads</vt:lpstr>
      <vt:lpstr>E12. ICT</vt:lpstr>
      <vt:lpstr>E13. Other capex</vt:lpstr>
      <vt:lpstr>E17. Step changes</vt:lpstr>
      <vt:lpstr>E20. Opex</vt:lpstr>
      <vt:lpstr>E21. ARS</vt:lpstr>
      <vt:lpstr>E25. Escalators</vt:lpstr>
      <vt:lpstr>N1. Demand</vt:lpstr>
      <vt:lpstr>N2. Network characteristics</vt:lpstr>
      <vt:lpstr>S1. Cust. no.-by type</vt:lpstr>
      <vt:lpstr>S1.2 Cust. no.-by tariff</vt:lpstr>
      <vt:lpstr>S10. Supply Quality</vt:lpstr>
      <vt:lpstr>S11. Network reliability</vt:lpstr>
      <vt:lpstr>F3. Revenue</vt:lpstr>
      <vt:lpstr>Additional disclosures</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dms_BaseStepTrend</vt:lpstr>
      <vt:lpstr>dms_BaseYear_Choice</vt:lpstr>
      <vt:lpstr>dms_BaseYear_List</vt:lpstr>
      <vt:lpstr>dms_BaseYear_List_CY</vt:lpstr>
      <vt:lpstr>dms_Beg</vt:lpstr>
      <vt:lpstr>dms_CA</vt:lpstr>
      <vt:lpstr>dms_Cal_Year_B4_CRY</vt:lpstr>
      <vt:lpstr>dms_CBD_flag</vt:lpstr>
      <vt:lpstr>dms_CBD_flag_NSP</vt:lpstr>
      <vt:lpstr>dms_CF_3.6.1</vt:lpstr>
      <vt:lpstr>dms_CF_3.6.5</vt:lpstr>
      <vt:lpstr>dms_CF_3.6.6.1</vt:lpstr>
      <vt:lpstr>dms_CF_3.6.6.2</vt:lpstr>
      <vt:lpstr>dms_CF_3.6.6.3</vt:lpstr>
      <vt:lpstr>dms_CF_3.6.7.1</vt:lpstr>
      <vt:lpstr>dms_CF_3.6.7.2</vt:lpstr>
      <vt:lpstr>dms_CF_3.6.7.3</vt:lpstr>
      <vt:lpstr>dms_CF_3.6.7.4</vt:lpstr>
      <vt:lpstr>dms_CF_3.6.8</vt:lpstr>
      <vt:lpstr>dms_CF_4.1</vt:lpstr>
      <vt:lpstr>dms_CF_4.4.1</vt:lpstr>
      <vt:lpstr>dms_CF_6.8</vt:lpstr>
      <vt:lpstr>dms_CF_7.12</vt:lpstr>
      <vt:lpstr>dms_CF_8.1_A</vt:lpstr>
      <vt:lpstr>dms_CF_8.1_B</vt:lpstr>
      <vt:lpstr>dms_CF_8.1_Neg</vt:lpstr>
      <vt:lpstr>dms_CF_F10</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dms_CRCP_FinalYear_Result</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dms_E0201_ProjectNames</vt:lpstr>
      <vt:lpstr>dms_E020101_A_Values</vt:lpstr>
      <vt:lpstr>dms_E020101_B_Values</vt:lpstr>
      <vt:lpstr>dms_E020101_C_Values</vt:lpstr>
      <vt:lpstr>dms_E020101_D_Values</vt:lpstr>
      <vt:lpstr>dms_E020101_E2_Rows</vt:lpstr>
      <vt:lpstr>dms_E020101_E2_Values</vt:lpstr>
      <vt:lpstr>dms_E020101_F_Values</vt:lpstr>
      <vt:lpstr>dms_E020102_A_Values</vt:lpstr>
      <vt:lpstr>dms_E020102_B_Values</vt:lpstr>
      <vt:lpstr>dms_E020102_C_Values</vt:lpstr>
      <vt:lpstr>dms_E020102_D_Values</vt:lpstr>
      <vt:lpstr>dms_E020102_E_Values</vt:lpstr>
      <vt:lpstr>dms_E020102_F_Values</vt:lpstr>
      <vt:lpstr>dms_E020102_Rows</vt:lpstr>
      <vt:lpstr>dms_E020201_A_Values</vt:lpstr>
      <vt:lpstr>dms_E020201_B_Values</vt:lpstr>
      <vt:lpstr>dms_E020201_C_Values</vt:lpstr>
      <vt:lpstr>dms_E020201_D_Values</vt:lpstr>
      <vt:lpstr>dms_E020201_E_Values</vt:lpstr>
      <vt:lpstr>dms_E020201_F_Values</vt:lpstr>
      <vt:lpstr>dms_E020202_A_Values</vt:lpstr>
      <vt:lpstr>dms_E020202_B_Values</vt:lpstr>
      <vt:lpstr>dms_E020202_C_Values</vt:lpstr>
      <vt:lpstr>dms_E020202_D_Values</vt:lpstr>
      <vt:lpstr>dms_E020202_E_Values</vt:lpstr>
      <vt:lpstr>dms_E020202_F_Values</vt:lpstr>
      <vt:lpstr>dms_E020202_Rows</vt:lpstr>
      <vt:lpstr>dms_E020202_UOM</vt:lpstr>
      <vt:lpstr>dms_E0301_ProjectNames</vt:lpstr>
      <vt:lpstr>dms_E030101_A_Values</vt:lpstr>
      <vt:lpstr>dms_E030101_B_Values</vt:lpstr>
      <vt:lpstr>dms_E030101_C_Values</vt:lpstr>
      <vt:lpstr>dms_E030101_D_Values</vt:lpstr>
      <vt:lpstr>dms_E030101_E2_Rows</vt:lpstr>
      <vt:lpstr>dms_E030101_E2_Values</vt:lpstr>
      <vt:lpstr>dms_E030101_F_Values</vt:lpstr>
      <vt:lpstr>dms_E030201_A_Values</vt:lpstr>
      <vt:lpstr>dms_E030201_B_Values</vt:lpstr>
      <vt:lpstr>dms_E030201_C_Values</vt:lpstr>
      <vt:lpstr>dms_E030201_D_Values</vt:lpstr>
      <vt:lpstr>dms_E030201_E_Values</vt:lpstr>
      <vt:lpstr>dms_E030201_F_Values</vt:lpstr>
      <vt:lpstr>dms_E04_Rows</vt:lpstr>
      <vt:lpstr>dms_E040101_A_Values</vt:lpstr>
      <vt:lpstr>dms_E040101_B_Values</vt:lpstr>
      <vt:lpstr>dms_E040101_C_Values</vt:lpstr>
      <vt:lpstr>dms_E040101_D_Values</vt:lpstr>
      <vt:lpstr>dms_E040101_E_Values</vt:lpstr>
      <vt:lpstr>dms_E040101_F_Values</vt:lpstr>
      <vt:lpstr>dms_E040102_A_Values</vt:lpstr>
      <vt:lpstr>dms_E040102_B_Values</vt:lpstr>
      <vt:lpstr>dms_E040102_C_Values</vt:lpstr>
      <vt:lpstr>dms_E040102_D_Values</vt:lpstr>
      <vt:lpstr>dms_E040102_E_Values</vt:lpstr>
      <vt:lpstr>dms_E040102_F_Values</vt:lpstr>
      <vt:lpstr>dms_E040103_A_Values</vt:lpstr>
      <vt:lpstr>dms_E040103_B_Values</vt:lpstr>
      <vt:lpstr>dms_E040103_C_Values</vt:lpstr>
      <vt:lpstr>dms_E040103_D_Values</vt:lpstr>
      <vt:lpstr>dms_E040103_E_Values</vt:lpstr>
      <vt:lpstr>dms_E040103_F_Values</vt:lpstr>
      <vt:lpstr>dms_E040104_A_Values</vt:lpstr>
      <vt:lpstr>dms_E040104_B_Values</vt:lpstr>
      <vt:lpstr>dms_E040104_C_Values</vt:lpstr>
      <vt:lpstr>dms_E040104_D_Values</vt:lpstr>
      <vt:lpstr>dms_E040104_E_Values</vt:lpstr>
      <vt:lpstr>dms_E040104_F_Values</vt:lpstr>
      <vt:lpstr>dms_E040201_Values</vt:lpstr>
      <vt:lpstr>dms_E040202_A_Values</vt:lpstr>
      <vt:lpstr>dms_E040202_B_Values</vt:lpstr>
      <vt:lpstr>dms_E040203_Values</vt:lpstr>
      <vt:lpstr>dms_E040204_Values</vt:lpstr>
      <vt:lpstr>dms_E040205_Values</vt:lpstr>
      <vt:lpstr>dms_E05_Rows</vt:lpstr>
      <vt:lpstr>dms_E050101_A_i_Values</vt:lpstr>
      <vt:lpstr>dms_E050101_A_ii_Values</vt:lpstr>
      <vt:lpstr>dms_E050101_A_iii_Values</vt:lpstr>
      <vt:lpstr>dms_E050101_A_iv_Values</vt:lpstr>
      <vt:lpstr>dms_E050101_A_v_Values</vt:lpstr>
      <vt:lpstr>dms_E050101_A_vi_Values</vt:lpstr>
      <vt:lpstr>dms_E050101_B_i_Values</vt:lpstr>
      <vt:lpstr>dms_E050101_B_ii_Values</vt:lpstr>
      <vt:lpstr>dms_E050101_B_iii_Values</vt:lpstr>
      <vt:lpstr>dms_E050101_B_iv_Values</vt:lpstr>
      <vt:lpstr>dms_E050101_B_v_Values</vt:lpstr>
      <vt:lpstr>dms_E050101_B_vI_Values</vt:lpstr>
      <vt:lpstr>dms_E050101_C_i_Values</vt:lpstr>
      <vt:lpstr>dms_E050101_C_ii_Values</vt:lpstr>
      <vt:lpstr>dms_E050101_C_iii_Values</vt:lpstr>
      <vt:lpstr>dms_E050101_C_iv_Values</vt:lpstr>
      <vt:lpstr>dms_E050101_C_v_Values</vt:lpstr>
      <vt:lpstr>dms_E050101_C_vI_Values</vt:lpstr>
      <vt:lpstr>dms_E050101_D_i_Values</vt:lpstr>
      <vt:lpstr>dms_E050101_D_ii_Values</vt:lpstr>
      <vt:lpstr>dms_E050101_D_iii_Values</vt:lpstr>
      <vt:lpstr>dms_E050101_D_iv_Values</vt:lpstr>
      <vt:lpstr>dms_E050101_D_v_Values</vt:lpstr>
      <vt:lpstr>dms_E050101_D_vI_Values</vt:lpstr>
      <vt:lpstr>dms_E050101_E_i_Values</vt:lpstr>
      <vt:lpstr>dms_E050101_E_ii_Values</vt:lpstr>
      <vt:lpstr>dms_E050101_E_iii_Values</vt:lpstr>
      <vt:lpstr>dms_E050101_E_iv_Values</vt:lpstr>
      <vt:lpstr>dms_E050101_E_v_Values</vt:lpstr>
      <vt:lpstr>dms_E050101_E_vI_Values</vt:lpstr>
      <vt:lpstr>dms_E050101_F_i_Values</vt:lpstr>
      <vt:lpstr>dms_E050101_F_ii_Values</vt:lpstr>
      <vt:lpstr>dms_E050101_F_iii_Values</vt:lpstr>
      <vt:lpstr>dms_E050101_F_iv_Values</vt:lpstr>
      <vt:lpstr>dms_E050101_F_v_Values</vt:lpstr>
      <vt:lpstr>dms_E050101_F_vI_Values</vt:lpstr>
      <vt:lpstr>dms_E050201_A_Values</vt:lpstr>
      <vt:lpstr>dms_E050201_B_Values</vt:lpstr>
      <vt:lpstr>dms_E050201_C_Values</vt:lpstr>
      <vt:lpstr>dms_E050201_D_Values</vt:lpstr>
      <vt:lpstr>dms_E050201_E_Values</vt:lpstr>
      <vt:lpstr>dms_E050201_F_Values</vt:lpstr>
      <vt:lpstr>dms_E050201_UOM</vt:lpstr>
      <vt:lpstr>dms_E050202_UOM</vt:lpstr>
      <vt:lpstr>dms_E0503_Rows</vt:lpstr>
      <vt:lpstr>dms_E050301_Values</vt:lpstr>
      <vt:lpstr>dms_E050302_A_Values</vt:lpstr>
      <vt:lpstr>dms_E050302_B_Values</vt:lpstr>
      <vt:lpstr>dms_E050302_C_Values</vt:lpstr>
      <vt:lpstr>dms_E050302_D_Values</vt:lpstr>
      <vt:lpstr>dms_E050302_E_Values</vt:lpstr>
      <vt:lpstr>dms_E050302_F_Values</vt:lpstr>
      <vt:lpstr>dms_E0504_Rows</vt:lpstr>
      <vt:lpstr>dms_E050401_Values</vt:lpstr>
      <vt:lpstr>dms_E050402_Values</vt:lpstr>
      <vt:lpstr>dms_E0605_ProjectNames</vt:lpstr>
      <vt:lpstr>dms_E060501_A_Values</vt:lpstr>
      <vt:lpstr>dms_E060501_B_Values</vt:lpstr>
      <vt:lpstr>dms_E060501_C_Values</vt:lpstr>
      <vt:lpstr>dms_E060501_D_Values</vt:lpstr>
      <vt:lpstr>dms_E060501_E2_Rows</vt:lpstr>
      <vt:lpstr>dms_E060501_E2_Values</vt:lpstr>
      <vt:lpstr>dms_E060501_F_Values</vt:lpstr>
      <vt:lpstr>dms_E060502_01_Rows</vt:lpstr>
      <vt:lpstr>dms_E060502_01_Values</vt:lpstr>
      <vt:lpstr>dms_E060502_02_Rows</vt:lpstr>
      <vt:lpstr>dms_E060502_02_Values</vt:lpstr>
      <vt:lpstr>dms_E10_01_Rows</vt:lpstr>
      <vt:lpstr>dms_E10_02_Rows</vt:lpstr>
      <vt:lpstr>dms_E100101_01_Values</vt:lpstr>
      <vt:lpstr>dms_E100101_02_Values</vt:lpstr>
      <vt:lpstr>dms_E100102_01_Values</vt:lpstr>
      <vt:lpstr>dms_E100102_02_Values</vt:lpstr>
      <vt:lpstr>dms_E100201_01_Values</vt:lpstr>
      <vt:lpstr>dms_E100201_02_Values</vt:lpstr>
      <vt:lpstr>dms_E100202_01_Values</vt:lpstr>
      <vt:lpstr>dms_E100202_02_Values</vt:lpstr>
      <vt:lpstr>dms_E12_ProjectNames</vt:lpstr>
      <vt:lpstr>dms_E12_Projects_01</vt:lpstr>
      <vt:lpstr>dms_E12_Projects_02</vt:lpstr>
      <vt:lpstr>dms_E12_Projects_03</vt:lpstr>
      <vt:lpstr>dms_E12_Projects_04</vt:lpstr>
      <vt:lpstr>dms_E12_Projects_05</vt:lpstr>
      <vt:lpstr>dms_E12_Projects_06</vt:lpstr>
      <vt:lpstr>dms_E12_Projects_07</vt:lpstr>
      <vt:lpstr>dms_E12_Projects_08</vt:lpstr>
      <vt:lpstr>dms_E12_Projects_09</vt:lpstr>
      <vt:lpstr>dms_E12_Projects_10</vt:lpstr>
      <vt:lpstr>dms_E12_Projects_11</vt:lpstr>
      <vt:lpstr>dms_E12_Projects_12</vt:lpstr>
      <vt:lpstr>dms_E12_Projects_13</vt:lpstr>
      <vt:lpstr>dms_E12_Projects_14</vt:lpstr>
      <vt:lpstr>dms_E12_Projects_15</vt:lpstr>
      <vt:lpstr>dms_E1201_A_Values</vt:lpstr>
      <vt:lpstr>dms_E1201_B_Values</vt:lpstr>
      <vt:lpstr>dms_E1201_C_Values</vt:lpstr>
      <vt:lpstr>dms_E1201_D_Values</vt:lpstr>
      <vt:lpstr>dms_E1201_E2_Rows</vt:lpstr>
      <vt:lpstr>dms_E1201_E2_Values</vt:lpstr>
      <vt:lpstr>dms_E1201_F_Values</vt:lpstr>
      <vt:lpstr>dms_E120201_Rows</vt:lpstr>
      <vt:lpstr>dms_E120201_Values</vt:lpstr>
      <vt:lpstr>dms_E120202_Rows</vt:lpstr>
      <vt:lpstr>dms_E120202_Values</vt:lpstr>
      <vt:lpstr>dms_E13_ProjectNames</vt:lpstr>
      <vt:lpstr>dms_E13_Projects_01</vt:lpstr>
      <vt:lpstr>dms_E13_Projects_02</vt:lpstr>
      <vt:lpstr>dms_E13_Projects_03</vt:lpstr>
      <vt:lpstr>dms_E13_Projects_04</vt:lpstr>
      <vt:lpstr>dms_E13_Projects_05</vt:lpstr>
      <vt:lpstr>dms_E13_Projects_06</vt:lpstr>
      <vt:lpstr>dms_E13_Projects_07</vt:lpstr>
      <vt:lpstr>dms_E13_Projects_08</vt:lpstr>
      <vt:lpstr>dms_E13_Projects_09</vt:lpstr>
      <vt:lpstr>dms_E13_Projects_10</vt:lpstr>
      <vt:lpstr>dms_E13_Projects_11</vt:lpstr>
      <vt:lpstr>dms_E13_Projects_12</vt:lpstr>
      <vt:lpstr>dms_E13_Projects_13</vt:lpstr>
      <vt:lpstr>dms_E13_Projects_14</vt:lpstr>
      <vt:lpstr>dms_E13_Projects_15</vt:lpstr>
      <vt:lpstr>dms_E1301_A_Values</vt:lpstr>
      <vt:lpstr>dms_E1301_B_Values</vt:lpstr>
      <vt:lpstr>dms_E1301_C_Values</vt:lpstr>
      <vt:lpstr>dms_E1301_D_Values</vt:lpstr>
      <vt:lpstr>dms_E1301_E2_Rows</vt:lpstr>
      <vt:lpstr>dms_E1301_E2_Values</vt:lpstr>
      <vt:lpstr>dms_E1301_F_Values</vt:lpstr>
      <vt:lpstr>dms_E170101_Rows</vt:lpstr>
      <vt:lpstr>dms_E170101_Values</vt:lpstr>
      <vt:lpstr>dms_E170102_Rows</vt:lpstr>
      <vt:lpstr>dms_E170102_Values</vt:lpstr>
      <vt:lpstr>dms_E170201_Rows</vt:lpstr>
      <vt:lpstr>dms_E170201_Values</vt:lpstr>
      <vt:lpstr>dms_E2_Projects_01</vt:lpstr>
      <vt:lpstr>dms_E2_Projects_02</vt:lpstr>
      <vt:lpstr>dms_E2_Projects_03</vt:lpstr>
      <vt:lpstr>dms_E2_Projects_04</vt:lpstr>
      <vt:lpstr>dms_E2_Projects_05</vt:lpstr>
      <vt:lpstr>dms_E2_Projects_06</vt:lpstr>
      <vt:lpstr>dms_E2_Projects_07</vt:lpstr>
      <vt:lpstr>dms_E2_Projects_08</vt:lpstr>
      <vt:lpstr>dms_E2_Projects_09</vt:lpstr>
      <vt:lpstr>dms_E2_Projects_10</vt:lpstr>
      <vt:lpstr>dms_E2_Projects_11</vt:lpstr>
      <vt:lpstr>dms_E2_Projects_12</vt:lpstr>
      <vt:lpstr>dms_E2_Projects_13</vt:lpstr>
      <vt:lpstr>dms_E2_Projects_14</vt:lpstr>
      <vt:lpstr>dms_E2_Projects_15</vt:lpstr>
      <vt:lpstr>dms_E2_Projects_16</vt:lpstr>
      <vt:lpstr>dms_E2_Projects_17</vt:lpstr>
      <vt:lpstr>dms_E2_Projects_18</vt:lpstr>
      <vt:lpstr>dms_E2_Projects_19</vt:lpstr>
      <vt:lpstr>dms_E2_Projects_20</vt:lpstr>
      <vt:lpstr>dms_E2_Projects_21</vt:lpstr>
      <vt:lpstr>dms_E2_Projects_22</vt:lpstr>
      <vt:lpstr>dms_E2_Projects_23</vt:lpstr>
      <vt:lpstr>dms_E2_Projects_24</vt:lpstr>
      <vt:lpstr>dms_E2_Projects_25</vt:lpstr>
      <vt:lpstr>dms_E2_Projects_26</vt:lpstr>
      <vt:lpstr>dms_E2_Projects_27</vt:lpstr>
      <vt:lpstr>dms_E2_Projects_28</vt:lpstr>
      <vt:lpstr>dms_E2_Projects_29</vt:lpstr>
      <vt:lpstr>dms_E2_Projects_30</vt:lpstr>
      <vt:lpstr>dms_E2_Projects_31</vt:lpstr>
      <vt:lpstr>dms_E2_Projects_32</vt:lpstr>
      <vt:lpstr>dms_E2_Projects_33</vt:lpstr>
      <vt:lpstr>dms_E2_Projects_34</vt:lpstr>
      <vt:lpstr>dms_E2_Projects_35</vt:lpstr>
      <vt:lpstr>dms_E2_Projects_36</vt:lpstr>
      <vt:lpstr>dms_E2_Projects_37</vt:lpstr>
      <vt:lpstr>dms_E2_Projects_38</vt:lpstr>
      <vt:lpstr>dms_E2_Projects_39</vt:lpstr>
      <vt:lpstr>dms_E2_Projects_40</vt:lpstr>
      <vt:lpstr>dms_E2_Projects_41</vt:lpstr>
      <vt:lpstr>dms_E2_Projects_42</vt:lpstr>
      <vt:lpstr>dms_E2_Projects_43</vt:lpstr>
      <vt:lpstr>dms_E2_Projects_44</vt:lpstr>
      <vt:lpstr>dms_E2_Projects_45</vt:lpstr>
      <vt:lpstr>dms_E2_Projects_46</vt:lpstr>
      <vt:lpstr>dms_E2_Projects_47</vt:lpstr>
      <vt:lpstr>dms_E2_Projects_48</vt:lpstr>
      <vt:lpstr>dms_E2_Projects_49</vt:lpstr>
      <vt:lpstr>dms_E2_Projects_50</vt:lpstr>
      <vt:lpstr>dms_E20_flag</vt:lpstr>
      <vt:lpstr>dms_E200101_Actual_Values</vt:lpstr>
      <vt:lpstr>dms_E200101_Fcast_Values</vt:lpstr>
      <vt:lpstr>dms_E200101_Rows</vt:lpstr>
      <vt:lpstr>dms_E200102_Actual_Values</vt:lpstr>
      <vt:lpstr>dms_E200102_Fcast_Values</vt:lpstr>
      <vt:lpstr>dms_E200102_Rows</vt:lpstr>
      <vt:lpstr>dms_E200201_Rows</vt:lpstr>
      <vt:lpstr>dms_E200201_Values</vt:lpstr>
      <vt:lpstr>dms_E200202_Rows</vt:lpstr>
      <vt:lpstr>dms_E200202_Values</vt:lpstr>
      <vt:lpstr>dms_E200301_Values</vt:lpstr>
      <vt:lpstr>dms_E200302_Values</vt:lpstr>
      <vt:lpstr>dms_E2101_Rows</vt:lpstr>
      <vt:lpstr>dms_E2101_Values</vt:lpstr>
      <vt:lpstr>dms_E2103_Values</vt:lpstr>
      <vt:lpstr>dms_E250101_Rows</vt:lpstr>
      <vt:lpstr>dms_E250101_Values</vt:lpstr>
      <vt:lpstr>dms_E250102_Rows</vt:lpstr>
      <vt:lpstr>dms_E250102_Values</vt:lpstr>
      <vt:lpstr>dms_E3_Projects_01</vt:lpstr>
      <vt:lpstr>dms_E3_Projects_02</vt:lpstr>
      <vt:lpstr>dms_E3_Projects_03</vt:lpstr>
      <vt:lpstr>dms_E3_Projects_04</vt:lpstr>
      <vt:lpstr>dms_E3_Projects_05</vt:lpstr>
      <vt:lpstr>dms_E3_Projects_06</vt:lpstr>
      <vt:lpstr>dms_E3_Projects_07</vt:lpstr>
      <vt:lpstr>dms_E3_Projects_08</vt:lpstr>
      <vt:lpstr>dms_E3_Projects_09</vt:lpstr>
      <vt:lpstr>dms_E3_Projects_10</vt:lpstr>
      <vt:lpstr>dms_E3_Projects_11</vt:lpstr>
      <vt:lpstr>dms_E3_Projects_12</vt:lpstr>
      <vt:lpstr>dms_E3_Projects_13</vt:lpstr>
      <vt:lpstr>dms_E3_Projects_14</vt:lpstr>
      <vt:lpstr>dms_E3_Projects_15</vt:lpstr>
      <vt:lpstr>dms_E3_Projects_16</vt:lpstr>
      <vt:lpstr>dms_E3_Projects_17</vt:lpstr>
      <vt:lpstr>dms_E3_Projects_18</vt:lpstr>
      <vt:lpstr>dms_E3_Projects_19</vt:lpstr>
      <vt:lpstr>dms_E3_Projects_20</vt:lpstr>
      <vt:lpstr>dms_E3_Projects_21</vt:lpstr>
      <vt:lpstr>dms_E3_Projects_22</vt:lpstr>
      <vt:lpstr>dms_E3_Projects_23</vt:lpstr>
      <vt:lpstr>dms_E3_Projects_24</vt:lpstr>
      <vt:lpstr>dms_E3_Projects_25</vt:lpstr>
      <vt:lpstr>dms_E3_Projects_26</vt:lpstr>
      <vt:lpstr>dms_E3_Projects_27</vt:lpstr>
      <vt:lpstr>dms_E3_Projects_28</vt:lpstr>
      <vt:lpstr>dms_E3_Projects_29</vt:lpstr>
      <vt:lpstr>dms_E3_Projects_30</vt:lpstr>
      <vt:lpstr>dms_E3_Projects_31</vt:lpstr>
      <vt:lpstr>dms_E3_Projects_32</vt:lpstr>
      <vt:lpstr>dms_E3_Projects_33</vt:lpstr>
      <vt:lpstr>dms_E3_Projects_34</vt:lpstr>
      <vt:lpstr>dms_E3_Projects_35</vt:lpstr>
      <vt:lpstr>dms_E3_Projects_36</vt:lpstr>
      <vt:lpstr>dms_E3_Projects_37</vt:lpstr>
      <vt:lpstr>dms_E3_Projects_38</vt:lpstr>
      <vt:lpstr>dms_E3_Projects_39</vt:lpstr>
      <vt:lpstr>dms_E3_Projects_40</vt:lpstr>
      <vt:lpstr>dms_E3_Projects_41</vt:lpstr>
      <vt:lpstr>dms_E3_Projects_42</vt:lpstr>
      <vt:lpstr>dms_E3_Projects_43</vt:lpstr>
      <vt:lpstr>dms_E3_Projects_44</vt:lpstr>
      <vt:lpstr>dms_E3_Projects_45</vt:lpstr>
      <vt:lpstr>dms_E3_Projects_46</vt:lpstr>
      <vt:lpstr>dms_E3_Projects_47</vt:lpstr>
      <vt:lpstr>dms_E3_Projects_48</vt:lpstr>
      <vt:lpstr>dms_E3_Projects_49</vt:lpstr>
      <vt:lpstr>dms_E3_Projects_50</vt:lpstr>
      <vt:lpstr>dms_E65_Projects_01</vt:lpstr>
      <vt:lpstr>dms_E65_Projects_02</vt:lpstr>
      <vt:lpstr>dms_E65_Projects_03</vt:lpstr>
      <vt:lpstr>dms_E65_Projects_04</vt:lpstr>
      <vt:lpstr>dms_E65_Projects_05</vt:lpstr>
      <vt:lpstr>dms_E65_Projects_06</vt:lpstr>
      <vt:lpstr>dms_E65_Projects_07</vt:lpstr>
      <vt:lpstr>dms_E65_Projects_08</vt:lpstr>
      <vt:lpstr>dms_E65_Projects_09</vt:lpstr>
      <vt:lpstr>dms_E65_Projects_10</vt:lpstr>
      <vt:lpstr>dms_E65_Projects_11</vt:lpstr>
      <vt:lpstr>dms_E65_Projects_12</vt:lpstr>
      <vt:lpstr>dms_E65_Projects_13</vt:lpstr>
      <vt:lpstr>dms_E65_Projects_14</vt:lpstr>
      <vt:lpstr>dms_E65_Projects_15</vt:lpstr>
      <vt:lpstr>dms_EB</vt:lpstr>
      <vt:lpstr>dms_EB_RAB_PIT</vt:lpstr>
      <vt:lpstr>dms_End</vt:lpstr>
      <vt:lpstr>dms_F030101_Rows</vt:lpstr>
      <vt:lpstr>dms_F030101_Values</vt:lpstr>
      <vt:lpstr>dms_F030102_Rows</vt:lpstr>
      <vt:lpstr>dms_F030102_Values</vt:lpstr>
      <vt:lpstr>dms_F030103_Rows</vt:lpstr>
      <vt:lpstr>dms_F030103_Values</vt:lpstr>
      <vt:lpstr>dms_F0302_Rows</vt:lpstr>
      <vt:lpstr>dms_F0302_Values</vt:lpstr>
      <vt:lpstr>dms_F0303_Rows</vt:lpstr>
      <vt:lpstr>dms_F0303_Values</vt:lpstr>
      <vt:lpstr>dms_F0304_Rows</vt:lpstr>
      <vt:lpstr>dms_F0304_Values</vt:lpstr>
      <vt:lpstr>dms_F0305_Rows</vt:lpstr>
      <vt:lpstr>dms_F0305_Values</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dms_RYE_result</vt:lpstr>
      <vt:lpstr>dms_RYE_start_row</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dms_S0103_Rows</vt:lpstr>
      <vt:lpstr>dms_S010301_Values</vt:lpstr>
      <vt:lpstr>dms_S010302_Values</vt:lpstr>
      <vt:lpstr>dms_S010303_Values</vt:lpstr>
      <vt:lpstr>dms_S0104_Rows</vt:lpstr>
      <vt:lpstr>dms_S010401_Values</vt:lpstr>
      <vt:lpstr>dms_S010402_Values</vt:lpstr>
      <vt:lpstr>dms_S010403_Values</vt:lpstr>
      <vt:lpstr>dms_S0105_Rows</vt:lpstr>
      <vt:lpstr>dms_S010501_Values</vt:lpstr>
      <vt:lpstr>dms_S010502_Values</vt:lpstr>
      <vt:lpstr>dms_S010503_Values</vt:lpstr>
      <vt:lpstr>dms_S100101_Rows</vt:lpstr>
      <vt:lpstr>dms_S100101_Values</vt:lpstr>
      <vt:lpstr>dms_S1101_Rows</vt:lpstr>
      <vt:lpstr>dms_S110101_Values</vt:lpstr>
      <vt:lpstr>dms_S110102_Values</vt:lpstr>
      <vt:lpstr>dms_S1103_Rows</vt:lpstr>
      <vt:lpstr>dms_S1103_Values</vt:lpstr>
      <vt:lpstr>dms_S140101_UOM</vt:lpstr>
      <vt:lpstr>dms_S140201_UOM</vt:lpstr>
      <vt:lpstr>dms_Sector</vt:lpstr>
      <vt:lpstr>dms_Sector_List</vt:lpstr>
      <vt:lpstr>dms_Segment</vt:lpstr>
      <vt:lpstr>dms_Segment_List</vt:lpstr>
      <vt:lpstr>dms_Selected_Quality</vt:lpstr>
      <vt:lpstr>dms_Selected_Source</vt:lpstr>
      <vt:lpstr>dms_Selected_Status</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dms_UID</vt:lpstr>
      <vt:lpstr>'AER ETL'!dms_UniqueID</vt:lpstr>
      <vt:lpstr>dms_UniqueID_List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dms_y26</vt:lpstr>
      <vt:lpstr>dms_y27</vt:lpstr>
      <vt:lpstr>dms_y28</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FRCP_y2</vt:lpstr>
      <vt:lpstr>FRCP_y3</vt:lpstr>
      <vt:lpstr>FRCP_y4</vt:lpstr>
      <vt:lpstr>FRCP_y5</vt:lpstr>
      <vt:lpstr>FRCP_y6</vt:lpstr>
      <vt:lpstr>FRCP_y7</vt:lpstr>
      <vt:lpstr>FRCP_y8</vt:lpstr>
      <vt:lpstr>FRCP_y9</vt:lpstr>
      <vt:lpstr>FRY</vt:lpstr>
      <vt:lpstr>JurisdictionList</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CONTENTS!Print_Area</vt:lpstr>
      <vt:lpstr>PTRM</vt:lpstr>
      <vt:lpstr>PTRM_Fmt2</vt:lpstr>
      <vt:lpstr>Reset</vt:lpstr>
      <vt:lpstr>Reset_Fmt2</vt:lpstr>
      <vt:lpstr>RFM</vt:lpstr>
      <vt:lpstr>RFM_Fmt2</vt:lpstr>
      <vt:lpstr>Sector</vt:lpstr>
      <vt:lpstr>Segment</vt:lpstr>
      <vt:lpstr>WACC</vt:lpstr>
      <vt:lpstr>WACC_Fmt2</vt:lpstr>
    </vt:vector>
  </TitlesOfParts>
  <Manager/>
  <Company>AER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AER</dc:creator>
  <cp:keywords>DNSP; Reset; Gas; 2027-31</cp:keywords>
  <dc:description>based on JGN (NSW) 2026-30 final RIN -- for AGN (SA) &amp; Evoenergy</dc:description>
  <cp:lastModifiedBy>Will Chivell</cp:lastModifiedBy>
  <cp:revision/>
  <dcterms:created xsi:type="dcterms:W3CDTF">2018-09-12T03:49:40Z</dcterms:created>
  <dcterms:modified xsi:type="dcterms:W3CDTF">2025-07-04T04:15:53Z</dcterms:modified>
  <cp:category>DNSP;Reset;Gas;2027-31</cp:category>
  <cp:contentStatus>Preliminary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2024-07-29T03:57:49Z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831a9524-ab3e-43e3-87af-830062e30b57</vt:lpwstr>
  </property>
  <property fmtid="{D5CDD505-2E9C-101B-9397-08002B2CF9AE}" pid="8" name="MSIP_Label_d9d5a995-dfdf-4407-9a97-edbbc68c9f53_ContentBits">
    <vt:lpwstr>0</vt:lpwstr>
  </property>
  <property fmtid="{D5CDD505-2E9C-101B-9397-08002B2CF9AE}" pid="9" name="ContentTypeId">
    <vt:lpwstr>0x0101004B82531811A0864984EF832EAE07F637</vt:lpwstr>
  </property>
  <property fmtid="{D5CDD505-2E9C-101B-9397-08002B2CF9AE}" pid="10" name="MediaServiceImageTags">
    <vt:lpwstr/>
  </property>
</Properties>
</file>