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7" documentId="8_{7DDD0659-8D29-46B7-A8B0-FF99DBD3D19A}" xr6:coauthVersionLast="47" xr6:coauthVersionMax="47" xr10:uidLastSave="{B2A342E1-739D-4CC1-8BEB-57AD19B75FCB}"/>
  <bookViews>
    <workbookView xWindow="-108" yWindow="-108" windowWidth="23256" windowHeight="12456" xr2:uid="{C2052D1A-1B98-4589-B4A2-620ACECD769E}"/>
  </bookViews>
  <sheets>
    <sheet name="Cover" sheetId="1" r:id="rId1"/>
    <sheet name="Index" sheetId="2" r:id="rId2"/>
    <sheet name="1. Inputs" sheetId="4" r:id="rId3"/>
    <sheet name="2. Calculations" sheetId="6" r:id="rId4"/>
    <sheet name="3. Output" sheetId="7" r:id="rId5"/>
  </sheets>
  <definedNames>
    <definedName name="NA">#REF!</definedName>
    <definedName name="Nominal">#REF!</definedName>
    <definedName name="Percent">#REF!</definedName>
    <definedName name="Reg_Period_Length">'3. Output'!$R$7</definedName>
    <definedName name="Rfr_Maturit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7" l="1"/>
  <c r="D6" i="7"/>
  <c r="D7" i="6"/>
  <c r="D6" i="6"/>
  <c r="U46" i="6"/>
  <c r="W46" i="6"/>
  <c r="X46" i="6"/>
  <c r="Y46" i="6"/>
  <c r="V46" i="6"/>
  <c r="O31" i="4"/>
  <c r="O18" i="4" l="1"/>
  <c r="D7" i="2"/>
  <c r="D7" i="4" s="1"/>
  <c r="D6" i="2"/>
  <c r="D6" i="4" s="1"/>
  <c r="E2" i="2"/>
  <c r="J31" i="4"/>
  <c r="K31" i="4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K34" i="6"/>
  <c r="K33" i="6"/>
  <c r="K32" i="6"/>
  <c r="K31" i="6"/>
  <c r="K30" i="6"/>
  <c r="K29" i="6"/>
  <c r="K28" i="6"/>
  <c r="K27" i="6"/>
  <c r="K26" i="6"/>
  <c r="K25" i="6"/>
  <c r="K24" i="6"/>
  <c r="K23" i="6"/>
  <c r="K22" i="6"/>
  <c r="K21" i="6"/>
  <c r="K20" i="6"/>
  <c r="K19" i="6"/>
  <c r="K18" i="6"/>
  <c r="K17" i="6"/>
  <c r="K16" i="6"/>
  <c r="K15" i="6"/>
  <c r="J45" i="6"/>
  <c r="J47" i="6" s="1"/>
  <c r="K45" i="6"/>
  <c r="K47" i="6" s="1"/>
  <c r="L45" i="6"/>
  <c r="L47" i="6" s="1"/>
  <c r="M45" i="6"/>
  <c r="M47" i="6" s="1"/>
  <c r="N45" i="6"/>
  <c r="N47" i="6" s="1"/>
  <c r="O45" i="6"/>
  <c r="O47" i="6" s="1"/>
  <c r="P45" i="6"/>
  <c r="P47" i="6" s="1"/>
  <c r="Q45" i="6"/>
  <c r="Q47" i="6" s="1"/>
  <c r="R45" i="6"/>
  <c r="R47" i="6" s="1"/>
  <c r="S45" i="6"/>
  <c r="S47" i="6" s="1"/>
  <c r="M15" i="6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N31" i="4"/>
  <c r="Q31" i="4"/>
  <c r="Q18" i="4"/>
  <c r="N18" i="4"/>
  <c r="I59" i="6"/>
  <c r="D15" i="6"/>
  <c r="P15" i="6" s="1"/>
  <c r="J15" i="6"/>
  <c r="J16" i="6" s="1"/>
  <c r="D16" i="6"/>
  <c r="P16" i="6" s="1"/>
  <c r="D17" i="6"/>
  <c r="P17" i="6" s="1"/>
  <c r="D18" i="6"/>
  <c r="P18" i="6" s="1"/>
  <c r="D19" i="6"/>
  <c r="P19" i="6" s="1"/>
  <c r="D20" i="6"/>
  <c r="P20" i="6" s="1"/>
  <c r="D21" i="6"/>
  <c r="P21" i="6" s="1"/>
  <c r="D22" i="6"/>
  <c r="P22" i="6" s="1"/>
  <c r="D23" i="6"/>
  <c r="P23" i="6" s="1"/>
  <c r="D24" i="6"/>
  <c r="P24" i="6" s="1"/>
  <c r="D25" i="6"/>
  <c r="P25" i="6" s="1"/>
  <c r="D26" i="6"/>
  <c r="P26" i="6" s="1"/>
  <c r="D27" i="6"/>
  <c r="P27" i="6" s="1"/>
  <c r="D28" i="6"/>
  <c r="P28" i="6" s="1"/>
  <c r="D29" i="6"/>
  <c r="P29" i="6" s="1"/>
  <c r="D30" i="6"/>
  <c r="P30" i="6" s="1"/>
  <c r="D31" i="6"/>
  <c r="P31" i="6" s="1"/>
  <c r="D32" i="6"/>
  <c r="P32" i="6" s="1"/>
  <c r="D33" i="6"/>
  <c r="P33" i="6" s="1"/>
  <c r="D34" i="6"/>
  <c r="P34" i="6" s="1"/>
  <c r="I60" i="6"/>
  <c r="J18" i="7"/>
  <c r="J19" i="7"/>
  <c r="M12" i="6"/>
  <c r="R13" i="6" s="1"/>
  <c r="J12" i="6"/>
  <c r="Q13" i="6" s="1"/>
  <c r="M84" i="4"/>
  <c r="P18" i="4"/>
  <c r="P31" i="4"/>
  <c r="J17" i="7"/>
  <c r="L31" i="4"/>
  <c r="M31" i="4"/>
  <c r="J18" i="4"/>
  <c r="K18" i="4"/>
  <c r="L18" i="4"/>
  <c r="M18" i="4"/>
  <c r="Q15" i="6" l="1"/>
  <c r="S52" i="6"/>
  <c r="J52" i="6"/>
  <c r="K52" i="6" s="1"/>
  <c r="L52" i="6" s="1"/>
  <c r="M52" i="6" s="1"/>
  <c r="N52" i="6" s="1"/>
  <c r="O52" i="6" s="1"/>
  <c r="P52" i="6" s="1"/>
  <c r="Q52" i="6" s="1"/>
  <c r="R52" i="6" s="1"/>
  <c r="Q16" i="6"/>
  <c r="J17" i="6"/>
  <c r="R16" i="6" l="1"/>
  <c r="S16" i="6" s="1"/>
  <c r="T16" i="6" s="1"/>
  <c r="R15" i="6"/>
  <c r="J18" i="6"/>
  <c r="Q17" i="6"/>
  <c r="S15" i="6" l="1"/>
  <c r="T15" i="6" s="1"/>
  <c r="R17" i="6"/>
  <c r="S17" i="6" s="1"/>
  <c r="T17" i="6" s="1"/>
  <c r="J19" i="6"/>
  <c r="Q18" i="6"/>
  <c r="T45" i="6" l="1"/>
  <c r="T47" i="6" s="1"/>
  <c r="T52" i="6"/>
  <c r="R18" i="6"/>
  <c r="S18" i="6" s="1"/>
  <c r="T18" i="6" s="1"/>
  <c r="Q19" i="6"/>
  <c r="J20" i="6"/>
  <c r="X47" i="6" l="1"/>
  <c r="W47" i="6"/>
  <c r="V47" i="6"/>
  <c r="U47" i="6"/>
  <c r="U52" i="6" s="1"/>
  <c r="Y47" i="6"/>
  <c r="Q20" i="6"/>
  <c r="J21" i="6"/>
  <c r="R19" i="6"/>
  <c r="S19" i="6" s="1"/>
  <c r="T19" i="6" s="1"/>
  <c r="V52" i="6" l="1"/>
  <c r="K21" i="7" s="1"/>
  <c r="W52" i="6"/>
  <c r="L21" i="7" s="1"/>
  <c r="J21" i="7"/>
  <c r="X52" i="6"/>
  <c r="M21" i="7" s="1"/>
  <c r="Y52" i="6"/>
  <c r="N21" i="7" s="1"/>
  <c r="J22" i="6"/>
  <c r="Q21" i="6"/>
  <c r="R20" i="6"/>
  <c r="S20" i="6" s="1"/>
  <c r="T20" i="6" s="1"/>
  <c r="R21" i="6" l="1"/>
  <c r="S21" i="6" s="1"/>
  <c r="T21" i="6" s="1"/>
  <c r="Q22" i="6"/>
  <c r="J23" i="6"/>
  <c r="J24" i="6" l="1"/>
  <c r="Q23" i="6"/>
  <c r="R22" i="6"/>
  <c r="S22" i="6" s="1"/>
  <c r="T22" i="6" s="1"/>
  <c r="J25" i="6" l="1"/>
  <c r="Q24" i="6"/>
  <c r="R23" i="6"/>
  <c r="S23" i="6" s="1"/>
  <c r="T23" i="6" s="1"/>
  <c r="R24" i="6" l="1"/>
  <c r="S24" i="6" s="1"/>
  <c r="T24" i="6" s="1"/>
  <c r="Q25" i="6"/>
  <c r="J26" i="6"/>
  <c r="R25" i="6" l="1"/>
  <c r="S25" i="6" s="1"/>
  <c r="T25" i="6" s="1"/>
  <c r="J27" i="6"/>
  <c r="Q26" i="6"/>
  <c r="Q27" i="6" l="1"/>
  <c r="J28" i="6"/>
  <c r="R26" i="6"/>
  <c r="S26" i="6" s="1"/>
  <c r="T26" i="6" s="1"/>
  <c r="Q28" i="6" l="1"/>
  <c r="J29" i="6"/>
  <c r="R27" i="6"/>
  <c r="S27" i="6" s="1"/>
  <c r="T27" i="6" s="1"/>
  <c r="J30" i="6" l="1"/>
  <c r="Q29" i="6"/>
  <c r="R28" i="6"/>
  <c r="S28" i="6" s="1"/>
  <c r="T28" i="6" s="1"/>
  <c r="R29" i="6" l="1"/>
  <c r="S29" i="6" s="1"/>
  <c r="T29" i="6" s="1"/>
  <c r="Q30" i="6"/>
  <c r="J31" i="6"/>
  <c r="J32" i="6" l="1"/>
  <c r="Q31" i="6"/>
  <c r="R30" i="6"/>
  <c r="S30" i="6" s="1"/>
  <c r="T30" i="6" s="1"/>
  <c r="R31" i="6" l="1"/>
  <c r="S31" i="6" s="1"/>
  <c r="T31" i="6" s="1"/>
  <c r="Q32" i="6"/>
  <c r="J33" i="6"/>
  <c r="J34" i="6" l="1"/>
  <c r="Q34" i="6" s="1"/>
  <c r="Q33" i="6"/>
  <c r="R32" i="6"/>
  <c r="S32" i="6" s="1"/>
  <c r="T32" i="6" s="1"/>
  <c r="R33" i="6" l="1"/>
  <c r="S33" i="6" s="1"/>
  <c r="T33" i="6" s="1"/>
  <c r="R34" i="6"/>
  <c r="S34" i="6" s="1"/>
  <c r="T34" i="6" s="1"/>
  <c r="T37" i="6" l="1"/>
  <c r="I58" i="6" s="1"/>
  <c r="I62" i="6" s="1"/>
  <c r="J16" i="7" l="1"/>
  <c r="J23" i="7" s="1"/>
  <c r="L23" i="7" l="1"/>
  <c r="N23" i="7"/>
  <c r="M23" i="7"/>
  <c r="K23" i="7"/>
</calcChain>
</file>

<file path=xl/sharedStrings.xml><?xml version="1.0" encoding="utf-8"?>
<sst xmlns="http://schemas.openxmlformats.org/spreadsheetml/2006/main" count="455" uniqueCount="140">
  <si>
    <t>Index</t>
  </si>
  <si>
    <t>Rate of Return Model - Evoenergy</t>
  </si>
  <si>
    <t>Model Cover</t>
  </si>
  <si>
    <t>Model developer:</t>
  </si>
  <si>
    <t>Evoenergy</t>
  </si>
  <si>
    <t>Purpose of the model:</t>
  </si>
  <si>
    <t>Model legend:</t>
  </si>
  <si>
    <t>Assumptions</t>
  </si>
  <si>
    <t>Cells containing assumptions intended to be manipulated by model users</t>
  </si>
  <si>
    <t>Drop down</t>
  </si>
  <si>
    <t>Cells containing a drop down list for users to select inputs</t>
  </si>
  <si>
    <t>Inputs</t>
  </si>
  <si>
    <t>Cells containing input texts/numbers NOT intended to be changed by model users</t>
  </si>
  <si>
    <t>linked cells</t>
  </si>
  <si>
    <t>Cells containing data linked within the model</t>
  </si>
  <si>
    <t>Outputs</t>
  </si>
  <si>
    <t>Cells containing formulae NOT intended to be changed by model users</t>
  </si>
  <si>
    <t>hyperlink</t>
  </si>
  <si>
    <t>Cells containing a hyperlink to another part of the workbook</t>
  </si>
  <si>
    <t>Error</t>
  </si>
  <si>
    <t>Cells representing there is an error in the nominated area of the workbook</t>
  </si>
  <si>
    <t>Empty cell</t>
  </si>
  <si>
    <t>Cells where inputs or outputs are not applicable</t>
  </si>
  <si>
    <t>Ok</t>
  </si>
  <si>
    <t>Cells representing there are no errors in the nominated area of the workbook</t>
  </si>
  <si>
    <t>End</t>
  </si>
  <si>
    <t>Model Index</t>
  </si>
  <si>
    <t>Sheet name</t>
  </si>
  <si>
    <t>Sheet description</t>
  </si>
  <si>
    <t>Cover</t>
  </si>
  <si>
    <t>Information about this model and model legend</t>
  </si>
  <si>
    <t>1. Inputs</t>
  </si>
  <si>
    <t>Date for inflation, bond yields and other rate of return parameters</t>
  </si>
  <si>
    <t>2. Calculations</t>
  </si>
  <si>
    <t>Estimates the rate of return and forecast inflation expectations</t>
  </si>
  <si>
    <t>3. Output</t>
  </si>
  <si>
    <t>Summary of the rate of return and inflation for the purposes of the regulatory submission</t>
  </si>
  <si>
    <t>Rate of Return Model - 2026-31</t>
  </si>
  <si>
    <t>Input | Inflation</t>
  </si>
  <si>
    <t>Unlagged - June to June</t>
  </si>
  <si>
    <t>Inflation</t>
  </si>
  <si>
    <t>Source</t>
  </si>
  <si>
    <t>Unit</t>
  </si>
  <si>
    <t>Basis</t>
  </si>
  <si>
    <t>FY19</t>
  </si>
  <si>
    <t>FY20</t>
  </si>
  <si>
    <t>FY21</t>
  </si>
  <si>
    <t>FY22</t>
  </si>
  <si>
    <t>FY23</t>
  </si>
  <si>
    <t>FY24</t>
  </si>
  <si>
    <t>FY25</t>
  </si>
  <si>
    <t>FY26</t>
  </si>
  <si>
    <t>Actual</t>
  </si>
  <si>
    <t>ABS</t>
  </si>
  <si>
    <t>Per cent</t>
  </si>
  <si>
    <t>N/A</t>
  </si>
  <si>
    <t>Forecast</t>
  </si>
  <si>
    <t>RBA</t>
  </si>
  <si>
    <t>Calculated</t>
  </si>
  <si>
    <t>Percent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</si>
  <si>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Actual inflation data is based on movement in CPI between June to June quarter.</t>
    </r>
  </si>
  <si>
    <t>Unlagged - December to December</t>
  </si>
  <si>
    <t>Lagged - Dec to Dec</t>
  </si>
  <si>
    <t>Input | Commonwealth Government bond yields</t>
  </si>
  <si>
    <t>Bond details</t>
  </si>
  <si>
    <t>Value</t>
  </si>
  <si>
    <t>Bond 1</t>
  </si>
  <si>
    <t>Bond 2</t>
  </si>
  <si>
    <t>Maturity</t>
  </si>
  <si>
    <t>AER</t>
  </si>
  <si>
    <t>Years</t>
  </si>
  <si>
    <t>Series ID</t>
  </si>
  <si>
    <t>Name</t>
  </si>
  <si>
    <t>Maturity date</t>
  </si>
  <si>
    <t>Date</t>
  </si>
  <si>
    <t>Yields by date</t>
  </si>
  <si>
    <t>Nominal</t>
  </si>
  <si>
    <t>Input | Corporate bond yields</t>
  </si>
  <si>
    <t>Yields by date (annualised)</t>
  </si>
  <si>
    <t>FY16</t>
  </si>
  <si>
    <t>FY17</t>
  </si>
  <si>
    <t>FY18</t>
  </si>
  <si>
    <t>Return on debt observations</t>
  </si>
  <si>
    <t>Return on debt observation</t>
  </si>
  <si>
    <t>Input | Weights</t>
  </si>
  <si>
    <t>Parameters</t>
  </si>
  <si>
    <t>BBB</t>
  </si>
  <si>
    <t>A</t>
  </si>
  <si>
    <t>Weight applied to new observations</t>
  </si>
  <si>
    <t>Weights applied to corporate bonds</t>
  </si>
  <si>
    <t>Input | Return on equity</t>
  </si>
  <si>
    <t>Market risk premium</t>
  </si>
  <si>
    <t>Equity beta</t>
  </si>
  <si>
    <t>Input | Other parameters for PTRM</t>
  </si>
  <si>
    <t>Rate of return</t>
  </si>
  <si>
    <t>Leverage ratio</t>
  </si>
  <si>
    <t>Gamma</t>
  </si>
  <si>
    <t>Tax rate</t>
  </si>
  <si>
    <t>ATO</t>
  </si>
  <si>
    <t>FY27</t>
  </si>
  <si>
    <t>FY28</t>
  </si>
  <si>
    <t>FY29</t>
  </si>
  <si>
    <t>FY30</t>
  </si>
  <si>
    <t>FY31</t>
  </si>
  <si>
    <t>Yield on Commonwealth government bonds</t>
  </si>
  <si>
    <t>Bond weights</t>
  </si>
  <si>
    <t>Interpolation</t>
  </si>
  <si>
    <t>date</t>
  </si>
  <si>
    <t>Yield</t>
  </si>
  <si>
    <t>Bond Yield</t>
  </si>
  <si>
    <t>Annualised</t>
  </si>
  <si>
    <t>Risk-free rate estimate</t>
  </si>
  <si>
    <t>Calculation | Return on debt</t>
  </si>
  <si>
    <t>Estimates</t>
  </si>
  <si>
    <t>Annual observations</t>
  </si>
  <si>
    <t>Estimated</t>
  </si>
  <si>
    <t>Adopted</t>
  </si>
  <si>
    <t>Weights</t>
  </si>
  <si>
    <t>New observations</t>
  </si>
  <si>
    <t>Na</t>
  </si>
  <si>
    <t>Return on debt (pre-tax)</t>
  </si>
  <si>
    <t>Risk-free rate</t>
  </si>
  <si>
    <t>Return on equity (post-tax) estimate</t>
  </si>
  <si>
    <t>Output | Cost of capital</t>
  </si>
  <si>
    <t>Variable</t>
  </si>
  <si>
    <t>Inflation rate (placeholder)</t>
  </si>
  <si>
    <t>Return on equity</t>
  </si>
  <si>
    <t>value of imputation credits (gamma)</t>
  </si>
  <si>
    <t>proportion of debt funding</t>
  </si>
  <si>
    <t>trailing average portfolio return on debt</t>
  </si>
  <si>
    <t>Nominal vanilla WACC</t>
  </si>
  <si>
    <t>FCMYDEC34D</t>
  </si>
  <si>
    <t>FCMYJUN35D</t>
  </si>
  <si>
    <t>This model provides a rate of return estimate which is required as part of Evoenergy's access arrangement proposal for the 2026-31 period.</t>
  </si>
  <si>
    <t>2026-2031 Access Arrangement Proposal</t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</si>
  <si>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ABS 6401.0: TABLES 3 and 4. CPI: All Groups, Weighted Average of Eight Capital Cities, Index Numbers and Percentage Changes; RBA statement on monetary policy, February 2025</t>
    </r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</si>
  <si>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Actual inflation data is based on movement in CPI between December to December quarter</t>
    </r>
  </si>
  <si>
    <t>Placeholder</t>
  </si>
  <si>
    <t>Calculation | Risk-free rate (placeholder)</t>
  </si>
  <si>
    <t>Calculation | Return on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</si>
</sst>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C09]dd\-mmm\-yy;@"/>
    <numFmt numFmtId="165" formatCode="_-* #,##0_-;\-* #,##0_-;_-* &quot;-&quot;??_-;_-@_-"/>
    <numFmt numFmtId="166" formatCode="_(#,##0.00%_);\(#,##0.00%\);_(&quot;-&quot;_)"/>
    <numFmt numFmtId="167" formatCode="_(#,##0.0%_);\(#,##0.0%\);_(&quot;-&quot;_)"/>
    <numFmt numFmtId="168" formatCode="_(#,##0%_);\(#,##0%\);_(&quot;-&quot;_)"/>
    <numFmt numFmtId="169" formatCode="dd\-mmm\-yyyy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Helvetica"/>
      <family val="2"/>
    </font>
    <font>
      <b/>
      <sz val="10"/>
      <name val="Helvetica"/>
      <family val="2"/>
    </font>
    <font>
      <b/>
      <sz val="15"/>
      <color theme="4"/>
      <name val="Helvetica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11"/>
      <color rgb="FF00B050"/>
      <name val="Arial"/>
      <family val="2"/>
    </font>
    <font>
      <sz val="10"/>
      <color theme="4"/>
      <name val="Helvetica"/>
      <family val="2"/>
    </font>
    <font>
      <u/>
      <sz val="11"/>
      <color theme="10"/>
      <name val="Arial"/>
      <family val="2"/>
    </font>
    <font>
      <b/>
      <sz val="10"/>
      <color rgb="FFFF0000"/>
      <name val="Arial"/>
      <family val="2"/>
    </font>
    <font>
      <b/>
      <sz val="11"/>
      <color indexed="8"/>
      <name val="Arial"/>
      <family val="2"/>
    </font>
    <font>
      <u/>
      <sz val="9"/>
      <color theme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/>
    </fill>
    <fill>
      <patternFill patternType="lightUp">
        <bgColor theme="0" tint="-0.1499679555650502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tted">
        <color auto="1"/>
      </right>
      <top/>
      <bottom style="thin">
        <color indexed="64"/>
      </bottom>
      <diagonal/>
    </border>
    <border>
      <left/>
      <right style="dotted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7" fontId="4" fillId="0" borderId="0" applyFill="0" applyBorder="0">
      <alignment horizontal="right" vertical="center"/>
    </xf>
    <xf numFmtId="0" fontId="3" fillId="0" borderId="0" applyNumberFormat="0" applyFill="0" applyBorder="0" applyAlignment="0" applyProtection="0"/>
    <xf numFmtId="0" fontId="4" fillId="0" borderId="0" applyFill="0" applyBorder="0">
      <alignment vertical="center"/>
    </xf>
    <xf numFmtId="0" fontId="5" fillId="0" borderId="0" applyFill="0" applyBorder="0">
      <alignment horizontal="left" vertical="center"/>
    </xf>
    <xf numFmtId="0" fontId="6" fillId="0" borderId="0" applyFill="0" applyBorder="0">
      <alignment horizontal="left" vertical="center"/>
    </xf>
    <xf numFmtId="0" fontId="15" fillId="0" borderId="0" applyFill="0" applyBorder="0">
      <alignment horizontal="left" vertical="center"/>
    </xf>
    <xf numFmtId="0" fontId="21" fillId="0" borderId="0"/>
    <xf numFmtId="0" fontId="21" fillId="0" borderId="0"/>
    <xf numFmtId="0" fontId="21" fillId="0" borderId="0"/>
    <xf numFmtId="0" fontId="1" fillId="0" borderId="0"/>
  </cellStyleXfs>
  <cellXfs count="67">
    <xf numFmtId="0" fontId="0" fillId="0" borderId="0" xfId="0"/>
    <xf numFmtId="0" fontId="7" fillId="0" borderId="0" xfId="0" applyFont="1"/>
    <xf numFmtId="0" fontId="7" fillId="2" borderId="0" xfId="0" applyFont="1" applyFill="1"/>
    <xf numFmtId="0" fontId="8" fillId="2" borderId="0" xfId="0" applyFont="1" applyFill="1"/>
    <xf numFmtId="0" fontId="7" fillId="0" borderId="0" xfId="0" applyFont="1" applyAlignment="1">
      <alignment horizontal="left" indent="11"/>
    </xf>
    <xf numFmtId="0" fontId="9" fillId="0" borderId="0" xfId="0" applyFont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9" fillId="2" borderId="0" xfId="0" applyFont="1" applyFill="1"/>
    <xf numFmtId="0" fontId="7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166" fontId="11" fillId="3" borderId="2" xfId="1" applyNumberFormat="1" applyFont="1" applyFill="1" applyBorder="1" applyAlignment="1">
      <alignment horizontal="center" vertical="center"/>
    </xf>
    <xf numFmtId="0" fontId="7" fillId="4" borderId="0" xfId="0" applyFont="1" applyFill="1"/>
    <xf numFmtId="0" fontId="11" fillId="3" borderId="2" xfId="1" applyNumberFormat="1" applyFont="1" applyFill="1" applyBorder="1" applyAlignment="1">
      <alignment horizontal="center" vertical="center"/>
    </xf>
    <xf numFmtId="164" fontId="11" fillId="3" borderId="2" xfId="1" applyNumberFormat="1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left" indent="1"/>
    </xf>
    <xf numFmtId="0" fontId="10" fillId="0" borderId="0" xfId="0" applyFont="1" applyAlignment="1">
      <alignment horizontal="center"/>
    </xf>
    <xf numFmtId="10" fontId="11" fillId="3" borderId="2" xfId="1" applyNumberFormat="1" applyFont="1" applyFill="1" applyBorder="1" applyAlignment="1">
      <alignment horizontal="center" vertical="center"/>
    </xf>
    <xf numFmtId="2" fontId="11" fillId="3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6" fillId="0" borderId="0" xfId="3" applyFont="1" applyAlignment="1">
      <alignment horizontal="left" vertical="center"/>
    </xf>
    <xf numFmtId="0" fontId="17" fillId="0" borderId="0" xfId="0" applyFont="1" applyAlignment="1">
      <alignment horizontal="left"/>
    </xf>
    <xf numFmtId="165" fontId="13" fillId="5" borderId="14" xfId="0" applyNumberFormat="1" applyFont="1" applyFill="1" applyBorder="1" applyAlignment="1">
      <alignment horizontal="left" vertical="center"/>
    </xf>
    <xf numFmtId="0" fontId="14" fillId="0" borderId="0" xfId="0" applyFont="1" applyAlignment="1">
      <alignment horizontal="left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wrapText="1"/>
    </xf>
    <xf numFmtId="165" fontId="18" fillId="0" borderId="1" xfId="0" applyNumberFormat="1" applyFont="1" applyBorder="1"/>
    <xf numFmtId="165" fontId="18" fillId="0" borderId="1" xfId="0" applyNumberFormat="1" applyFont="1" applyBorder="1" applyAlignment="1">
      <alignment horizontal="center"/>
    </xf>
    <xf numFmtId="0" fontId="7" fillId="0" borderId="0" xfId="4" applyFont="1" applyFill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7" fillId="0" borderId="1" xfId="0" applyFont="1" applyBorder="1"/>
    <xf numFmtId="0" fontId="9" fillId="0" borderId="5" xfId="0" applyFont="1" applyBorder="1"/>
    <xf numFmtId="0" fontId="9" fillId="0" borderId="5" xfId="0" applyFont="1" applyBorder="1" applyAlignment="1">
      <alignment horizontal="center"/>
    </xf>
    <xf numFmtId="0" fontId="19" fillId="0" borderId="0" xfId="3" applyFont="1"/>
    <xf numFmtId="166" fontId="11" fillId="6" borderId="2" xfId="1" applyNumberFormat="1" applyFont="1" applyFill="1" applyBorder="1" applyAlignment="1">
      <alignment horizontal="center" vertical="center"/>
    </xf>
    <xf numFmtId="166" fontId="11" fillId="6" borderId="0" xfId="1" applyNumberFormat="1" applyFont="1" applyFill="1" applyBorder="1" applyAlignment="1">
      <alignment horizontal="left" vertical="center"/>
    </xf>
    <xf numFmtId="0" fontId="16" fillId="0" borderId="0" xfId="3" applyFont="1" applyAlignment="1">
      <alignment horizontal="left" indent="1"/>
    </xf>
    <xf numFmtId="166" fontId="11" fillId="0" borderId="2" xfId="1" applyNumberFormat="1" applyFont="1" applyFill="1" applyBorder="1" applyAlignment="1">
      <alignment horizontal="center" vertical="center"/>
    </xf>
    <xf numFmtId="14" fontId="11" fillId="0" borderId="2" xfId="1" applyNumberFormat="1" applyFont="1" applyFill="1" applyBorder="1" applyAlignment="1">
      <alignment horizontal="right" vertical="center"/>
    </xf>
    <xf numFmtId="14" fontId="11" fillId="7" borderId="2" xfId="1" applyNumberFormat="1" applyFont="1" applyFill="1" applyBorder="1" applyAlignment="1">
      <alignment horizontal="right" vertical="center"/>
    </xf>
    <xf numFmtId="14" fontId="11" fillId="7" borderId="2" xfId="1" applyNumberFormat="1" applyFont="1" applyFill="1" applyBorder="1" applyAlignment="1">
      <alignment horizontal="left" vertical="center"/>
    </xf>
    <xf numFmtId="168" fontId="11" fillId="0" borderId="2" xfId="1" applyNumberFormat="1" applyFont="1" applyFill="1" applyBorder="1" applyAlignment="1">
      <alignment horizontal="center" vertical="center"/>
    </xf>
    <xf numFmtId="166" fontId="20" fillId="0" borderId="15" xfId="1" applyNumberFormat="1" applyFont="1" applyFill="1" applyBorder="1" applyAlignment="1">
      <alignment horizontal="center" vertical="center"/>
    </xf>
    <xf numFmtId="10" fontId="7" fillId="0" borderId="0" xfId="1" applyNumberFormat="1" applyFont="1"/>
    <xf numFmtId="0" fontId="7" fillId="0" borderId="16" xfId="0" applyFont="1" applyBorder="1" applyAlignment="1">
      <alignment horizontal="center"/>
    </xf>
    <xf numFmtId="0" fontId="7" fillId="0" borderId="16" xfId="0" applyFont="1" applyBorder="1"/>
    <xf numFmtId="166" fontId="11" fillId="3" borderId="2" xfId="1" applyNumberFormat="1" applyFont="1" applyFill="1" applyBorder="1" applyAlignment="1">
      <alignment horizontal="left" vertical="center"/>
    </xf>
    <xf numFmtId="169" fontId="11" fillId="0" borderId="0" xfId="9" applyNumberFormat="1" applyFont="1" applyAlignment="1">
      <alignment horizontal="right"/>
    </xf>
    <xf numFmtId="166" fontId="7" fillId="0" borderId="0" xfId="0" applyNumberFormat="1" applyFont="1"/>
    <xf numFmtId="0" fontId="22" fillId="0" borderId="0" xfId="0" applyFont="1"/>
    <xf numFmtId="0" fontId="7" fillId="0" borderId="0" xfId="0" applyFont="1" applyAlignment="1">
      <alignment horizontal="left" wrapText="1"/>
    </xf>
    <xf numFmtId="0" fontId="7" fillId="6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2">
    <cellStyle name="Heading 3 Output" xfId="5" xr:uid="{BBE14D47-5B6E-461D-B0BA-389AEEC3BCC0}"/>
    <cellStyle name="Heading 4 Input" xfId="7" xr:uid="{8534D3CF-0894-4958-892A-77711BC8CD16}"/>
    <cellStyle name="Heading 4 Output" xfId="4" xr:uid="{600F3EB4-D5E4-489E-9568-5284A7D31F47}"/>
    <cellStyle name="Hyperlink" xfId="3" builtinId="8"/>
    <cellStyle name="Normal" xfId="0" builtinId="0"/>
    <cellStyle name="Normal 2" xfId="9" xr:uid="{B7F820A6-80F3-45AA-B78E-F6BF09DD5278}"/>
    <cellStyle name="Normal 3" xfId="10" xr:uid="{B71766D2-9DE7-4D38-8A75-F20D0BB9D85F}"/>
    <cellStyle name="Normal 4" xfId="11" xr:uid="{C36506B5-F3DC-43D7-AC53-EED0F6F21F63}"/>
    <cellStyle name="Normal 5" xfId="8" xr:uid="{58F1484B-5BED-4491-9FD4-F0339EE5BF8C}"/>
    <cellStyle name="Percent" xfId="1" builtinId="5"/>
    <cellStyle name="Percentage" xfId="2" xr:uid="{D8F4F267-901C-435B-94A5-490BE0759BDC}"/>
    <cellStyle name="Sheet Title Input" xfId="6" xr:uid="{D36D6FD5-176F-4B2B-B876-DD52614C26C1}"/>
  </cellStyles>
  <dxfs count="1">
    <dxf>
      <font>
        <b val="0"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2612014</xdr:colOff>
      <xdr:row>3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3BD16D-C8F5-E9BE-6983-2E02D06D85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87324" cy="647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2617111</xdr:colOff>
      <xdr:row>3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FD7B36D-7A31-4BF9-92F1-B79294F7E3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88611" cy="647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3594</xdr:colOff>
      <xdr:row>2</xdr:row>
      <xdr:rowOff>187097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3F84482-827E-4724-8EF1-B88014907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94469" cy="6442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2611693</xdr:colOff>
      <xdr:row>2</xdr:row>
      <xdr:rowOff>187097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329B55A-D307-40C0-967B-1A1913809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86266" cy="6449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2614766</xdr:colOff>
      <xdr:row>3</xdr:row>
      <xdr:rowOff>1294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C52907A-BBBF-4215-ADC4-E7DBF47D2C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186266" cy="644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E30DF-5089-41AC-93F7-5DC9559330E9}">
  <dimension ref="A1:P34"/>
  <sheetViews>
    <sheetView showGridLines="0" tabSelected="1" workbookViewId="0">
      <selection activeCell="D22" sqref="D22"/>
    </sheetView>
  </sheetViews>
  <sheetFormatPr defaultColWidth="9.109375" defaultRowHeight="15" customHeight="1" x14ac:dyDescent="0.25"/>
  <cols>
    <col min="1" max="2" width="2.109375" style="1" customWidth="1"/>
    <col min="3" max="3" width="4.33203125" style="1" customWidth="1"/>
    <col min="4" max="4" width="39.33203125" style="1" customWidth="1"/>
    <col min="5" max="16384" width="9.109375" style="1"/>
  </cols>
  <sheetData>
    <row r="1" spans="1:16" s="2" customFormat="1" ht="15" customHeight="1" x14ac:dyDescent="0.25">
      <c r="A1" s="1"/>
      <c r="B1" s="1"/>
      <c r="C1" s="1"/>
      <c r="D1" s="1"/>
    </row>
    <row r="2" spans="1:16" s="2" customFormat="1" ht="21" customHeight="1" x14ac:dyDescent="0.4">
      <c r="A2" s="1"/>
      <c r="B2" s="1"/>
      <c r="C2" s="1"/>
      <c r="D2" s="1"/>
      <c r="E2" s="3" t="s">
        <v>37</v>
      </c>
    </row>
    <row r="3" spans="1:16" s="2" customFormat="1" ht="15" customHeight="1" x14ac:dyDescent="0.25">
      <c r="A3" s="1"/>
      <c r="B3" s="1"/>
      <c r="C3" s="1"/>
      <c r="D3" s="4"/>
    </row>
    <row r="5" spans="1:16" ht="18" customHeight="1" x14ac:dyDescent="0.25">
      <c r="D5" s="47" t="s">
        <v>0</v>
      </c>
    </row>
    <row r="6" spans="1:16" ht="12" customHeight="1" x14ac:dyDescent="0.25">
      <c r="D6" s="5" t="s">
        <v>1</v>
      </c>
    </row>
    <row r="7" spans="1:16" ht="15" customHeight="1" x14ac:dyDescent="0.25">
      <c r="D7" s="5" t="s">
        <v>134</v>
      </c>
    </row>
    <row r="9" spans="1:16" s="2" customFormat="1" ht="15" customHeight="1" x14ac:dyDescent="0.25">
      <c r="C9" s="14" t="s">
        <v>2</v>
      </c>
    </row>
    <row r="11" spans="1:16" ht="15" customHeight="1" x14ac:dyDescent="0.25">
      <c r="D11" s="5" t="s">
        <v>3</v>
      </c>
      <c r="E11" s="1" t="s">
        <v>4</v>
      </c>
    </row>
    <row r="12" spans="1:16" ht="15" customHeight="1" x14ac:dyDescent="0.25">
      <c r="D12" s="5"/>
    </row>
    <row r="14" spans="1:16" ht="15" customHeight="1" x14ac:dyDescent="0.25">
      <c r="D14" s="5" t="s">
        <v>5</v>
      </c>
      <c r="E14" s="64" t="s">
        <v>133</v>
      </c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</row>
    <row r="15" spans="1:16" ht="15" customHeight="1" x14ac:dyDescent="0.25">
      <c r="D15" s="5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</row>
    <row r="16" spans="1:16" ht="15" customHeight="1" x14ac:dyDescent="0.25">
      <c r="D16" s="5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</row>
    <row r="17" spans="3:16" ht="15" customHeight="1" thickBot="1" x14ac:dyDescent="0.3"/>
    <row r="18" spans="3:16" ht="15" customHeight="1" x14ac:dyDescent="0.25">
      <c r="D18" s="5" t="s">
        <v>6</v>
      </c>
      <c r="E18" s="6"/>
      <c r="F18" s="7"/>
      <c r="G18" s="7"/>
      <c r="H18" s="7"/>
      <c r="I18" s="7"/>
      <c r="J18" s="7"/>
      <c r="K18" s="7"/>
      <c r="L18" s="7"/>
      <c r="M18" s="7"/>
      <c r="N18" s="7"/>
      <c r="O18" s="7"/>
      <c r="P18" s="8"/>
    </row>
    <row r="19" spans="3:16" ht="15" customHeight="1" x14ac:dyDescent="0.25">
      <c r="E19" s="9"/>
      <c r="F19" s="31" t="s">
        <v>7</v>
      </c>
      <c r="H19" s="1" t="s">
        <v>8</v>
      </c>
      <c r="P19" s="10"/>
    </row>
    <row r="20" spans="3:16" ht="15" customHeight="1" x14ac:dyDescent="0.25">
      <c r="E20" s="9"/>
      <c r="F20" s="31" t="s">
        <v>9</v>
      </c>
      <c r="H20" s="1" t="s">
        <v>10</v>
      </c>
      <c r="P20" s="10"/>
    </row>
    <row r="21" spans="3:16" ht="15" customHeight="1" x14ac:dyDescent="0.25">
      <c r="E21" s="9"/>
      <c r="F21" s="22" t="s">
        <v>11</v>
      </c>
      <c r="H21" s="1" t="s">
        <v>12</v>
      </c>
      <c r="P21" s="10"/>
    </row>
    <row r="22" spans="3:16" ht="15" customHeight="1" x14ac:dyDescent="0.25">
      <c r="E22" s="9"/>
      <c r="F22" s="49" t="s">
        <v>13</v>
      </c>
      <c r="H22" s="1" t="s">
        <v>14</v>
      </c>
      <c r="P22" s="10"/>
    </row>
    <row r="23" spans="3:16" ht="15" customHeight="1" x14ac:dyDescent="0.25">
      <c r="E23" s="9"/>
      <c r="F23" s="31" t="s">
        <v>15</v>
      </c>
      <c r="H23" s="1" t="s">
        <v>16</v>
      </c>
      <c r="P23" s="10"/>
    </row>
    <row r="24" spans="3:16" ht="15" customHeight="1" x14ac:dyDescent="0.25">
      <c r="E24" s="9"/>
      <c r="F24" s="32" t="s">
        <v>17</v>
      </c>
      <c r="H24" s="1" t="s">
        <v>18</v>
      </c>
      <c r="P24" s="10"/>
    </row>
    <row r="25" spans="3:16" ht="15" customHeight="1" x14ac:dyDescent="0.25">
      <c r="E25" s="9"/>
      <c r="F25" s="33" t="s">
        <v>19</v>
      </c>
      <c r="H25" s="1" t="s">
        <v>20</v>
      </c>
      <c r="P25" s="10"/>
    </row>
    <row r="26" spans="3:16" ht="15" customHeight="1" x14ac:dyDescent="0.25">
      <c r="E26" s="9"/>
      <c r="F26" s="34" t="s">
        <v>21</v>
      </c>
      <c r="H26" s="1" t="s">
        <v>22</v>
      </c>
      <c r="P26" s="10"/>
    </row>
    <row r="27" spans="3:16" ht="15" customHeight="1" x14ac:dyDescent="0.25">
      <c r="E27" s="9"/>
      <c r="F27" s="35" t="s">
        <v>23</v>
      </c>
      <c r="H27" s="1" t="s">
        <v>24</v>
      </c>
      <c r="P27" s="10"/>
    </row>
    <row r="28" spans="3:16" ht="15" customHeight="1" thickBot="1" x14ac:dyDescent="0.3"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3"/>
    </row>
    <row r="31" spans="3:16" s="2" customFormat="1" ht="15" customHeight="1" x14ac:dyDescent="0.25">
      <c r="C31" s="14" t="s">
        <v>25</v>
      </c>
    </row>
    <row r="32" spans="3:16" ht="15" customHeight="1" x14ac:dyDescent="0.25"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5:16" ht="15" customHeight="1" x14ac:dyDescent="0.25"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</row>
    <row r="34" spans="5:16" ht="15" customHeight="1" x14ac:dyDescent="0.25"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</row>
  </sheetData>
  <mergeCells count="1">
    <mergeCell ref="E14:P15"/>
  </mergeCells>
  <conditionalFormatting sqref="F25">
    <cfRule type="cellIs" dxfId="0" priority="1" operator="equal">
      <formula>"Ok"</formula>
    </cfRule>
  </conditionalFormatting>
  <hyperlinks>
    <hyperlink ref="D5" location="Index!A1" display="Index" xr:uid="{F9D9DBDB-449B-4DD6-8833-A1B3DCAE9A19}"/>
  </hyperlinks>
  <pageMargins left="0.7" right="0.7" top="0.75" bottom="0.75" header="0.3" footer="0.3"/>
  <headerFooter>
    <oddFooter>&amp;C_x000D_&amp;1#&amp;"Calibri"&amp;10&amp;K000000 Official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5061-430E-4B38-95C0-CDC071CC5487}">
  <dimension ref="A1:E18"/>
  <sheetViews>
    <sheetView showGridLines="0" workbookViewId="0">
      <selection activeCell="D13" sqref="D13"/>
    </sheetView>
  </sheetViews>
  <sheetFormatPr defaultColWidth="9.109375" defaultRowHeight="15" customHeight="1" x14ac:dyDescent="0.25"/>
  <cols>
    <col min="1" max="2" width="2.109375" style="1" customWidth="1"/>
    <col min="3" max="3" width="4.33203125" style="1" customWidth="1"/>
    <col min="4" max="4" width="39.33203125" style="1" customWidth="1"/>
    <col min="5" max="16384" width="9.109375" style="1"/>
  </cols>
  <sheetData>
    <row r="1" spans="1:5" s="2" customFormat="1" ht="15" customHeight="1" x14ac:dyDescent="0.25">
      <c r="A1" s="1"/>
      <c r="B1" s="1"/>
      <c r="C1" s="1"/>
      <c r="D1" s="1"/>
    </row>
    <row r="2" spans="1:5" s="2" customFormat="1" ht="21" customHeight="1" x14ac:dyDescent="0.4">
      <c r="A2" s="1"/>
      <c r="B2" s="1"/>
      <c r="C2" s="1"/>
      <c r="D2" s="1"/>
      <c r="E2" s="3" t="str">
        <f>Cover!E2</f>
        <v>Rate of Return Model - 2026-31</v>
      </c>
    </row>
    <row r="3" spans="1:5" s="2" customFormat="1" ht="15" customHeight="1" x14ac:dyDescent="0.25">
      <c r="A3" s="1"/>
      <c r="B3" s="1"/>
      <c r="C3" s="1"/>
      <c r="D3" s="4"/>
    </row>
    <row r="6" spans="1:5" ht="15" customHeight="1" x14ac:dyDescent="0.25">
      <c r="D6" s="5" t="str">
        <f>Cover!D6</f>
        <v>Rate of Return Model - Evoenergy</v>
      </c>
    </row>
    <row r="7" spans="1:5" ht="15" customHeight="1" x14ac:dyDescent="0.25">
      <c r="D7" s="5" t="str">
        <f>Cover!D7</f>
        <v>2026-2031 Access Arrangement Proposal</v>
      </c>
    </row>
    <row r="9" spans="1:5" s="2" customFormat="1" ht="15" customHeight="1" x14ac:dyDescent="0.25">
      <c r="C9" s="14" t="s">
        <v>26</v>
      </c>
    </row>
    <row r="11" spans="1:5" ht="15" customHeight="1" x14ac:dyDescent="0.25">
      <c r="D11" s="5" t="s">
        <v>27</v>
      </c>
      <c r="E11" s="5" t="s">
        <v>28</v>
      </c>
    </row>
    <row r="12" spans="1:5" ht="15" customHeight="1" x14ac:dyDescent="0.3">
      <c r="D12" s="50" t="s">
        <v>29</v>
      </c>
      <c r="E12" s="16" t="s">
        <v>30</v>
      </c>
    </row>
    <row r="13" spans="1:5" ht="15" customHeight="1" x14ac:dyDescent="0.3">
      <c r="D13" s="50" t="s">
        <v>31</v>
      </c>
      <c r="E13" s="16" t="s">
        <v>32</v>
      </c>
    </row>
    <row r="14" spans="1:5" ht="15" customHeight="1" x14ac:dyDescent="0.3">
      <c r="D14" s="50" t="s">
        <v>33</v>
      </c>
      <c r="E14" s="16" t="s">
        <v>34</v>
      </c>
    </row>
    <row r="15" spans="1:5" ht="15" customHeight="1" x14ac:dyDescent="0.3">
      <c r="D15" s="50" t="s">
        <v>35</v>
      </c>
      <c r="E15" s="16" t="s">
        <v>36</v>
      </c>
    </row>
    <row r="18" spans="3:3" s="2" customFormat="1" ht="15" customHeight="1" x14ac:dyDescent="0.25">
      <c r="C18" s="14" t="s">
        <v>25</v>
      </c>
    </row>
  </sheetData>
  <hyperlinks>
    <hyperlink ref="D13" location="'1. Inputs'!A1" display="1. Inputs" xr:uid="{143102A1-10BB-4C60-82E9-B122FB0F244C}"/>
    <hyperlink ref="D14" location="'2. Calculations'!A1" display="2. Calculations" xr:uid="{2CBEE7FC-F17A-42DA-9AC7-4FBEE4CD3F78}"/>
    <hyperlink ref="D15" location="'3. Output'!A1" display="3. Output" xr:uid="{8D31C77B-D3AA-4F00-9193-119FAE137FE4}"/>
    <hyperlink ref="D12" location="Cover!A1" display="Cover" xr:uid="{02715F30-3968-4213-B2ED-19FACDF21138}"/>
  </hyperlinks>
  <pageMargins left="0.7" right="0.7" top="0.75" bottom="0.75" header="0.3" footer="0.3"/>
  <headerFooter>
    <oddFooter>&amp;C_x000D_&amp;1#&amp;"Calibri"&amp;10&amp;K000000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86D3B-29BA-4ECF-8B70-7FCD9A9AB19B}">
  <sheetPr>
    <pageSetUpPr autoPageBreaks="0"/>
  </sheetPr>
  <dimension ref="A1:T102"/>
  <sheetViews>
    <sheetView showGridLines="0" topLeftCell="A36" zoomScaleNormal="100" workbookViewId="0">
      <selection activeCell="R77" sqref="R77"/>
    </sheetView>
  </sheetViews>
  <sheetFormatPr defaultColWidth="9.109375" defaultRowHeight="15" customHeight="1" x14ac:dyDescent="0.25"/>
  <cols>
    <col min="1" max="2" width="2.109375" style="1" customWidth="1"/>
    <col min="3" max="3" width="4.33203125" style="1" customWidth="1"/>
    <col min="4" max="4" width="39.33203125" style="1" customWidth="1"/>
    <col min="5" max="7" width="11.109375" style="1" customWidth="1"/>
    <col min="8" max="8" width="10.5546875" style="1" customWidth="1"/>
    <col min="9" max="17" width="10.6640625" style="1" customWidth="1"/>
    <col min="18" max="19" width="9.109375" style="1"/>
    <col min="20" max="20" width="11.5546875" style="1" customWidth="1"/>
    <col min="21" max="21" width="9.109375" style="1"/>
    <col min="22" max="22" width="11.33203125" style="1" bestFit="1" customWidth="1"/>
    <col min="23" max="16384" width="9.109375" style="1"/>
  </cols>
  <sheetData>
    <row r="1" spans="1:17" s="2" customFormat="1" ht="15" customHeight="1" x14ac:dyDescent="0.25">
      <c r="A1" s="1"/>
      <c r="B1" s="1"/>
      <c r="C1" s="1"/>
      <c r="D1" s="1"/>
    </row>
    <row r="2" spans="1:17" s="2" customFormat="1" ht="21" customHeight="1" x14ac:dyDescent="0.4">
      <c r="A2" s="1"/>
      <c r="B2" s="1"/>
      <c r="C2" s="1"/>
      <c r="D2" s="1"/>
      <c r="E2" s="3" t="s">
        <v>37</v>
      </c>
    </row>
    <row r="3" spans="1:17" s="2" customFormat="1" ht="15" customHeight="1" x14ac:dyDescent="0.25">
      <c r="A3" s="1"/>
      <c r="B3" s="1"/>
      <c r="C3" s="1"/>
      <c r="D3" s="4"/>
    </row>
    <row r="5" spans="1:17" ht="15" customHeight="1" x14ac:dyDescent="0.25">
      <c r="D5" s="47" t="s">
        <v>0</v>
      </c>
    </row>
    <row r="6" spans="1:17" ht="15" customHeight="1" x14ac:dyDescent="0.25">
      <c r="D6" s="5" t="str">
        <f>Index!D6</f>
        <v>Rate of Return Model - Evoenergy</v>
      </c>
    </row>
    <row r="7" spans="1:17" ht="15" customHeight="1" x14ac:dyDescent="0.25">
      <c r="D7" s="5" t="str">
        <f>Index!D7</f>
        <v>2026-2031 Access Arrangement Proposal</v>
      </c>
    </row>
    <row r="9" spans="1:17" s="2" customFormat="1" ht="15" customHeight="1" x14ac:dyDescent="0.25">
      <c r="C9" s="14" t="s">
        <v>38</v>
      </c>
    </row>
    <row r="11" spans="1:17" ht="15" customHeight="1" x14ac:dyDescent="0.25">
      <c r="C11" s="5" t="s">
        <v>39</v>
      </c>
    </row>
    <row r="13" spans="1:17" ht="15" customHeight="1" x14ac:dyDescent="0.25">
      <c r="D13" s="17" t="s">
        <v>40</v>
      </c>
      <c r="E13" s="18" t="s">
        <v>41</v>
      </c>
      <c r="F13" s="18" t="s">
        <v>42</v>
      </c>
      <c r="G13" s="18" t="s">
        <v>43</v>
      </c>
      <c r="H13" s="5"/>
      <c r="I13" s="5"/>
      <c r="J13" s="18" t="s">
        <v>46</v>
      </c>
      <c r="K13" s="18" t="s">
        <v>47</v>
      </c>
      <c r="L13" s="19" t="s">
        <v>48</v>
      </c>
      <c r="M13" s="18" t="s">
        <v>49</v>
      </c>
      <c r="N13" s="18" t="s">
        <v>50</v>
      </c>
      <c r="O13" s="18" t="s">
        <v>51</v>
      </c>
      <c r="P13" s="18" t="s">
        <v>99</v>
      </c>
      <c r="Q13" s="19" t="s">
        <v>100</v>
      </c>
    </row>
    <row r="14" spans="1:17" ht="15" customHeight="1" x14ac:dyDescent="0.25">
      <c r="E14" s="20"/>
      <c r="F14" s="20"/>
      <c r="G14" s="20"/>
      <c r="J14" s="58"/>
      <c r="K14" s="20"/>
      <c r="L14" s="21"/>
      <c r="M14" s="20"/>
      <c r="N14" s="20"/>
      <c r="O14" s="59"/>
      <c r="Q14" s="21"/>
    </row>
    <row r="15" spans="1:17" ht="15" customHeight="1" x14ac:dyDescent="0.25">
      <c r="D15" s="1" t="s">
        <v>52</v>
      </c>
      <c r="E15" s="20" t="s">
        <v>53</v>
      </c>
      <c r="F15" s="20" t="s">
        <v>54</v>
      </c>
      <c r="G15" s="20" t="s">
        <v>55</v>
      </c>
      <c r="J15" s="22">
        <v>3.8461538461538325E-2</v>
      </c>
      <c r="K15" s="22">
        <v>6.1447811447811418E-2</v>
      </c>
      <c r="L15" s="22">
        <v>6.0269627279936566E-2</v>
      </c>
      <c r="M15" s="22">
        <v>3.8145100972326373E-2</v>
      </c>
      <c r="N15" s="22">
        <v>2.4000000000000021E-2</v>
      </c>
      <c r="O15" s="23"/>
      <c r="P15" s="23"/>
      <c r="Q15" s="23"/>
    </row>
    <row r="16" spans="1:17" ht="15" customHeight="1" x14ac:dyDescent="0.25">
      <c r="D16" s="1" t="s">
        <v>56</v>
      </c>
      <c r="E16" s="20" t="s">
        <v>57</v>
      </c>
      <c r="F16" s="20" t="s">
        <v>54</v>
      </c>
      <c r="G16" s="20" t="s">
        <v>55</v>
      </c>
      <c r="J16" s="23"/>
      <c r="K16" s="23"/>
      <c r="L16" s="23"/>
      <c r="M16" s="23"/>
      <c r="N16" s="23"/>
      <c r="O16" s="22">
        <v>3.2000000000000028E-2</v>
      </c>
      <c r="P16" s="22">
        <v>2.6999999999999913E-2</v>
      </c>
      <c r="Q16" s="23"/>
    </row>
    <row r="17" spans="3:17" ht="15" customHeight="1" x14ac:dyDescent="0.25">
      <c r="J17" s="20"/>
      <c r="K17" s="20"/>
      <c r="L17" s="20"/>
      <c r="M17" s="20"/>
      <c r="N17" s="20"/>
      <c r="O17" s="20"/>
    </row>
    <row r="18" spans="3:17" ht="15" customHeight="1" x14ac:dyDescent="0.25">
      <c r="D18" s="5" t="s">
        <v>39</v>
      </c>
      <c r="E18" s="20" t="s">
        <v>58</v>
      </c>
      <c r="F18" s="20" t="s">
        <v>59</v>
      </c>
      <c r="G18" s="20" t="s">
        <v>55</v>
      </c>
      <c r="J18" s="56">
        <f t="shared" ref="J18:N18" si="0">J15</f>
        <v>3.8461538461538325E-2</v>
      </c>
      <c r="K18" s="56">
        <f t="shared" si="0"/>
        <v>6.1447811447811418E-2</v>
      </c>
      <c r="L18" s="56">
        <f t="shared" si="0"/>
        <v>6.0269627279936566E-2</v>
      </c>
      <c r="M18" s="56">
        <f t="shared" si="0"/>
        <v>3.8145100972326373E-2</v>
      </c>
      <c r="N18" s="56">
        <f t="shared" si="0"/>
        <v>2.4000000000000021E-2</v>
      </c>
      <c r="O18" s="56">
        <f>O16</f>
        <v>3.2000000000000028E-2</v>
      </c>
      <c r="P18" s="56">
        <f>P16</f>
        <v>2.6999999999999913E-2</v>
      </c>
      <c r="Q18" s="56">
        <f>Q16</f>
        <v>0</v>
      </c>
    </row>
    <row r="20" spans="3:17" ht="15" customHeight="1" x14ac:dyDescent="0.25">
      <c r="D20" s="1" t="s">
        <v>60</v>
      </c>
    </row>
    <row r="21" spans="3:17" ht="15" customHeight="1" x14ac:dyDescent="0.25">
      <c r="D21" s="1" t="s">
        <v>135</v>
      </c>
    </row>
    <row r="24" spans="3:17" ht="15" customHeight="1" x14ac:dyDescent="0.25">
      <c r="C24" s="5" t="s">
        <v>61</v>
      </c>
      <c r="J24" s="57"/>
    </row>
    <row r="26" spans="3:17" ht="15" customHeight="1" x14ac:dyDescent="0.25">
      <c r="D26" s="17" t="s">
        <v>40</v>
      </c>
      <c r="E26" s="18" t="s">
        <v>41</v>
      </c>
      <c r="F26" s="18" t="s">
        <v>42</v>
      </c>
      <c r="G26" s="18" t="s">
        <v>43</v>
      </c>
      <c r="H26" s="5"/>
      <c r="I26" s="5"/>
      <c r="J26" s="18" t="s">
        <v>46</v>
      </c>
      <c r="K26" s="18" t="s">
        <v>47</v>
      </c>
      <c r="L26" s="19" t="s">
        <v>48</v>
      </c>
      <c r="M26" s="18" t="s">
        <v>49</v>
      </c>
      <c r="N26" s="18" t="s">
        <v>50</v>
      </c>
      <c r="O26" s="18" t="s">
        <v>51</v>
      </c>
      <c r="P26" s="18" t="s">
        <v>99</v>
      </c>
      <c r="Q26" s="19" t="s">
        <v>100</v>
      </c>
    </row>
    <row r="27" spans="3:17" ht="15" customHeight="1" x14ac:dyDescent="0.25">
      <c r="J27" s="58"/>
      <c r="K27" s="20"/>
      <c r="L27" s="21"/>
      <c r="M27" s="20"/>
      <c r="N27" s="20"/>
      <c r="O27" s="59"/>
      <c r="Q27" s="21"/>
    </row>
    <row r="28" spans="3:17" ht="15" customHeight="1" x14ac:dyDescent="0.25">
      <c r="D28" s="1" t="s">
        <v>52</v>
      </c>
      <c r="E28" s="20" t="s">
        <v>53</v>
      </c>
      <c r="F28" s="20" t="s">
        <v>54</v>
      </c>
      <c r="G28" s="20" t="s">
        <v>55</v>
      </c>
      <c r="J28" s="22">
        <v>8.6058519793459354E-3</v>
      </c>
      <c r="K28" s="22">
        <v>3.4982935153583528E-2</v>
      </c>
      <c r="L28" s="22">
        <v>7.8318219291014124E-2</v>
      </c>
      <c r="M28" s="22">
        <v>4.0519877675840865E-2</v>
      </c>
      <c r="N28" s="22">
        <v>2.4246877296105973E-2</v>
      </c>
      <c r="O28" s="23"/>
      <c r="P28" s="23"/>
      <c r="Q28" s="23"/>
    </row>
    <row r="29" spans="3:17" ht="15" customHeight="1" x14ac:dyDescent="0.25">
      <c r="D29" s="1" t="s">
        <v>56</v>
      </c>
      <c r="E29" s="20" t="s">
        <v>57</v>
      </c>
      <c r="F29" s="20" t="s">
        <v>54</v>
      </c>
      <c r="G29" s="20" t="s">
        <v>55</v>
      </c>
      <c r="J29" s="23"/>
      <c r="K29" s="23"/>
      <c r="L29" s="23"/>
      <c r="M29" s="23"/>
      <c r="N29" s="23"/>
      <c r="O29" s="22">
        <v>3.6999999999999922E-2</v>
      </c>
      <c r="P29" s="22">
        <v>2.8000000000000025E-2</v>
      </c>
      <c r="Q29" s="23"/>
    </row>
    <row r="30" spans="3:17" ht="15" customHeight="1" x14ac:dyDescent="0.25">
      <c r="J30" s="20"/>
      <c r="K30" s="20"/>
      <c r="L30" s="20"/>
      <c r="M30" s="20"/>
      <c r="N30" s="20"/>
      <c r="O30" s="20"/>
    </row>
    <row r="31" spans="3:17" ht="15" customHeight="1" x14ac:dyDescent="0.25">
      <c r="D31" s="5" t="s">
        <v>62</v>
      </c>
      <c r="E31" s="20" t="s">
        <v>58</v>
      </c>
      <c r="F31" s="20" t="s">
        <v>54</v>
      </c>
      <c r="G31" s="20" t="s">
        <v>55</v>
      </c>
      <c r="H31" s="5"/>
      <c r="I31" s="5"/>
      <c r="J31" s="56">
        <f>J28</f>
        <v>8.6058519793459354E-3</v>
      </c>
      <c r="K31" s="56">
        <f>K28</f>
        <v>3.4982935153583528E-2</v>
      </c>
      <c r="L31" s="56">
        <f>L28</f>
        <v>7.8318219291014124E-2</v>
      </c>
      <c r="M31" s="56">
        <f>M28</f>
        <v>4.0519877675840865E-2</v>
      </c>
      <c r="N31" s="56">
        <f t="shared" ref="N31" si="1">N28</f>
        <v>2.4246877296105973E-2</v>
      </c>
      <c r="O31" s="56">
        <f>O29</f>
        <v>3.6999999999999922E-2</v>
      </c>
      <c r="P31" s="56">
        <f>P29</f>
        <v>2.8000000000000025E-2</v>
      </c>
      <c r="Q31" s="56">
        <f>Q29</f>
        <v>0</v>
      </c>
    </row>
    <row r="33" spans="3:14" ht="15" customHeight="1" x14ac:dyDescent="0.25">
      <c r="D33" s="1" t="s">
        <v>136</v>
      </c>
    </row>
    <row r="34" spans="3:14" ht="15" customHeight="1" x14ac:dyDescent="0.25">
      <c r="D34" s="1" t="s">
        <v>135</v>
      </c>
    </row>
    <row r="38" spans="3:14" s="2" customFormat="1" ht="15" customHeight="1" x14ac:dyDescent="0.25">
      <c r="C38" s="14" t="s">
        <v>63</v>
      </c>
    </row>
    <row r="40" spans="3:14" ht="15" customHeight="1" x14ac:dyDescent="0.25">
      <c r="D40" s="17" t="s">
        <v>64</v>
      </c>
      <c r="E40" s="18" t="s">
        <v>41</v>
      </c>
      <c r="F40" s="18" t="s">
        <v>42</v>
      </c>
      <c r="G40" s="18" t="s">
        <v>43</v>
      </c>
      <c r="J40" s="18" t="s">
        <v>65</v>
      </c>
      <c r="L40" s="18" t="s">
        <v>66</v>
      </c>
      <c r="N40" s="18" t="s">
        <v>67</v>
      </c>
    </row>
    <row r="42" spans="3:14" ht="15" customHeight="1" x14ac:dyDescent="0.25">
      <c r="D42" s="1" t="s">
        <v>68</v>
      </c>
      <c r="E42" s="20" t="s">
        <v>69</v>
      </c>
      <c r="F42" s="20" t="s">
        <v>70</v>
      </c>
      <c r="G42" s="20" t="s">
        <v>55</v>
      </c>
      <c r="J42" s="24">
        <v>10</v>
      </c>
    </row>
    <row r="43" spans="3:14" ht="15" customHeight="1" x14ac:dyDescent="0.25">
      <c r="D43" s="1" t="s">
        <v>71</v>
      </c>
      <c r="E43" s="20" t="s">
        <v>57</v>
      </c>
      <c r="F43" s="20" t="s">
        <v>72</v>
      </c>
      <c r="G43" s="20" t="s">
        <v>55</v>
      </c>
      <c r="L43" s="60" t="s">
        <v>131</v>
      </c>
      <c r="M43" s="20"/>
      <c r="N43" s="22" t="s">
        <v>132</v>
      </c>
    </row>
    <row r="44" spans="3:14" ht="15" customHeight="1" x14ac:dyDescent="0.25">
      <c r="D44" s="1" t="s">
        <v>73</v>
      </c>
      <c r="E44" s="20" t="s">
        <v>57</v>
      </c>
      <c r="F44" s="20" t="s">
        <v>74</v>
      </c>
      <c r="G44" s="20" t="s">
        <v>55</v>
      </c>
      <c r="L44" s="25">
        <v>49299</v>
      </c>
      <c r="M44" s="26"/>
      <c r="N44" s="25">
        <v>49481</v>
      </c>
    </row>
    <row r="46" spans="3:14" ht="15" customHeight="1" x14ac:dyDescent="0.25">
      <c r="D46" s="38" t="s">
        <v>75</v>
      </c>
      <c r="E46" s="18" t="s">
        <v>41</v>
      </c>
      <c r="F46" s="18" t="s">
        <v>42</v>
      </c>
      <c r="G46" s="18" t="s">
        <v>43</v>
      </c>
    </row>
    <row r="47" spans="3:14" ht="15" customHeight="1" x14ac:dyDescent="0.25">
      <c r="N47" s="63"/>
    </row>
    <row r="48" spans="3:14" ht="15" customHeight="1" x14ac:dyDescent="0.25">
      <c r="D48" s="61">
        <v>45747</v>
      </c>
      <c r="E48" s="20" t="s">
        <v>57</v>
      </c>
      <c r="F48" s="20" t="s">
        <v>54</v>
      </c>
      <c r="G48" s="20" t="s">
        <v>76</v>
      </c>
      <c r="L48" s="30">
        <v>4.3819999999999997</v>
      </c>
      <c r="N48" s="30">
        <v>4.4189999999999996</v>
      </c>
    </row>
    <row r="49" spans="4:14" ht="15" customHeight="1" x14ac:dyDescent="0.25">
      <c r="D49" s="61">
        <v>45748</v>
      </c>
      <c r="E49" s="20" t="s">
        <v>57</v>
      </c>
      <c r="F49" s="20" t="s">
        <v>54</v>
      </c>
      <c r="G49" s="20" t="s">
        <v>76</v>
      </c>
      <c r="L49" s="30">
        <v>4.3710000000000004</v>
      </c>
      <c r="N49" s="30">
        <v>4.4080000000000004</v>
      </c>
    </row>
    <row r="50" spans="4:14" ht="15" customHeight="1" x14ac:dyDescent="0.25">
      <c r="D50" s="61">
        <v>45749</v>
      </c>
      <c r="E50" s="20" t="s">
        <v>57</v>
      </c>
      <c r="F50" s="20" t="s">
        <v>54</v>
      </c>
      <c r="G50" s="20" t="s">
        <v>76</v>
      </c>
      <c r="L50" s="30">
        <v>4.3769999999999998</v>
      </c>
      <c r="N50" s="30">
        <v>4.4139999999999997</v>
      </c>
    </row>
    <row r="51" spans="4:14" ht="15" customHeight="1" x14ac:dyDescent="0.25">
      <c r="D51" s="61">
        <v>45750</v>
      </c>
      <c r="E51" s="20" t="s">
        <v>57</v>
      </c>
      <c r="F51" s="20" t="s">
        <v>54</v>
      </c>
      <c r="G51" s="20" t="s">
        <v>76</v>
      </c>
      <c r="L51" s="30">
        <v>4.2220000000000004</v>
      </c>
      <c r="N51" s="30">
        <v>4.258</v>
      </c>
    </row>
    <row r="52" spans="4:14" ht="15" customHeight="1" x14ac:dyDescent="0.25">
      <c r="D52" s="61">
        <v>45751</v>
      </c>
      <c r="E52" s="20" t="s">
        <v>57</v>
      </c>
      <c r="F52" s="20" t="s">
        <v>54</v>
      </c>
      <c r="G52" s="20" t="s">
        <v>76</v>
      </c>
      <c r="L52" s="30">
        <v>4.1790000000000003</v>
      </c>
      <c r="N52" s="30">
        <v>4.2140000000000004</v>
      </c>
    </row>
    <row r="53" spans="4:14" ht="15" customHeight="1" x14ac:dyDescent="0.25">
      <c r="D53" s="61">
        <v>45754</v>
      </c>
      <c r="E53" s="20" t="s">
        <v>57</v>
      </c>
      <c r="F53" s="20" t="s">
        <v>54</v>
      </c>
      <c r="G53" s="20" t="s">
        <v>76</v>
      </c>
      <c r="L53" s="30">
        <v>4.0599999999999996</v>
      </c>
      <c r="N53" s="30">
        <v>4.0960000000000001</v>
      </c>
    </row>
    <row r="54" spans="4:14" ht="15" customHeight="1" x14ac:dyDescent="0.25">
      <c r="D54" s="61">
        <v>45755</v>
      </c>
      <c r="E54" s="20" t="s">
        <v>57</v>
      </c>
      <c r="F54" s="20" t="s">
        <v>54</v>
      </c>
      <c r="G54" s="20" t="s">
        <v>76</v>
      </c>
      <c r="L54" s="30">
        <v>4.2</v>
      </c>
      <c r="N54" s="30">
        <v>4.2380000000000004</v>
      </c>
    </row>
    <row r="55" spans="4:14" ht="15" customHeight="1" x14ac:dyDescent="0.25">
      <c r="D55" s="61">
        <v>45756</v>
      </c>
      <c r="E55" s="20" t="s">
        <v>57</v>
      </c>
      <c r="F55" s="20" t="s">
        <v>54</v>
      </c>
      <c r="G55" s="20" t="s">
        <v>76</v>
      </c>
      <c r="L55" s="30">
        <v>4.351</v>
      </c>
      <c r="N55" s="30">
        <v>4.3940000000000001</v>
      </c>
    </row>
    <row r="56" spans="4:14" ht="15" customHeight="1" x14ac:dyDescent="0.25">
      <c r="D56" s="61">
        <v>45757</v>
      </c>
      <c r="E56" s="20" t="s">
        <v>57</v>
      </c>
      <c r="F56" s="20" t="s">
        <v>54</v>
      </c>
      <c r="G56" s="20" t="s">
        <v>76</v>
      </c>
      <c r="L56" s="30">
        <v>4.2869999999999999</v>
      </c>
      <c r="N56" s="30">
        <v>4.3289999999999997</v>
      </c>
    </row>
    <row r="57" spans="4:14" ht="15" customHeight="1" x14ac:dyDescent="0.25">
      <c r="D57" s="61">
        <v>45758</v>
      </c>
      <c r="E57" s="20" t="s">
        <v>57</v>
      </c>
      <c r="F57" s="20" t="s">
        <v>54</v>
      </c>
      <c r="G57" s="20" t="s">
        <v>76</v>
      </c>
      <c r="L57" s="30">
        <v>4.3479999999999999</v>
      </c>
      <c r="N57" s="30">
        <v>4.3970000000000002</v>
      </c>
    </row>
    <row r="58" spans="4:14" ht="15" customHeight="1" x14ac:dyDescent="0.25">
      <c r="D58" s="61">
        <v>45761</v>
      </c>
      <c r="E58" s="20" t="s">
        <v>57</v>
      </c>
      <c r="F58" s="20" t="s">
        <v>54</v>
      </c>
      <c r="G58" s="20" t="s">
        <v>76</v>
      </c>
      <c r="L58" s="30">
        <v>4.3499999999999996</v>
      </c>
      <c r="N58" s="30">
        <v>4.4009999999999998</v>
      </c>
    </row>
    <row r="59" spans="4:14" ht="15" customHeight="1" x14ac:dyDescent="0.25">
      <c r="D59" s="61">
        <v>45762</v>
      </c>
      <c r="E59" s="20" t="s">
        <v>57</v>
      </c>
      <c r="F59" s="20" t="s">
        <v>54</v>
      </c>
      <c r="G59" s="20" t="s">
        <v>76</v>
      </c>
      <c r="L59" s="30">
        <v>4.3</v>
      </c>
      <c r="N59" s="30">
        <v>4.351</v>
      </c>
    </row>
    <row r="60" spans="4:14" ht="15" customHeight="1" x14ac:dyDescent="0.25">
      <c r="D60" s="61">
        <v>45763</v>
      </c>
      <c r="E60" s="20" t="s">
        <v>57</v>
      </c>
      <c r="F60" s="20" t="s">
        <v>54</v>
      </c>
      <c r="G60" s="20" t="s">
        <v>76</v>
      </c>
      <c r="L60" s="30">
        <v>4.2910000000000004</v>
      </c>
      <c r="N60" s="30">
        <v>4.3419999999999996</v>
      </c>
    </row>
    <row r="61" spans="4:14" ht="15" customHeight="1" x14ac:dyDescent="0.25">
      <c r="D61" s="61">
        <v>45764</v>
      </c>
      <c r="E61" s="20" t="s">
        <v>57</v>
      </c>
      <c r="F61" s="20" t="s">
        <v>54</v>
      </c>
      <c r="G61" s="20" t="s">
        <v>76</v>
      </c>
      <c r="L61" s="30">
        <v>4.2320000000000002</v>
      </c>
      <c r="N61" s="30">
        <v>4.282</v>
      </c>
    </row>
    <row r="62" spans="4:14" ht="15" customHeight="1" x14ac:dyDescent="0.25">
      <c r="D62" s="61">
        <v>45769</v>
      </c>
      <c r="E62" s="20" t="s">
        <v>57</v>
      </c>
      <c r="F62" s="20" t="s">
        <v>54</v>
      </c>
      <c r="G62" s="20" t="s">
        <v>76</v>
      </c>
      <c r="L62" s="30">
        <v>4.2060000000000004</v>
      </c>
      <c r="N62" s="30">
        <v>4.2590000000000003</v>
      </c>
    </row>
    <row r="63" spans="4:14" ht="15" customHeight="1" x14ac:dyDescent="0.25">
      <c r="D63" s="61">
        <v>45770</v>
      </c>
      <c r="E63" s="20" t="s">
        <v>57</v>
      </c>
      <c r="F63" s="20" t="s">
        <v>54</v>
      </c>
      <c r="G63" s="20" t="s">
        <v>76</v>
      </c>
      <c r="L63" s="30">
        <v>4.2119999999999997</v>
      </c>
      <c r="N63" s="30">
        <v>4.2640000000000002</v>
      </c>
    </row>
    <row r="64" spans="4:14" ht="15" customHeight="1" x14ac:dyDescent="0.25">
      <c r="D64" s="61">
        <v>45771</v>
      </c>
      <c r="E64" s="20" t="s">
        <v>57</v>
      </c>
      <c r="F64" s="20" t="s">
        <v>54</v>
      </c>
      <c r="G64" s="20" t="s">
        <v>76</v>
      </c>
      <c r="L64" s="30">
        <v>4.1829999999999998</v>
      </c>
      <c r="N64" s="30">
        <v>4.234</v>
      </c>
    </row>
    <row r="65" spans="3:20" ht="15" customHeight="1" x14ac:dyDescent="0.25">
      <c r="D65" s="61">
        <v>45775</v>
      </c>
      <c r="E65" s="20" t="s">
        <v>57</v>
      </c>
      <c r="F65" s="20" t="s">
        <v>54</v>
      </c>
      <c r="G65" s="20" t="s">
        <v>76</v>
      </c>
      <c r="L65" s="30">
        <v>4.1180000000000003</v>
      </c>
      <c r="N65" s="30">
        <v>4.1680000000000001</v>
      </c>
    </row>
    <row r="66" spans="3:20" ht="15" customHeight="1" x14ac:dyDescent="0.25">
      <c r="D66" s="61">
        <v>45776</v>
      </c>
      <c r="E66" s="20" t="s">
        <v>57</v>
      </c>
      <c r="F66" s="20" t="s">
        <v>54</v>
      </c>
      <c r="G66" s="20" t="s">
        <v>76</v>
      </c>
      <c r="L66" s="30">
        <v>4.1379999999999999</v>
      </c>
      <c r="N66" s="30">
        <v>4.1890000000000001</v>
      </c>
    </row>
    <row r="67" spans="3:20" ht="15" customHeight="1" x14ac:dyDescent="0.25">
      <c r="D67" s="61">
        <v>45777</v>
      </c>
      <c r="E67" s="20" t="s">
        <v>57</v>
      </c>
      <c r="F67" s="20" t="s">
        <v>54</v>
      </c>
      <c r="G67" s="20" t="s">
        <v>76</v>
      </c>
      <c r="L67" s="30">
        <v>4.1120000000000001</v>
      </c>
      <c r="N67" s="30">
        <v>4.1630000000000003</v>
      </c>
    </row>
    <row r="68" spans="3:20" ht="15" customHeight="1" x14ac:dyDescent="0.25">
      <c r="D68" s="61"/>
      <c r="E68" s="20"/>
      <c r="F68" s="20"/>
      <c r="G68" s="20"/>
      <c r="L68" s="22"/>
      <c r="N68" s="22"/>
    </row>
    <row r="70" spans="3:20" s="2" customFormat="1" ht="15" customHeight="1" x14ac:dyDescent="0.25">
      <c r="C70" s="14" t="s">
        <v>77</v>
      </c>
    </row>
    <row r="72" spans="3:20" ht="15" customHeight="1" x14ac:dyDescent="0.25">
      <c r="D72" s="38" t="s">
        <v>78</v>
      </c>
      <c r="E72" s="39" t="s">
        <v>41</v>
      </c>
      <c r="F72" s="39" t="s">
        <v>42</v>
      </c>
      <c r="G72" s="39" t="s">
        <v>43</v>
      </c>
      <c r="I72" s="18" t="s">
        <v>79</v>
      </c>
      <c r="J72" s="18" t="s">
        <v>80</v>
      </c>
      <c r="K72" s="18" t="s">
        <v>81</v>
      </c>
      <c r="L72" s="19" t="s">
        <v>44</v>
      </c>
      <c r="M72" s="18" t="s">
        <v>45</v>
      </c>
      <c r="N72" s="18" t="s">
        <v>46</v>
      </c>
      <c r="O72" s="18" t="s">
        <v>47</v>
      </c>
      <c r="P72" s="18" t="s">
        <v>48</v>
      </c>
      <c r="Q72" s="18" t="s">
        <v>49</v>
      </c>
      <c r="R72" s="18" t="s">
        <v>50</v>
      </c>
      <c r="S72" s="18" t="s">
        <v>51</v>
      </c>
      <c r="T72" s="18" t="s">
        <v>99</v>
      </c>
    </row>
    <row r="73" spans="3:20" ht="15" customHeight="1" x14ac:dyDescent="0.3">
      <c r="I73" s="28" t="s">
        <v>52</v>
      </c>
      <c r="J73" s="28" t="s">
        <v>52</v>
      </c>
      <c r="K73" s="28" t="s">
        <v>52</v>
      </c>
      <c r="L73" s="28" t="s">
        <v>52</v>
      </c>
      <c r="M73" s="28" t="s">
        <v>52</v>
      </c>
      <c r="N73" s="28" t="s">
        <v>52</v>
      </c>
      <c r="O73" s="28" t="s">
        <v>52</v>
      </c>
      <c r="P73" s="28" t="s">
        <v>52</v>
      </c>
      <c r="Q73" s="28" t="s">
        <v>52</v>
      </c>
      <c r="R73" s="28" t="s">
        <v>52</v>
      </c>
      <c r="S73" s="28" t="s">
        <v>52</v>
      </c>
      <c r="T73" s="28" t="s">
        <v>137</v>
      </c>
    </row>
    <row r="74" spans="3:20" ht="15" customHeight="1" x14ac:dyDescent="0.25">
      <c r="D74" s="1" t="s">
        <v>82</v>
      </c>
      <c r="E74" s="20" t="s">
        <v>69</v>
      </c>
      <c r="F74" s="20" t="s">
        <v>54</v>
      </c>
      <c r="G74" s="20" t="s">
        <v>76</v>
      </c>
      <c r="I74" s="29">
        <v>5.2858915619497404E-2</v>
      </c>
      <c r="J74" s="29">
        <v>5.5333839464523152E-2</v>
      </c>
      <c r="K74" s="29">
        <v>4.9360163014238526E-2</v>
      </c>
      <c r="L74" s="29">
        <v>4.3874599272321485E-2</v>
      </c>
      <c r="M74" s="29">
        <v>4.7585465343845036E-2</v>
      </c>
      <c r="N74" s="29">
        <v>3.0646730965704104E-2</v>
      </c>
      <c r="O74" s="29">
        <v>2.0984205036032044E-2</v>
      </c>
      <c r="P74" s="29">
        <v>3.48518232890642E-2</v>
      </c>
      <c r="Q74" s="29">
        <v>6.6892955643151605E-2</v>
      </c>
      <c r="R74" s="29">
        <v>6.5589091434088906E-2</v>
      </c>
      <c r="S74" s="29">
        <v>5.9153161590247187E-2</v>
      </c>
      <c r="T74" s="23"/>
    </row>
    <row r="75" spans="3:20" ht="15" customHeight="1" x14ac:dyDescent="0.25">
      <c r="D75" s="1" t="s">
        <v>83</v>
      </c>
      <c r="E75" s="1" t="s">
        <v>58</v>
      </c>
      <c r="F75" s="20" t="s">
        <v>54</v>
      </c>
      <c r="G75" s="20" t="s">
        <v>76</v>
      </c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9">
        <v>5.8290215034038209E-2</v>
      </c>
    </row>
    <row r="76" spans="3:20" ht="15" customHeight="1" x14ac:dyDescent="0.25">
      <c r="F76" s="20"/>
      <c r="G76" s="20"/>
    </row>
    <row r="77" spans="3:20" ht="15" customHeight="1" x14ac:dyDescent="0.25">
      <c r="D77" s="5"/>
    </row>
    <row r="78" spans="3:20" ht="15" customHeight="1" x14ac:dyDescent="0.25">
      <c r="F78" s="20"/>
      <c r="G78" s="20"/>
    </row>
    <row r="79" spans="3:20" s="2" customFormat="1" ht="15" customHeight="1" x14ac:dyDescent="0.25">
      <c r="C79" s="14" t="s">
        <v>84</v>
      </c>
    </row>
    <row r="80" spans="3:20" ht="15" customHeight="1" x14ac:dyDescent="0.25">
      <c r="F80" s="20"/>
      <c r="G80" s="20"/>
    </row>
    <row r="81" spans="3:13" ht="15" customHeight="1" x14ac:dyDescent="0.25">
      <c r="D81" s="17" t="s">
        <v>85</v>
      </c>
      <c r="E81" s="18" t="s">
        <v>41</v>
      </c>
      <c r="F81" s="18" t="s">
        <v>42</v>
      </c>
      <c r="G81" s="18" t="s">
        <v>43</v>
      </c>
      <c r="J81" s="18" t="s">
        <v>65</v>
      </c>
      <c r="L81" s="18" t="s">
        <v>86</v>
      </c>
      <c r="M81" s="18" t="s">
        <v>87</v>
      </c>
    </row>
    <row r="83" spans="3:13" ht="15" customHeight="1" x14ac:dyDescent="0.25">
      <c r="D83" s="1" t="s">
        <v>88</v>
      </c>
      <c r="E83" s="40" t="s">
        <v>69</v>
      </c>
      <c r="F83" s="41" t="s">
        <v>54</v>
      </c>
      <c r="G83" s="41" t="s">
        <v>76</v>
      </c>
      <c r="J83" s="29">
        <v>0.1</v>
      </c>
    </row>
    <row r="84" spans="3:13" ht="15" customHeight="1" x14ac:dyDescent="0.25">
      <c r="D84" s="1" t="s">
        <v>89</v>
      </c>
      <c r="E84" s="40" t="s">
        <v>69</v>
      </c>
      <c r="F84" s="41" t="s">
        <v>54</v>
      </c>
      <c r="G84" s="41" t="s">
        <v>76</v>
      </c>
      <c r="L84" s="29">
        <v>0.66666666666666696</v>
      </c>
      <c r="M84" s="29">
        <f>1-L84</f>
        <v>0.33333333333333304</v>
      </c>
    </row>
    <row r="86" spans="3:13" s="2" customFormat="1" ht="15" customHeight="1" x14ac:dyDescent="0.25">
      <c r="C86" s="14" t="s">
        <v>90</v>
      </c>
    </row>
    <row r="88" spans="3:13" ht="15" customHeight="1" x14ac:dyDescent="0.25">
      <c r="D88" s="17" t="s">
        <v>85</v>
      </c>
      <c r="E88" s="18" t="s">
        <v>41</v>
      </c>
      <c r="F88" s="18" t="s">
        <v>42</v>
      </c>
      <c r="G88" s="18" t="s">
        <v>43</v>
      </c>
      <c r="J88" s="18" t="s">
        <v>65</v>
      </c>
    </row>
    <row r="90" spans="3:13" ht="15" customHeight="1" x14ac:dyDescent="0.25">
      <c r="D90" s="1" t="s">
        <v>91</v>
      </c>
      <c r="E90" s="20" t="s">
        <v>69</v>
      </c>
      <c r="F90" s="20" t="s">
        <v>54</v>
      </c>
      <c r="G90" s="20" t="s">
        <v>55</v>
      </c>
      <c r="J90" s="29">
        <v>6.2E-2</v>
      </c>
    </row>
    <row r="91" spans="3:13" ht="15" customHeight="1" x14ac:dyDescent="0.25">
      <c r="D91" s="1" t="s">
        <v>92</v>
      </c>
      <c r="E91" s="20" t="s">
        <v>69</v>
      </c>
      <c r="F91" s="20" t="s">
        <v>54</v>
      </c>
      <c r="G91" s="20" t="s">
        <v>55</v>
      </c>
      <c r="J91" s="29">
        <v>0.6</v>
      </c>
    </row>
    <row r="93" spans="3:13" s="2" customFormat="1" ht="15" customHeight="1" x14ac:dyDescent="0.25">
      <c r="C93" s="14" t="s">
        <v>93</v>
      </c>
    </row>
    <row r="95" spans="3:13" ht="15" customHeight="1" x14ac:dyDescent="0.25">
      <c r="D95" s="17" t="s">
        <v>94</v>
      </c>
      <c r="E95" s="18" t="s">
        <v>41</v>
      </c>
      <c r="F95" s="18" t="s">
        <v>42</v>
      </c>
      <c r="G95" s="18" t="s">
        <v>43</v>
      </c>
      <c r="J95" s="18" t="s">
        <v>65</v>
      </c>
    </row>
    <row r="97" spans="3:10" ht="15" customHeight="1" x14ac:dyDescent="0.25">
      <c r="D97" s="1" t="s">
        <v>95</v>
      </c>
      <c r="E97" s="20" t="s">
        <v>69</v>
      </c>
      <c r="F97" s="20" t="s">
        <v>54</v>
      </c>
      <c r="G97" s="20" t="s">
        <v>55</v>
      </c>
      <c r="J97" s="22">
        <v>0.6</v>
      </c>
    </row>
    <row r="98" spans="3:10" ht="15" customHeight="1" x14ac:dyDescent="0.25">
      <c r="D98" s="1" t="s">
        <v>96</v>
      </c>
      <c r="E98" s="20" t="s">
        <v>69</v>
      </c>
      <c r="F98" s="20" t="s">
        <v>54</v>
      </c>
      <c r="G98" s="20" t="s">
        <v>55</v>
      </c>
      <c r="J98" s="22">
        <v>0.56999999999999995</v>
      </c>
    </row>
    <row r="99" spans="3:10" ht="15" customHeight="1" x14ac:dyDescent="0.25">
      <c r="D99" s="1" t="s">
        <v>97</v>
      </c>
      <c r="E99" s="20" t="s">
        <v>98</v>
      </c>
      <c r="F99" s="20" t="s">
        <v>54</v>
      </c>
      <c r="G99" s="20" t="s">
        <v>55</v>
      </c>
      <c r="J99" s="22">
        <v>0.3</v>
      </c>
    </row>
    <row r="100" spans="3:10" ht="15" customHeight="1" x14ac:dyDescent="0.25">
      <c r="E100" s="20"/>
      <c r="F100" s="20"/>
      <c r="G100" s="20"/>
    </row>
    <row r="102" spans="3:10" s="2" customFormat="1" ht="15" customHeight="1" x14ac:dyDescent="0.25">
      <c r="C102" s="14" t="s">
        <v>25</v>
      </c>
    </row>
  </sheetData>
  <phoneticPr fontId="2" type="noConversion"/>
  <hyperlinks>
    <hyperlink ref="D5" location="Index!A1" display="Index" xr:uid="{A215A7A0-5D47-4CD9-B42A-5515539F397C}"/>
  </hyperlinks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1FF3-AD5E-441A-8333-16DFC125CAD3}">
  <dimension ref="A1:AB64"/>
  <sheetViews>
    <sheetView showGridLines="0" topLeftCell="A30" workbookViewId="0">
      <selection activeCell="C55" sqref="C55"/>
    </sheetView>
  </sheetViews>
  <sheetFormatPr defaultColWidth="9.109375" defaultRowHeight="15" customHeight="1" x14ac:dyDescent="0.25"/>
  <cols>
    <col min="1" max="2" width="2.109375" style="1" customWidth="1"/>
    <col min="3" max="3" width="4.33203125" style="1" customWidth="1"/>
    <col min="4" max="4" width="39.33203125" style="1" customWidth="1"/>
    <col min="5" max="9" width="13.33203125" style="1" customWidth="1"/>
    <col min="10" max="19" width="12.5546875" style="1" customWidth="1"/>
    <col min="20" max="20" width="11.88671875" style="1" bestFit="1" customWidth="1"/>
    <col min="21" max="26" width="12.5546875" style="1" customWidth="1"/>
    <col min="27" max="16384" width="9.109375" style="1"/>
  </cols>
  <sheetData>
    <row r="1" spans="1:20" s="2" customFormat="1" ht="15" customHeight="1" x14ac:dyDescent="0.25">
      <c r="A1" s="1"/>
      <c r="B1" s="1"/>
      <c r="C1" s="1"/>
      <c r="D1" s="1"/>
    </row>
    <row r="2" spans="1:20" s="2" customFormat="1" ht="21" customHeight="1" x14ac:dyDescent="0.4">
      <c r="A2" s="1"/>
      <c r="B2" s="1"/>
      <c r="C2" s="1"/>
      <c r="D2" s="1"/>
      <c r="E2" s="3" t="s">
        <v>37</v>
      </c>
    </row>
    <row r="3" spans="1:20" s="2" customFormat="1" ht="15" customHeight="1" x14ac:dyDescent="0.25">
      <c r="A3" s="1"/>
      <c r="B3" s="1"/>
      <c r="C3" s="1"/>
      <c r="D3" s="4"/>
    </row>
    <row r="5" spans="1:20" ht="15" customHeight="1" x14ac:dyDescent="0.25">
      <c r="D5" s="47" t="s">
        <v>0</v>
      </c>
    </row>
    <row r="6" spans="1:20" ht="15" customHeight="1" x14ac:dyDescent="0.25">
      <c r="D6" s="5" t="str">
        <f>Cover!D6</f>
        <v>Rate of Return Model - Evoenergy</v>
      </c>
    </row>
    <row r="7" spans="1:20" ht="15" customHeight="1" x14ac:dyDescent="0.25">
      <c r="D7" s="5" t="str">
        <f>Cover!D7</f>
        <v>2026-2031 Access Arrangement Proposal</v>
      </c>
    </row>
    <row r="9" spans="1:20" s="2" customFormat="1" ht="15" customHeight="1" x14ac:dyDescent="0.25">
      <c r="C9" s="14" t="s">
        <v>138</v>
      </c>
    </row>
    <row r="11" spans="1:20" ht="15" customHeight="1" x14ac:dyDescent="0.25">
      <c r="D11" s="5" t="s">
        <v>104</v>
      </c>
    </row>
    <row r="12" spans="1:20" ht="15" customHeight="1" x14ac:dyDescent="0.25">
      <c r="J12" s="65" t="str">
        <f>'1. Inputs'!L43</f>
        <v>FCMYDEC34D</v>
      </c>
      <c r="K12" s="65"/>
      <c r="M12" s="65" t="str">
        <f>'1. Inputs'!N43</f>
        <v>FCMYJUN35D</v>
      </c>
      <c r="N12" s="65"/>
      <c r="Q12" s="66" t="s">
        <v>105</v>
      </c>
      <c r="R12" s="66"/>
      <c r="S12" s="44" t="s">
        <v>106</v>
      </c>
    </row>
    <row r="13" spans="1:20" ht="15" customHeight="1" x14ac:dyDescent="0.25">
      <c r="D13" s="17" t="s">
        <v>107</v>
      </c>
      <c r="E13" s="18" t="s">
        <v>41</v>
      </c>
      <c r="F13" s="18" t="s">
        <v>42</v>
      </c>
      <c r="G13" s="18" t="s">
        <v>43</v>
      </c>
      <c r="H13" s="5"/>
      <c r="I13" s="5"/>
      <c r="J13" s="18" t="s">
        <v>74</v>
      </c>
      <c r="K13" s="18" t="s">
        <v>108</v>
      </c>
      <c r="M13" s="18" t="s">
        <v>74</v>
      </c>
      <c r="N13" s="18" t="s">
        <v>108</v>
      </c>
      <c r="P13" s="18" t="s">
        <v>74</v>
      </c>
      <c r="Q13" s="18" t="str">
        <f>J12</f>
        <v>FCMYDEC34D</v>
      </c>
      <c r="R13" s="18" t="str">
        <f>M12</f>
        <v>FCMYJUN35D</v>
      </c>
      <c r="S13" s="18" t="s">
        <v>109</v>
      </c>
      <c r="T13" s="18" t="s">
        <v>110</v>
      </c>
    </row>
    <row r="14" spans="1:20" ht="15" customHeight="1" x14ac:dyDescent="0.25">
      <c r="D14" s="5"/>
      <c r="E14" s="43"/>
      <c r="F14" s="43"/>
      <c r="G14" s="43"/>
      <c r="H14" s="5"/>
      <c r="I14" s="5"/>
      <c r="J14" s="43"/>
      <c r="K14" s="43"/>
      <c r="M14" s="43"/>
      <c r="N14" s="43"/>
    </row>
    <row r="15" spans="1:20" ht="15" customHeight="1" x14ac:dyDescent="0.25">
      <c r="D15" s="54">
        <f>'1. Inputs'!D48</f>
        <v>45747</v>
      </c>
      <c r="E15" s="20" t="s">
        <v>31</v>
      </c>
      <c r="F15" s="20" t="s">
        <v>54</v>
      </c>
      <c r="G15" s="20" t="s">
        <v>76</v>
      </c>
      <c r="J15" s="53">
        <f>'1. Inputs'!L44</f>
        <v>49299</v>
      </c>
      <c r="K15" s="48">
        <f>'1. Inputs'!L48/100</f>
        <v>4.3819999999999998E-2</v>
      </c>
      <c r="M15" s="53">
        <f>'1. Inputs'!N44</f>
        <v>49481</v>
      </c>
      <c r="N15" s="48">
        <f>'1. Inputs'!N48/100</f>
        <v>4.4189999999999993E-2</v>
      </c>
      <c r="O15" s="20"/>
      <c r="P15" s="52">
        <f>(DATE(YEAR(D15)+'1. Inputs'!$J$42,MONTH(D15),DAY(D15)))</f>
        <v>49399</v>
      </c>
      <c r="Q15" s="51">
        <f>IF(P15&gt;=M15,0,1-(P15-J15)/(M15-J15))</f>
        <v>0.4505494505494505</v>
      </c>
      <c r="R15" s="51">
        <f>1-Q15</f>
        <v>0.5494505494505495</v>
      </c>
      <c r="S15" s="51">
        <f>Q15*K15+R15*N15</f>
        <v>4.4023296703296702E-2</v>
      </c>
      <c r="T15" s="51">
        <f>(1+S15/2)^2-1</f>
        <v>4.4507809366453266E-2</v>
      </c>
    </row>
    <row r="16" spans="1:20" ht="15" customHeight="1" x14ac:dyDescent="0.25">
      <c r="D16" s="54">
        <f>'1. Inputs'!D49</f>
        <v>45748</v>
      </c>
      <c r="E16" s="20" t="s">
        <v>31</v>
      </c>
      <c r="F16" s="20" t="s">
        <v>54</v>
      </c>
      <c r="G16" s="20" t="s">
        <v>76</v>
      </c>
      <c r="J16" s="52">
        <f>J15</f>
        <v>49299</v>
      </c>
      <c r="K16" s="48">
        <f>'1. Inputs'!L49/100</f>
        <v>4.3710000000000006E-2</v>
      </c>
      <c r="L16" s="20"/>
      <c r="M16" s="52">
        <f>M15</f>
        <v>49481</v>
      </c>
      <c r="N16" s="48">
        <f>'1. Inputs'!N49/100</f>
        <v>4.4080000000000001E-2</v>
      </c>
      <c r="O16" s="20"/>
      <c r="P16" s="52">
        <f>(DATE(YEAR(D16)+'1. Inputs'!$J$42,MONTH(D16),DAY(D16)))</f>
        <v>49400</v>
      </c>
      <c r="Q16" s="51">
        <f t="shared" ref="Q16:Q34" si="0">IF(P16&gt;=M16,0,1-(P16-J16)/(M16-J16))</f>
        <v>0.44505494505494503</v>
      </c>
      <c r="R16" s="51">
        <f t="shared" ref="R16:R34" si="1">1-Q16</f>
        <v>0.55494505494505497</v>
      </c>
      <c r="S16" s="51">
        <f t="shared" ref="S16:S34" si="2">Q16*K16+R16*N16</f>
        <v>4.391532967032967E-2</v>
      </c>
      <c r="T16" s="51">
        <f t="shared" ref="T16:T33" si="3">(1+S16/2)^2-1</f>
        <v>4.4397468715343225E-2</v>
      </c>
    </row>
    <row r="17" spans="3:20" ht="15" customHeight="1" x14ac:dyDescent="0.25">
      <c r="D17" s="54">
        <f>'1. Inputs'!D50</f>
        <v>45749</v>
      </c>
      <c r="E17" s="20" t="s">
        <v>31</v>
      </c>
      <c r="F17" s="20" t="s">
        <v>54</v>
      </c>
      <c r="G17" s="20" t="s">
        <v>76</v>
      </c>
      <c r="J17" s="52">
        <f t="shared" ref="J17:J34" si="4">J16</f>
        <v>49299</v>
      </c>
      <c r="K17" s="48">
        <f>'1. Inputs'!L50/100</f>
        <v>4.3769999999999996E-2</v>
      </c>
      <c r="L17" s="20"/>
      <c r="M17" s="52">
        <f t="shared" ref="M17:M34" si="5">M16</f>
        <v>49481</v>
      </c>
      <c r="N17" s="48">
        <f>'1. Inputs'!N50/100</f>
        <v>4.4139999999999999E-2</v>
      </c>
      <c r="O17" s="20"/>
      <c r="P17" s="52">
        <f>(DATE(YEAR(D17)+'1. Inputs'!$J$42,MONTH(D17),DAY(D17)))</f>
        <v>49401</v>
      </c>
      <c r="Q17" s="51">
        <f t="shared" si="0"/>
        <v>0.43956043956043955</v>
      </c>
      <c r="R17" s="51">
        <f t="shared" si="1"/>
        <v>0.56043956043956045</v>
      </c>
      <c r="S17" s="51">
        <f t="shared" si="2"/>
        <v>4.3977362637362634E-2</v>
      </c>
      <c r="T17" s="51">
        <f t="shared" si="3"/>
        <v>4.4460864743497197E-2</v>
      </c>
    </row>
    <row r="18" spans="3:20" ht="15" customHeight="1" x14ac:dyDescent="0.25">
      <c r="D18" s="54">
        <f>'1. Inputs'!D51</f>
        <v>45750</v>
      </c>
      <c r="E18" s="20" t="s">
        <v>31</v>
      </c>
      <c r="F18" s="20" t="s">
        <v>54</v>
      </c>
      <c r="G18" s="20" t="s">
        <v>76</v>
      </c>
      <c r="J18" s="52">
        <f t="shared" si="4"/>
        <v>49299</v>
      </c>
      <c r="K18" s="48">
        <f>'1. Inputs'!L51/100</f>
        <v>4.2220000000000008E-2</v>
      </c>
      <c r="L18" s="20"/>
      <c r="M18" s="52">
        <f t="shared" si="5"/>
        <v>49481</v>
      </c>
      <c r="N18" s="48">
        <f>'1. Inputs'!N51/100</f>
        <v>4.258E-2</v>
      </c>
      <c r="O18" s="20"/>
      <c r="P18" s="52">
        <f>(DATE(YEAR(D18)+'1. Inputs'!$J$42,MONTH(D18),DAY(D18)))</f>
        <v>49402</v>
      </c>
      <c r="Q18" s="51">
        <f t="shared" si="0"/>
        <v>0.43406593406593408</v>
      </c>
      <c r="R18" s="51">
        <f t="shared" si="1"/>
        <v>0.56593406593406592</v>
      </c>
      <c r="S18" s="51">
        <f t="shared" si="2"/>
        <v>4.2423736263736266E-2</v>
      </c>
      <c r="T18" s="51">
        <f t="shared" si="3"/>
        <v>4.2873679613379734E-2</v>
      </c>
    </row>
    <row r="19" spans="3:20" ht="15" customHeight="1" x14ac:dyDescent="0.25">
      <c r="D19" s="54">
        <f>'1. Inputs'!D52</f>
        <v>45751</v>
      </c>
      <c r="E19" s="20" t="s">
        <v>31</v>
      </c>
      <c r="F19" s="20" t="s">
        <v>54</v>
      </c>
      <c r="G19" s="20" t="s">
        <v>76</v>
      </c>
      <c r="J19" s="52">
        <f t="shared" si="4"/>
        <v>49299</v>
      </c>
      <c r="K19" s="48">
        <f>'1. Inputs'!L52/100</f>
        <v>4.1790000000000001E-2</v>
      </c>
      <c r="L19" s="20"/>
      <c r="M19" s="52">
        <f t="shared" si="5"/>
        <v>49481</v>
      </c>
      <c r="N19" s="48">
        <f>'1. Inputs'!N52/100</f>
        <v>4.2140000000000004E-2</v>
      </c>
      <c r="O19" s="20"/>
      <c r="P19" s="52">
        <f>(DATE(YEAR(D19)+'1. Inputs'!$J$42,MONTH(D19),DAY(D19)))</f>
        <v>49403</v>
      </c>
      <c r="Q19" s="51">
        <f t="shared" si="0"/>
        <v>0.4285714285714286</v>
      </c>
      <c r="R19" s="51">
        <f t="shared" si="1"/>
        <v>0.5714285714285714</v>
      </c>
      <c r="S19" s="51">
        <f t="shared" si="2"/>
        <v>4.199E-2</v>
      </c>
      <c r="T19" s="51">
        <f t="shared" si="3"/>
        <v>4.2430790025000276E-2</v>
      </c>
    </row>
    <row r="20" spans="3:20" ht="15" customHeight="1" x14ac:dyDescent="0.25">
      <c r="D20" s="54">
        <f>'1. Inputs'!D53</f>
        <v>45754</v>
      </c>
      <c r="E20" s="20" t="s">
        <v>31</v>
      </c>
      <c r="F20" s="20" t="s">
        <v>54</v>
      </c>
      <c r="G20" s="20" t="s">
        <v>76</v>
      </c>
      <c r="J20" s="52">
        <f t="shared" si="4"/>
        <v>49299</v>
      </c>
      <c r="K20" s="48">
        <f>'1. Inputs'!L53/100</f>
        <v>4.0599999999999997E-2</v>
      </c>
      <c r="L20" s="20"/>
      <c r="M20" s="52">
        <f t="shared" si="5"/>
        <v>49481</v>
      </c>
      <c r="N20" s="48">
        <f>'1. Inputs'!N53/100</f>
        <v>4.0960000000000003E-2</v>
      </c>
      <c r="O20" s="20"/>
      <c r="P20" s="52">
        <f>(DATE(YEAR(D20)+'1. Inputs'!$J$42,MONTH(D20),DAY(D20)))</f>
        <v>49406</v>
      </c>
      <c r="Q20" s="51">
        <f t="shared" si="0"/>
        <v>0.41208791208791207</v>
      </c>
      <c r="R20" s="51">
        <f t="shared" si="1"/>
        <v>0.58791208791208793</v>
      </c>
      <c r="S20" s="51">
        <f t="shared" si="2"/>
        <v>4.0811648351648355E-2</v>
      </c>
      <c r="T20" s="51">
        <f t="shared" si="3"/>
        <v>4.1228046011943187E-2</v>
      </c>
    </row>
    <row r="21" spans="3:20" ht="15" customHeight="1" x14ac:dyDescent="0.25">
      <c r="D21" s="54">
        <f>'1. Inputs'!D54</f>
        <v>45755</v>
      </c>
      <c r="E21" s="20" t="s">
        <v>31</v>
      </c>
      <c r="F21" s="20" t="s">
        <v>54</v>
      </c>
      <c r="G21" s="20" t="s">
        <v>76</v>
      </c>
      <c r="J21" s="52">
        <f t="shared" si="4"/>
        <v>49299</v>
      </c>
      <c r="K21" s="48">
        <f>'1. Inputs'!L54/100</f>
        <v>4.2000000000000003E-2</v>
      </c>
      <c r="L21" s="20"/>
      <c r="M21" s="52">
        <f t="shared" si="5"/>
        <v>49481</v>
      </c>
      <c r="N21" s="48">
        <f>'1. Inputs'!N54/100</f>
        <v>4.2380000000000001E-2</v>
      </c>
      <c r="O21" s="20"/>
      <c r="P21" s="52">
        <f>(DATE(YEAR(D21)+'1. Inputs'!$J$42,MONTH(D21),DAY(D21)))</f>
        <v>49407</v>
      </c>
      <c r="Q21" s="51">
        <f t="shared" si="0"/>
        <v>0.40659340659340659</v>
      </c>
      <c r="R21" s="51">
        <f t="shared" si="1"/>
        <v>0.59340659340659341</v>
      </c>
      <c r="S21" s="51">
        <f t="shared" si="2"/>
        <v>4.222549450549451E-2</v>
      </c>
      <c r="T21" s="51">
        <f t="shared" si="3"/>
        <v>4.2671242602052795E-2</v>
      </c>
    </row>
    <row r="22" spans="3:20" ht="15" customHeight="1" x14ac:dyDescent="0.25">
      <c r="D22" s="54">
        <f>'1. Inputs'!D55</f>
        <v>45756</v>
      </c>
      <c r="E22" s="20" t="s">
        <v>31</v>
      </c>
      <c r="F22" s="20" t="s">
        <v>54</v>
      </c>
      <c r="G22" s="20" t="s">
        <v>76</v>
      </c>
      <c r="J22" s="52">
        <f t="shared" si="4"/>
        <v>49299</v>
      </c>
      <c r="K22" s="48">
        <f>'1. Inputs'!L55/100</f>
        <v>4.351E-2</v>
      </c>
      <c r="L22" s="20"/>
      <c r="M22" s="52">
        <f t="shared" si="5"/>
        <v>49481</v>
      </c>
      <c r="N22" s="48">
        <f>'1. Inputs'!N55/100</f>
        <v>4.394E-2</v>
      </c>
      <c r="O22" s="20"/>
      <c r="P22" s="52">
        <f>(DATE(YEAR(D22)+'1. Inputs'!$J$42,MONTH(D22),DAY(D22)))</f>
        <v>49408</v>
      </c>
      <c r="Q22" s="51">
        <f t="shared" si="0"/>
        <v>0.40109890109890112</v>
      </c>
      <c r="R22" s="51">
        <f t="shared" si="1"/>
        <v>0.59890109890109888</v>
      </c>
      <c r="S22" s="51">
        <f t="shared" si="2"/>
        <v>4.3767527472527476E-2</v>
      </c>
      <c r="T22" s="51">
        <f t="shared" si="3"/>
        <v>4.4246426587791987E-2</v>
      </c>
    </row>
    <row r="23" spans="3:20" ht="15" customHeight="1" x14ac:dyDescent="0.25">
      <c r="D23" s="54">
        <f>'1. Inputs'!D56</f>
        <v>45757</v>
      </c>
      <c r="E23" s="20" t="s">
        <v>31</v>
      </c>
      <c r="F23" s="20" t="s">
        <v>54</v>
      </c>
      <c r="G23" s="20" t="s">
        <v>76</v>
      </c>
      <c r="J23" s="52">
        <f t="shared" si="4"/>
        <v>49299</v>
      </c>
      <c r="K23" s="48">
        <f>'1. Inputs'!L56/100</f>
        <v>4.2869999999999998E-2</v>
      </c>
      <c r="L23" s="20"/>
      <c r="M23" s="52">
        <f t="shared" si="5"/>
        <v>49481</v>
      </c>
      <c r="N23" s="48">
        <f>'1. Inputs'!N56/100</f>
        <v>4.3289999999999995E-2</v>
      </c>
      <c r="O23" s="20"/>
      <c r="P23" s="52">
        <f>(DATE(YEAR(D23)+'1. Inputs'!$J$42,MONTH(D23),DAY(D23)))</f>
        <v>49409</v>
      </c>
      <c r="Q23" s="51">
        <f t="shared" si="0"/>
        <v>0.39560439560439564</v>
      </c>
      <c r="R23" s="51">
        <f t="shared" si="1"/>
        <v>0.60439560439560436</v>
      </c>
      <c r="S23" s="51">
        <f t="shared" si="2"/>
        <v>4.3123846153846151E-2</v>
      </c>
      <c r="T23" s="51">
        <f t="shared" si="3"/>
        <v>4.3588762680621285E-2</v>
      </c>
    </row>
    <row r="24" spans="3:20" ht="15" customHeight="1" x14ac:dyDescent="0.25">
      <c r="D24" s="54">
        <f>'1. Inputs'!D57</f>
        <v>45758</v>
      </c>
      <c r="E24" s="20" t="s">
        <v>31</v>
      </c>
      <c r="F24" s="20" t="s">
        <v>54</v>
      </c>
      <c r="G24" s="20" t="s">
        <v>76</v>
      </c>
      <c r="J24" s="52">
        <f t="shared" si="4"/>
        <v>49299</v>
      </c>
      <c r="K24" s="48">
        <f>'1. Inputs'!L57/100</f>
        <v>4.3479999999999998E-2</v>
      </c>
      <c r="L24" s="20"/>
      <c r="M24" s="52">
        <f t="shared" si="5"/>
        <v>49481</v>
      </c>
      <c r="N24" s="48">
        <f>'1. Inputs'!N57/100</f>
        <v>4.3970000000000002E-2</v>
      </c>
      <c r="O24" s="20"/>
      <c r="P24" s="52">
        <f>(DATE(YEAR(D24)+'1. Inputs'!$J$42,MONTH(D24),DAY(D24)))</f>
        <v>49410</v>
      </c>
      <c r="Q24" s="51">
        <f t="shared" si="0"/>
        <v>0.39010989010989006</v>
      </c>
      <c r="R24" s="51">
        <f t="shared" si="1"/>
        <v>0.60989010989010994</v>
      </c>
      <c r="S24" s="51">
        <f t="shared" si="2"/>
        <v>4.3778846153846154E-2</v>
      </c>
      <c r="T24" s="51">
        <f t="shared" si="3"/>
        <v>4.4257992996486806E-2</v>
      </c>
    </row>
    <row r="25" spans="3:20" ht="15" customHeight="1" x14ac:dyDescent="0.25">
      <c r="C25" s="5"/>
      <c r="D25" s="54">
        <f>'1. Inputs'!D58</f>
        <v>45761</v>
      </c>
      <c r="E25" s="20" t="s">
        <v>31</v>
      </c>
      <c r="F25" s="20" t="s">
        <v>54</v>
      </c>
      <c r="G25" s="20" t="s">
        <v>76</v>
      </c>
      <c r="J25" s="52">
        <f t="shared" si="4"/>
        <v>49299</v>
      </c>
      <c r="K25" s="48">
        <f>'1. Inputs'!L58/100</f>
        <v>4.3499999999999997E-2</v>
      </c>
      <c r="L25" s="20"/>
      <c r="M25" s="52">
        <f t="shared" si="5"/>
        <v>49481</v>
      </c>
      <c r="N25" s="48">
        <f>'1. Inputs'!N58/100</f>
        <v>4.4010000000000001E-2</v>
      </c>
      <c r="O25" s="20"/>
      <c r="P25" s="52">
        <f>(DATE(YEAR(D25)+'1. Inputs'!$J$42,MONTH(D25),DAY(D25)))</f>
        <v>49413</v>
      </c>
      <c r="Q25" s="51">
        <f t="shared" si="0"/>
        <v>0.37362637362637363</v>
      </c>
      <c r="R25" s="51">
        <f t="shared" si="1"/>
        <v>0.62637362637362637</v>
      </c>
      <c r="S25" s="51">
        <f t="shared" si="2"/>
        <v>4.381945054945055E-2</v>
      </c>
      <c r="T25" s="51">
        <f t="shared" si="3"/>
        <v>4.4299486611064642E-2</v>
      </c>
    </row>
    <row r="26" spans="3:20" ht="15" customHeight="1" x14ac:dyDescent="0.25">
      <c r="D26" s="54">
        <f>'1. Inputs'!D59</f>
        <v>45762</v>
      </c>
      <c r="E26" s="20" t="s">
        <v>31</v>
      </c>
      <c r="F26" s="20" t="s">
        <v>54</v>
      </c>
      <c r="G26" s="20" t="s">
        <v>76</v>
      </c>
      <c r="J26" s="52">
        <f t="shared" si="4"/>
        <v>49299</v>
      </c>
      <c r="K26" s="48">
        <f>'1. Inputs'!L59/100</f>
        <v>4.2999999999999997E-2</v>
      </c>
      <c r="L26" s="20"/>
      <c r="M26" s="52">
        <f t="shared" si="5"/>
        <v>49481</v>
      </c>
      <c r="N26" s="48">
        <f>'1. Inputs'!N59/100</f>
        <v>4.351E-2</v>
      </c>
      <c r="O26" s="20"/>
      <c r="P26" s="52">
        <f>(DATE(YEAR(D26)+'1. Inputs'!$J$42,MONTH(D26),DAY(D26)))</f>
        <v>49414</v>
      </c>
      <c r="Q26" s="51">
        <f t="shared" si="0"/>
        <v>0.36813186813186816</v>
      </c>
      <c r="R26" s="51">
        <f t="shared" si="1"/>
        <v>0.63186813186813184</v>
      </c>
      <c r="S26" s="51">
        <f t="shared" si="2"/>
        <v>4.3322252747252751E-2</v>
      </c>
      <c r="T26" s="51">
        <f t="shared" si="3"/>
        <v>4.3791457143026902E-2</v>
      </c>
    </row>
    <row r="27" spans="3:20" ht="15" customHeight="1" x14ac:dyDescent="0.25">
      <c r="D27" s="54">
        <f>'1. Inputs'!D60</f>
        <v>45763</v>
      </c>
      <c r="E27" s="20" t="s">
        <v>31</v>
      </c>
      <c r="F27" s="20" t="s">
        <v>54</v>
      </c>
      <c r="G27" s="20" t="s">
        <v>76</v>
      </c>
      <c r="H27" s="5"/>
      <c r="I27" s="5"/>
      <c r="J27" s="52">
        <f t="shared" si="4"/>
        <v>49299</v>
      </c>
      <c r="K27" s="48">
        <f>'1. Inputs'!L60/100</f>
        <v>4.2910000000000004E-2</v>
      </c>
      <c r="L27" s="20"/>
      <c r="M27" s="52">
        <f t="shared" si="5"/>
        <v>49481</v>
      </c>
      <c r="N27" s="48">
        <f>'1. Inputs'!N60/100</f>
        <v>4.3419999999999993E-2</v>
      </c>
      <c r="O27" s="20"/>
      <c r="P27" s="52">
        <f>(DATE(YEAR(D27)+'1. Inputs'!$J$42,MONTH(D27),DAY(D27)))</f>
        <v>49415</v>
      </c>
      <c r="Q27" s="51">
        <f t="shared" si="0"/>
        <v>0.36263736263736268</v>
      </c>
      <c r="R27" s="51">
        <f t="shared" si="1"/>
        <v>0.63736263736263732</v>
      </c>
      <c r="S27" s="51">
        <f t="shared" si="2"/>
        <v>4.3235054945054939E-2</v>
      </c>
      <c r="T27" s="51">
        <f t="shared" si="3"/>
        <v>4.3702372439080373E-2</v>
      </c>
    </row>
    <row r="28" spans="3:20" ht="15" customHeight="1" x14ac:dyDescent="0.25">
      <c r="D28" s="54">
        <f>'1. Inputs'!D61</f>
        <v>45764</v>
      </c>
      <c r="E28" s="20" t="s">
        <v>31</v>
      </c>
      <c r="F28" s="20" t="s">
        <v>54</v>
      </c>
      <c r="G28" s="20" t="s">
        <v>76</v>
      </c>
      <c r="J28" s="52">
        <f t="shared" si="4"/>
        <v>49299</v>
      </c>
      <c r="K28" s="48">
        <f>'1. Inputs'!L61/100</f>
        <v>4.2320000000000003E-2</v>
      </c>
      <c r="L28" s="20"/>
      <c r="M28" s="52">
        <f t="shared" si="5"/>
        <v>49481</v>
      </c>
      <c r="N28" s="48">
        <f>'1. Inputs'!N61/100</f>
        <v>4.2819999999999997E-2</v>
      </c>
      <c r="O28" s="20"/>
      <c r="P28" s="52">
        <f>(DATE(YEAR(D28)+'1. Inputs'!$J$42,MONTH(D28),DAY(D28)))</f>
        <v>49416</v>
      </c>
      <c r="Q28" s="51">
        <f t="shared" si="0"/>
        <v>0.3571428571428571</v>
      </c>
      <c r="R28" s="51">
        <f t="shared" si="1"/>
        <v>0.6428571428571429</v>
      </c>
      <c r="S28" s="51">
        <f t="shared" si="2"/>
        <v>4.2641428571428573E-2</v>
      </c>
      <c r="T28" s="51">
        <f t="shared" si="3"/>
        <v>4.3096001429081765E-2</v>
      </c>
    </row>
    <row r="29" spans="3:20" ht="15" customHeight="1" x14ac:dyDescent="0.25">
      <c r="D29" s="54">
        <f>'1. Inputs'!D62</f>
        <v>45769</v>
      </c>
      <c r="E29" s="20" t="s">
        <v>31</v>
      </c>
      <c r="F29" s="20" t="s">
        <v>54</v>
      </c>
      <c r="G29" s="20" t="s">
        <v>76</v>
      </c>
      <c r="J29" s="52">
        <f t="shared" si="4"/>
        <v>49299</v>
      </c>
      <c r="K29" s="48">
        <f>'1. Inputs'!L62/100</f>
        <v>4.2060000000000007E-2</v>
      </c>
      <c r="L29" s="20"/>
      <c r="M29" s="52">
        <f t="shared" si="5"/>
        <v>49481</v>
      </c>
      <c r="N29" s="48">
        <f>'1. Inputs'!N62/100</f>
        <v>4.2590000000000003E-2</v>
      </c>
      <c r="O29" s="20"/>
      <c r="P29" s="52">
        <f>(DATE(YEAR(D29)+'1. Inputs'!$J$42,MONTH(D29),DAY(D29)))</f>
        <v>49421</v>
      </c>
      <c r="Q29" s="51">
        <f t="shared" si="0"/>
        <v>0.32967032967032972</v>
      </c>
      <c r="R29" s="51">
        <f t="shared" si="1"/>
        <v>0.67032967032967028</v>
      </c>
      <c r="S29" s="51">
        <f t="shared" si="2"/>
        <v>4.2415274725274732E-2</v>
      </c>
      <c r="T29" s="51">
        <f t="shared" si="3"/>
        <v>4.2865038607779793E-2</v>
      </c>
    </row>
    <row r="30" spans="3:20" ht="15" customHeight="1" x14ac:dyDescent="0.25">
      <c r="D30" s="54">
        <f>'1. Inputs'!D63</f>
        <v>45770</v>
      </c>
      <c r="E30" s="20" t="s">
        <v>31</v>
      </c>
      <c r="F30" s="20" t="s">
        <v>54</v>
      </c>
      <c r="G30" s="20" t="s">
        <v>76</v>
      </c>
      <c r="J30" s="52">
        <f t="shared" si="4"/>
        <v>49299</v>
      </c>
      <c r="K30" s="48">
        <f>'1. Inputs'!L63/100</f>
        <v>4.2119999999999998E-2</v>
      </c>
      <c r="L30" s="20"/>
      <c r="M30" s="52">
        <f t="shared" si="5"/>
        <v>49481</v>
      </c>
      <c r="N30" s="48">
        <f>'1. Inputs'!N63/100</f>
        <v>4.2640000000000004E-2</v>
      </c>
      <c r="O30" s="20"/>
      <c r="P30" s="52">
        <f>(DATE(YEAR(D30)+'1. Inputs'!$J$42,MONTH(D30),DAY(D30)))</f>
        <v>49422</v>
      </c>
      <c r="Q30" s="51">
        <f t="shared" si="0"/>
        <v>0.32417582417582413</v>
      </c>
      <c r="R30" s="51">
        <f t="shared" si="1"/>
        <v>0.67582417582417587</v>
      </c>
      <c r="S30" s="51">
        <f t="shared" si="2"/>
        <v>4.2471428571428577E-2</v>
      </c>
      <c r="T30" s="51">
        <f t="shared" si="3"/>
        <v>4.2922384132652924E-2</v>
      </c>
    </row>
    <row r="31" spans="3:20" ht="15" customHeight="1" x14ac:dyDescent="0.25">
      <c r="D31" s="54">
        <f>'1. Inputs'!D64</f>
        <v>45771</v>
      </c>
      <c r="E31" s="20" t="s">
        <v>31</v>
      </c>
      <c r="F31" s="20" t="s">
        <v>54</v>
      </c>
      <c r="G31" s="20" t="s">
        <v>76</v>
      </c>
      <c r="J31" s="52">
        <f t="shared" si="4"/>
        <v>49299</v>
      </c>
      <c r="K31" s="48">
        <f>'1. Inputs'!L64/100</f>
        <v>4.1829999999999999E-2</v>
      </c>
      <c r="L31" s="20"/>
      <c r="M31" s="52">
        <f t="shared" si="5"/>
        <v>49481</v>
      </c>
      <c r="N31" s="48">
        <f>'1. Inputs'!N64/100</f>
        <v>4.2340000000000003E-2</v>
      </c>
      <c r="O31" s="20"/>
      <c r="P31" s="52">
        <f>(DATE(YEAR(D31)+'1. Inputs'!$J$42,MONTH(D31),DAY(D31)))</f>
        <v>49423</v>
      </c>
      <c r="Q31" s="51">
        <f t="shared" si="0"/>
        <v>0.31868131868131866</v>
      </c>
      <c r="R31" s="51">
        <f t="shared" si="1"/>
        <v>0.68131868131868134</v>
      </c>
      <c r="S31" s="51">
        <f t="shared" si="2"/>
        <v>4.2177472527472532E-2</v>
      </c>
      <c r="T31" s="51">
        <f t="shared" si="3"/>
        <v>4.2622207324673811E-2</v>
      </c>
    </row>
    <row r="32" spans="3:20" ht="15" customHeight="1" x14ac:dyDescent="0.25">
      <c r="D32" s="54">
        <f>'1. Inputs'!D65</f>
        <v>45775</v>
      </c>
      <c r="E32" s="20" t="s">
        <v>31</v>
      </c>
      <c r="F32" s="20" t="s">
        <v>54</v>
      </c>
      <c r="G32" s="20" t="s">
        <v>76</v>
      </c>
      <c r="H32" s="5"/>
      <c r="I32" s="5"/>
      <c r="J32" s="52">
        <f t="shared" si="4"/>
        <v>49299</v>
      </c>
      <c r="K32" s="48">
        <f>'1. Inputs'!L65/100</f>
        <v>4.1180000000000001E-2</v>
      </c>
      <c r="L32" s="20"/>
      <c r="M32" s="52">
        <f t="shared" si="5"/>
        <v>49481</v>
      </c>
      <c r="N32" s="48">
        <f>'1. Inputs'!N65/100</f>
        <v>4.1680000000000002E-2</v>
      </c>
      <c r="O32" s="20"/>
      <c r="P32" s="52">
        <f>(DATE(YEAR(D32)+'1. Inputs'!$J$42,MONTH(D32),DAY(D32)))</f>
        <v>49427</v>
      </c>
      <c r="Q32" s="51">
        <f t="shared" si="0"/>
        <v>0.29670329670329665</v>
      </c>
      <c r="R32" s="51">
        <f t="shared" si="1"/>
        <v>0.70329670329670335</v>
      </c>
      <c r="S32" s="51">
        <f t="shared" si="2"/>
        <v>4.1531648351648354E-2</v>
      </c>
      <c r="T32" s="51">
        <f t="shared" si="3"/>
        <v>4.1962867805349635E-2</v>
      </c>
    </row>
    <row r="33" spans="3:28" ht="15" customHeight="1" x14ac:dyDescent="0.25">
      <c r="D33" s="54">
        <f>'1. Inputs'!D66</f>
        <v>45776</v>
      </c>
      <c r="E33" s="20" t="s">
        <v>31</v>
      </c>
      <c r="F33" s="20" t="s">
        <v>54</v>
      </c>
      <c r="G33" s="20" t="s">
        <v>76</v>
      </c>
      <c r="J33" s="52">
        <f t="shared" si="4"/>
        <v>49299</v>
      </c>
      <c r="K33" s="48">
        <f>'1. Inputs'!L66/100</f>
        <v>4.138E-2</v>
      </c>
      <c r="L33" s="20"/>
      <c r="M33" s="52">
        <f t="shared" si="5"/>
        <v>49481</v>
      </c>
      <c r="N33" s="48">
        <f>'1. Inputs'!N66/100</f>
        <v>4.1890000000000004E-2</v>
      </c>
      <c r="O33" s="20"/>
      <c r="P33" s="52">
        <f>(DATE(YEAR(D33)+'1. Inputs'!$J$42,MONTH(D33),DAY(D33)))</f>
        <v>49428</v>
      </c>
      <c r="Q33" s="51">
        <f t="shared" si="0"/>
        <v>0.29120879120879117</v>
      </c>
      <c r="R33" s="51">
        <f t="shared" si="1"/>
        <v>0.70879120879120883</v>
      </c>
      <c r="S33" s="51">
        <f t="shared" si="2"/>
        <v>4.1741483516483519E-2</v>
      </c>
      <c r="T33" s="51">
        <f t="shared" si="3"/>
        <v>4.2177071378022513E-2</v>
      </c>
    </row>
    <row r="34" spans="3:28" ht="15" customHeight="1" x14ac:dyDescent="0.25">
      <c r="D34" s="54">
        <f>'1. Inputs'!D67</f>
        <v>45777</v>
      </c>
      <c r="E34" s="20" t="s">
        <v>31</v>
      </c>
      <c r="F34" s="20" t="s">
        <v>54</v>
      </c>
      <c r="G34" s="20" t="s">
        <v>76</v>
      </c>
      <c r="J34" s="52">
        <f t="shared" si="4"/>
        <v>49299</v>
      </c>
      <c r="K34" s="48">
        <f>'1. Inputs'!L67/100</f>
        <v>4.1120000000000004E-2</v>
      </c>
      <c r="M34" s="52">
        <f t="shared" si="5"/>
        <v>49481</v>
      </c>
      <c r="N34" s="48">
        <f>'1. Inputs'!N67/100</f>
        <v>4.163E-2</v>
      </c>
      <c r="P34" s="52">
        <f>(DATE(YEAR(D34)+'1. Inputs'!$J$42,MONTH(D34),DAY(D34)))</f>
        <v>49429</v>
      </c>
      <c r="Q34" s="51">
        <f t="shared" si="0"/>
        <v>0.2857142857142857</v>
      </c>
      <c r="R34" s="51">
        <f t="shared" si="1"/>
        <v>0.7142857142857143</v>
      </c>
      <c r="S34" s="51">
        <f t="shared" si="2"/>
        <v>4.1484285714285717E-2</v>
      </c>
      <c r="T34" s="51">
        <f>(1+S34/2)^2-1</f>
        <v>4.1914522204591798E-2</v>
      </c>
    </row>
    <row r="35" spans="3:28" ht="15" customHeight="1" x14ac:dyDescent="0.25">
      <c r="D35" s="27"/>
      <c r="E35" s="20"/>
      <c r="F35" s="20"/>
      <c r="G35" s="20"/>
    </row>
    <row r="36" spans="3:28" ht="15" customHeight="1" x14ac:dyDescent="0.25">
      <c r="D36" s="44"/>
      <c r="E36" s="44"/>
      <c r="F36" s="44"/>
      <c r="G36" s="44"/>
      <c r="K36" s="44"/>
      <c r="M36" s="44"/>
      <c r="N36" s="44"/>
      <c r="P36" s="44"/>
      <c r="Q36" s="44"/>
      <c r="R36" s="44"/>
      <c r="S36" s="44"/>
      <c r="T36" s="44"/>
    </row>
    <row r="37" spans="3:28" ht="15" customHeight="1" x14ac:dyDescent="0.25">
      <c r="D37" s="5" t="s">
        <v>111</v>
      </c>
      <c r="E37" s="43" t="s">
        <v>58</v>
      </c>
      <c r="F37" s="43" t="s">
        <v>54</v>
      </c>
      <c r="G37" s="43" t="s">
        <v>76</v>
      </c>
      <c r="T37" s="56">
        <f>AVERAGE(T15:T34)</f>
        <v>4.3200824620894696E-2</v>
      </c>
    </row>
    <row r="39" spans="3:28" s="2" customFormat="1" ht="15" customHeight="1" x14ac:dyDescent="0.25">
      <c r="C39" s="14" t="s">
        <v>112</v>
      </c>
    </row>
    <row r="42" spans="3:28" ht="15" customHeight="1" x14ac:dyDescent="0.25">
      <c r="D42" s="17" t="s">
        <v>113</v>
      </c>
      <c r="E42" s="18" t="s">
        <v>41</v>
      </c>
      <c r="F42" s="18" t="s">
        <v>42</v>
      </c>
      <c r="G42" s="18" t="s">
        <v>43</v>
      </c>
      <c r="J42" s="18" t="s">
        <v>79</v>
      </c>
      <c r="K42" s="18" t="s">
        <v>80</v>
      </c>
      <c r="L42" s="18" t="s">
        <v>81</v>
      </c>
      <c r="M42" s="18" t="s">
        <v>44</v>
      </c>
      <c r="N42" s="18" t="s">
        <v>45</v>
      </c>
      <c r="O42" s="18" t="s">
        <v>46</v>
      </c>
      <c r="P42" s="18" t="s">
        <v>47</v>
      </c>
      <c r="Q42" s="18" t="s">
        <v>48</v>
      </c>
      <c r="R42" s="18" t="s">
        <v>49</v>
      </c>
      <c r="S42" s="18" t="s">
        <v>50</v>
      </c>
      <c r="T42" s="18" t="s">
        <v>51</v>
      </c>
      <c r="U42" s="18" t="s">
        <v>99</v>
      </c>
      <c r="V42" s="18" t="s">
        <v>100</v>
      </c>
      <c r="W42" s="18" t="s">
        <v>101</v>
      </c>
      <c r="X42" s="18" t="s">
        <v>102</v>
      </c>
      <c r="Y42" s="18" t="s">
        <v>103</v>
      </c>
      <c r="AB42" s="43"/>
    </row>
    <row r="44" spans="3:28" ht="15" customHeight="1" x14ac:dyDescent="0.25">
      <c r="D44" s="1" t="s">
        <v>114</v>
      </c>
    </row>
    <row r="45" spans="3:28" ht="15" customHeight="1" x14ac:dyDescent="0.25">
      <c r="D45" s="15" t="s">
        <v>52</v>
      </c>
      <c r="E45" s="20" t="s">
        <v>31</v>
      </c>
      <c r="F45" s="20" t="s">
        <v>54</v>
      </c>
      <c r="G45" s="20" t="s">
        <v>76</v>
      </c>
      <c r="J45" s="48">
        <f>'1. Inputs'!I74</f>
        <v>5.2858915619497404E-2</v>
      </c>
      <c r="K45" s="48">
        <f>'1. Inputs'!J74</f>
        <v>5.5333839464523152E-2</v>
      </c>
      <c r="L45" s="48">
        <f>'1. Inputs'!K74</f>
        <v>4.9360163014238526E-2</v>
      </c>
      <c r="M45" s="48">
        <f>'1. Inputs'!L74</f>
        <v>4.3874599272321485E-2</v>
      </c>
      <c r="N45" s="48">
        <f>'1. Inputs'!M74</f>
        <v>4.7585465343845036E-2</v>
      </c>
      <c r="O45" s="48">
        <f>'1. Inputs'!N74</f>
        <v>3.0646730965704104E-2</v>
      </c>
      <c r="P45" s="48">
        <f>'1. Inputs'!O74</f>
        <v>2.0984205036032044E-2</v>
      </c>
      <c r="Q45" s="48">
        <f>'1. Inputs'!P74</f>
        <v>3.48518232890642E-2</v>
      </c>
      <c r="R45" s="48">
        <f>'1. Inputs'!Q74</f>
        <v>6.6892955643151605E-2</v>
      </c>
      <c r="S45" s="48">
        <f>'1. Inputs'!R74</f>
        <v>6.5589091434088906E-2</v>
      </c>
      <c r="T45" s="48">
        <f>'1. Inputs'!S74</f>
        <v>5.9153161590247187E-2</v>
      </c>
      <c r="U45" s="23"/>
      <c r="V45" s="23"/>
      <c r="W45" s="23"/>
      <c r="X45" s="23"/>
      <c r="Y45" s="23"/>
      <c r="AB45" s="62"/>
    </row>
    <row r="46" spans="3:28" ht="15" customHeight="1" x14ac:dyDescent="0.25">
      <c r="D46" s="15" t="s">
        <v>115</v>
      </c>
      <c r="E46" s="20" t="s">
        <v>31</v>
      </c>
      <c r="F46" s="20" t="s">
        <v>54</v>
      </c>
      <c r="G46" s="20" t="s">
        <v>76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48">
        <f>'1. Inputs'!$T$75</f>
        <v>5.8290215034038209E-2</v>
      </c>
      <c r="V46" s="48">
        <f>'1. Inputs'!$T$75</f>
        <v>5.8290215034038209E-2</v>
      </c>
      <c r="W46" s="48">
        <f>'1. Inputs'!$T$75</f>
        <v>5.8290215034038209E-2</v>
      </c>
      <c r="X46" s="48">
        <f>'1. Inputs'!$T$75</f>
        <v>5.8290215034038209E-2</v>
      </c>
      <c r="Y46" s="48">
        <f>'1. Inputs'!$T$75</f>
        <v>5.8290215034038209E-2</v>
      </c>
    </row>
    <row r="47" spans="3:28" ht="15" customHeight="1" x14ac:dyDescent="0.25">
      <c r="D47" s="15" t="s">
        <v>116</v>
      </c>
      <c r="E47" s="20" t="s">
        <v>31</v>
      </c>
      <c r="F47" s="20" t="s">
        <v>54</v>
      </c>
      <c r="G47" s="20" t="s">
        <v>76</v>
      </c>
      <c r="J47" s="51">
        <f t="shared" ref="J47:M47" si="6">IF(ISNUMBER(J45),J45,IF(ISNUMBER(J46),J46,""))</f>
        <v>5.2858915619497404E-2</v>
      </c>
      <c r="K47" s="51">
        <f t="shared" si="6"/>
        <v>5.5333839464523152E-2</v>
      </c>
      <c r="L47" s="51">
        <f t="shared" si="6"/>
        <v>4.9360163014238526E-2</v>
      </c>
      <c r="M47" s="51">
        <f t="shared" si="6"/>
        <v>4.3874599272321485E-2</v>
      </c>
      <c r="N47" s="51">
        <f>IF(ISNUMBER(N45),N45,IF(ISNUMBER(N46),N46,""))</f>
        <v>4.7585465343845036E-2</v>
      </c>
      <c r="O47" s="51">
        <f t="shared" ref="O47:X47" si="7">IF(ISNUMBER(O45),O45,IF(ISNUMBER(O46),O46,""))</f>
        <v>3.0646730965704104E-2</v>
      </c>
      <c r="P47" s="51">
        <f t="shared" si="7"/>
        <v>2.0984205036032044E-2</v>
      </c>
      <c r="Q47" s="51">
        <f t="shared" si="7"/>
        <v>3.48518232890642E-2</v>
      </c>
      <c r="R47" s="51">
        <f t="shared" si="7"/>
        <v>6.6892955643151605E-2</v>
      </c>
      <c r="S47" s="51">
        <f t="shared" si="7"/>
        <v>6.5589091434088906E-2</v>
      </c>
      <c r="T47" s="51">
        <f>IF(ISNUMBER(T45),T45,IF(ISNUMBER(T46),T46,""))</f>
        <v>5.9153161590247187E-2</v>
      </c>
      <c r="U47" s="51">
        <f t="shared" si="7"/>
        <v>5.8290215034038209E-2</v>
      </c>
      <c r="V47" s="51">
        <f t="shared" si="7"/>
        <v>5.8290215034038209E-2</v>
      </c>
      <c r="W47" s="51">
        <f t="shared" si="7"/>
        <v>5.8290215034038209E-2</v>
      </c>
      <c r="X47" s="51">
        <f t="shared" si="7"/>
        <v>5.8290215034038209E-2</v>
      </c>
      <c r="Y47" s="51">
        <f t="shared" ref="Y47" si="8">IF(ISNUMBER(Y45),Y45,IF(ISNUMBER(Y46),Y46,""))</f>
        <v>5.8290215034038209E-2</v>
      </c>
    </row>
    <row r="48" spans="3:28" ht="15" customHeight="1" x14ac:dyDescent="0.25">
      <c r="E48" s="20"/>
      <c r="F48" s="20"/>
      <c r="G48" s="20"/>
    </row>
    <row r="49" spans="3:25" ht="15" customHeight="1" x14ac:dyDescent="0.25">
      <c r="D49" s="1" t="s">
        <v>117</v>
      </c>
    </row>
    <row r="50" spans="3:25" ht="15" customHeight="1" x14ac:dyDescent="0.25">
      <c r="D50" s="15" t="s">
        <v>118</v>
      </c>
      <c r="E50" s="20" t="s">
        <v>31</v>
      </c>
      <c r="F50" s="20" t="s">
        <v>54</v>
      </c>
      <c r="G50" s="20" t="s">
        <v>119</v>
      </c>
      <c r="J50" s="23"/>
      <c r="K50" s="55">
        <v>0.1</v>
      </c>
      <c r="L50" s="55">
        <v>0.1</v>
      </c>
      <c r="M50" s="55">
        <v>0.1</v>
      </c>
      <c r="N50" s="55">
        <v>0.1</v>
      </c>
      <c r="O50" s="55">
        <v>0.1</v>
      </c>
      <c r="P50" s="55">
        <v>0.1</v>
      </c>
      <c r="Q50" s="55">
        <v>0.1</v>
      </c>
      <c r="R50" s="55">
        <v>0.1</v>
      </c>
      <c r="S50" s="55">
        <v>0.1</v>
      </c>
      <c r="T50" s="55">
        <v>0.1</v>
      </c>
      <c r="U50" s="55">
        <v>0.1</v>
      </c>
      <c r="V50" s="55">
        <v>0.1</v>
      </c>
      <c r="W50" s="55">
        <v>0.1</v>
      </c>
      <c r="X50" s="55">
        <v>0.1</v>
      </c>
      <c r="Y50" s="55">
        <v>0.1</v>
      </c>
    </row>
    <row r="52" spans="3:25" ht="15" customHeight="1" x14ac:dyDescent="0.25">
      <c r="D52" s="45" t="s">
        <v>120</v>
      </c>
      <c r="E52" s="46" t="s">
        <v>58</v>
      </c>
      <c r="F52" s="46" t="s">
        <v>54</v>
      </c>
      <c r="G52" s="46" t="s">
        <v>76</v>
      </c>
      <c r="J52" s="51">
        <f>IFERROR($J$47,"")</f>
        <v>5.2858915619497404E-2</v>
      </c>
      <c r="K52" s="51">
        <f>IFERROR(J52+(K$47-$J$47)*K50,J52)</f>
        <v>5.3106408003999982E-2</v>
      </c>
      <c r="L52" s="51">
        <f t="shared" ref="L52:R52" si="9">IFERROR(K52+(L$47-$J$47)*L50,K52)</f>
        <v>5.2756532743474097E-2</v>
      </c>
      <c r="M52" s="51">
        <f t="shared" si="9"/>
        <v>5.1858101108756507E-2</v>
      </c>
      <c r="N52" s="51">
        <f t="shared" si="9"/>
        <v>5.1330756081191267E-2</v>
      </c>
      <c r="O52" s="51">
        <f t="shared" si="9"/>
        <v>4.9109537615811938E-2</v>
      </c>
      <c r="P52" s="51">
        <f t="shared" si="9"/>
        <v>4.5922066557465405E-2</v>
      </c>
      <c r="Q52" s="51">
        <f t="shared" si="9"/>
        <v>4.4121357324422086E-2</v>
      </c>
      <c r="R52" s="51">
        <f t="shared" si="9"/>
        <v>4.5524761326787504E-2</v>
      </c>
      <c r="S52" s="51">
        <f t="shared" ref="S52:W52" si="10">AVERAGE(J47:S47)</f>
        <v>4.679777890824665E-2</v>
      </c>
      <c r="T52" s="51">
        <f>AVERAGE(K47:T47)</f>
        <v>4.7427203505321633E-2</v>
      </c>
      <c r="U52" s="51">
        <f>AVERAGE(L47:U47)</f>
        <v>4.7722841062273133E-2</v>
      </c>
      <c r="V52" s="51">
        <f>AVERAGE(M47:V47)</f>
        <v>4.8615846264253096E-2</v>
      </c>
      <c r="W52" s="51">
        <f t="shared" si="10"/>
        <v>5.005740784042477E-2</v>
      </c>
      <c r="X52" s="51">
        <f>AVERAGE(O47:X47)</f>
        <v>5.1127882809444095E-2</v>
      </c>
      <c r="Y52" s="51">
        <f t="shared" ref="Y52" si="11">AVERAGE(P47:Y47)</f>
        <v>5.3892231216277495E-2</v>
      </c>
    </row>
    <row r="54" spans="3:25" s="2" customFormat="1" ht="15" customHeight="1" x14ac:dyDescent="0.25">
      <c r="C54" s="14" t="s">
        <v>139</v>
      </c>
    </row>
    <row r="55" spans="3:25" ht="15" customHeight="1" x14ac:dyDescent="0.25">
      <c r="D55" s="27"/>
      <c r="E55" s="20"/>
      <c r="F55" s="20"/>
      <c r="G55" s="20"/>
    </row>
    <row r="56" spans="3:25" ht="15" customHeight="1" x14ac:dyDescent="0.25">
      <c r="D56" s="17" t="s">
        <v>113</v>
      </c>
      <c r="E56" s="18" t="s">
        <v>41</v>
      </c>
      <c r="F56" s="18" t="s">
        <v>42</v>
      </c>
      <c r="G56" s="18" t="s">
        <v>43</v>
      </c>
      <c r="I56" s="18" t="s">
        <v>65</v>
      </c>
    </row>
    <row r="57" spans="3:25" ht="15" customHeight="1" x14ac:dyDescent="0.25">
      <c r="D57" s="27"/>
      <c r="E57" s="20"/>
      <c r="F57" s="20"/>
      <c r="G57" s="20"/>
    </row>
    <row r="58" spans="3:25" ht="15" customHeight="1" x14ac:dyDescent="0.25">
      <c r="D58" s="1" t="s">
        <v>121</v>
      </c>
      <c r="E58" s="20" t="s">
        <v>33</v>
      </c>
      <c r="F58" s="20" t="s">
        <v>54</v>
      </c>
      <c r="G58" s="20" t="s">
        <v>76</v>
      </c>
      <c r="I58" s="48">
        <f>T37</f>
        <v>4.3200824620894696E-2</v>
      </c>
    </row>
    <row r="59" spans="3:25" ht="15" customHeight="1" x14ac:dyDescent="0.25">
      <c r="D59" s="1" t="s">
        <v>91</v>
      </c>
      <c r="E59" s="20" t="s">
        <v>31</v>
      </c>
      <c r="F59" s="20" t="s">
        <v>54</v>
      </c>
      <c r="G59" s="20" t="s">
        <v>76</v>
      </c>
      <c r="I59" s="48">
        <f>'1. Inputs'!J90</f>
        <v>6.2E-2</v>
      </c>
    </row>
    <row r="60" spans="3:25" ht="15" customHeight="1" x14ac:dyDescent="0.25">
      <c r="D60" s="1" t="s">
        <v>92</v>
      </c>
      <c r="E60" s="20" t="s">
        <v>31</v>
      </c>
      <c r="F60" s="20" t="s">
        <v>54</v>
      </c>
      <c r="G60" s="20" t="s">
        <v>76</v>
      </c>
      <c r="I60" s="48">
        <f>'1. Inputs'!J91</f>
        <v>0.6</v>
      </c>
    </row>
    <row r="61" spans="3:25" ht="15" customHeight="1" x14ac:dyDescent="0.25">
      <c r="D61" s="27"/>
      <c r="E61" s="20"/>
      <c r="F61" s="20"/>
      <c r="G61" s="20"/>
    </row>
    <row r="62" spans="3:25" ht="15" customHeight="1" x14ac:dyDescent="0.25">
      <c r="D62" s="45" t="s">
        <v>122</v>
      </c>
      <c r="E62" s="46" t="s">
        <v>58</v>
      </c>
      <c r="F62" s="46" t="s">
        <v>54</v>
      </c>
      <c r="G62" s="46" t="s">
        <v>76</v>
      </c>
      <c r="I62" s="56">
        <f>(I58+I59*I60)</f>
        <v>8.0400824620894693E-2</v>
      </c>
    </row>
    <row r="63" spans="3:25" ht="15" customHeight="1" x14ac:dyDescent="0.25">
      <c r="D63" s="27"/>
      <c r="E63" s="20"/>
      <c r="F63" s="20"/>
      <c r="G63" s="20"/>
    </row>
    <row r="64" spans="3:25" s="2" customFormat="1" ht="15" customHeight="1" x14ac:dyDescent="0.25">
      <c r="C64" s="14" t="s">
        <v>25</v>
      </c>
    </row>
  </sheetData>
  <mergeCells count="3">
    <mergeCell ref="J12:K12"/>
    <mergeCell ref="M12:N12"/>
    <mergeCell ref="Q12:R12"/>
  </mergeCells>
  <phoneticPr fontId="2" type="noConversion"/>
  <hyperlinks>
    <hyperlink ref="D5" location="Index!A1" display="Index" xr:uid="{4F423FA4-E67A-4CCF-A04E-C2F99FC655E3}"/>
  </hyperlinks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7DF48-7920-4D17-AB4F-7241E4121AD1}">
  <dimension ref="A1:N26"/>
  <sheetViews>
    <sheetView showGridLines="0" workbookViewId="0">
      <selection activeCell="J21" sqref="J21"/>
    </sheetView>
  </sheetViews>
  <sheetFormatPr defaultColWidth="9.109375" defaultRowHeight="15" customHeight="1" x14ac:dyDescent="0.25"/>
  <cols>
    <col min="1" max="2" width="2.109375" style="1" customWidth="1"/>
    <col min="3" max="3" width="4.33203125" style="1" customWidth="1"/>
    <col min="4" max="4" width="39.33203125" style="1" customWidth="1"/>
    <col min="5" max="5" width="15.6640625" style="1" customWidth="1"/>
    <col min="6" max="9" width="11.44140625" style="1" customWidth="1"/>
    <col min="10" max="14" width="12.109375" style="1" customWidth="1"/>
    <col min="15" max="23" width="11.44140625" style="1" customWidth="1"/>
    <col min="24" max="16384" width="9.109375" style="1"/>
  </cols>
  <sheetData>
    <row r="1" spans="1:14" s="2" customFormat="1" ht="15" customHeight="1" x14ac:dyDescent="0.25">
      <c r="A1" s="1"/>
      <c r="B1" s="1"/>
      <c r="C1" s="1"/>
      <c r="D1" s="1"/>
    </row>
    <row r="2" spans="1:14" s="2" customFormat="1" ht="21" customHeight="1" x14ac:dyDescent="0.4">
      <c r="A2" s="1"/>
      <c r="B2" s="1"/>
      <c r="C2" s="1"/>
      <c r="D2" s="1"/>
      <c r="E2" s="3" t="s">
        <v>37</v>
      </c>
    </row>
    <row r="3" spans="1:14" s="2" customFormat="1" ht="15" customHeight="1" x14ac:dyDescent="0.25">
      <c r="A3" s="1"/>
      <c r="B3" s="1"/>
      <c r="C3" s="1"/>
      <c r="D3" s="4"/>
    </row>
    <row r="5" spans="1:14" ht="15" customHeight="1" x14ac:dyDescent="0.25">
      <c r="D5" s="47" t="s">
        <v>0</v>
      </c>
    </row>
    <row r="6" spans="1:14" ht="15" customHeight="1" x14ac:dyDescent="0.25">
      <c r="D6" s="5" t="str">
        <f>Cover!D6</f>
        <v>Rate of Return Model - Evoenergy</v>
      </c>
    </row>
    <row r="7" spans="1:14" ht="15" customHeight="1" x14ac:dyDescent="0.25">
      <c r="D7" s="5" t="str">
        <f>Cover!D7</f>
        <v>2026-2031 Access Arrangement Proposal</v>
      </c>
    </row>
    <row r="9" spans="1:14" s="2" customFormat="1" ht="15" customHeight="1" x14ac:dyDescent="0.25">
      <c r="C9" s="14" t="s">
        <v>123</v>
      </c>
    </row>
    <row r="11" spans="1:14" ht="15" customHeight="1" x14ac:dyDescent="0.25">
      <c r="C11" s="5"/>
    </row>
    <row r="12" spans="1:14" ht="15" customHeight="1" x14ac:dyDescent="0.25">
      <c r="D12" s="42" t="s">
        <v>124</v>
      </c>
      <c r="E12" s="18" t="s">
        <v>58</v>
      </c>
      <c r="F12" s="18" t="s">
        <v>54</v>
      </c>
      <c r="G12" s="18" t="s">
        <v>76</v>
      </c>
      <c r="J12" s="18" t="s">
        <v>99</v>
      </c>
      <c r="K12" s="18" t="s">
        <v>100</v>
      </c>
      <c r="L12" s="18" t="s">
        <v>101</v>
      </c>
      <c r="M12" s="18" t="s">
        <v>102</v>
      </c>
      <c r="N12" s="18" t="s">
        <v>103</v>
      </c>
    </row>
    <row r="13" spans="1:14" ht="15" customHeight="1" x14ac:dyDescent="0.25">
      <c r="D13" s="5"/>
      <c r="E13" s="43"/>
      <c r="F13" s="43"/>
      <c r="G13" s="43"/>
      <c r="H13" s="5"/>
    </row>
    <row r="14" spans="1:14" ht="15" customHeight="1" x14ac:dyDescent="0.25">
      <c r="D14" s="1" t="s">
        <v>125</v>
      </c>
      <c r="E14" s="40" t="s">
        <v>58</v>
      </c>
      <c r="F14" s="40" t="s">
        <v>54</v>
      </c>
      <c r="G14" s="40" t="s">
        <v>76</v>
      </c>
      <c r="H14" s="5"/>
      <c r="J14" s="48">
        <v>2.6499452021080838E-2</v>
      </c>
      <c r="K14" s="23"/>
      <c r="L14" s="23"/>
      <c r="M14" s="23"/>
      <c r="N14" s="23"/>
    </row>
    <row r="15" spans="1:14" ht="15" customHeight="1" x14ac:dyDescent="0.25">
      <c r="D15" s="27"/>
      <c r="E15" s="20"/>
      <c r="F15" s="20"/>
      <c r="G15" s="20"/>
    </row>
    <row r="16" spans="1:14" ht="15" customHeight="1" x14ac:dyDescent="0.25">
      <c r="D16" s="1" t="s">
        <v>126</v>
      </c>
      <c r="E16" s="20" t="s">
        <v>33</v>
      </c>
      <c r="F16" s="40" t="s">
        <v>54</v>
      </c>
      <c r="G16" s="40" t="s">
        <v>76</v>
      </c>
      <c r="J16" s="48">
        <f>'2. Calculations'!I62</f>
        <v>8.0400824620894693E-2</v>
      </c>
      <c r="K16" s="23"/>
      <c r="L16" s="23"/>
      <c r="M16" s="23"/>
      <c r="N16" s="23"/>
    </row>
    <row r="17" spans="2:14" ht="15" customHeight="1" x14ac:dyDescent="0.25">
      <c r="D17" s="1" t="s">
        <v>127</v>
      </c>
      <c r="E17" s="20" t="s">
        <v>31</v>
      </c>
      <c r="F17" s="40" t="s">
        <v>54</v>
      </c>
      <c r="G17" s="40" t="s">
        <v>76</v>
      </c>
      <c r="J17" s="48">
        <f>'1. Inputs'!J98</f>
        <v>0.56999999999999995</v>
      </c>
      <c r="K17" s="23"/>
      <c r="L17" s="23"/>
      <c r="M17" s="23"/>
      <c r="N17" s="23"/>
    </row>
    <row r="18" spans="2:14" ht="15" customHeight="1" x14ac:dyDescent="0.25">
      <c r="D18" s="1" t="s">
        <v>128</v>
      </c>
      <c r="E18" s="20" t="s">
        <v>31</v>
      </c>
      <c r="F18" s="40" t="s">
        <v>54</v>
      </c>
      <c r="G18" s="40" t="s">
        <v>76</v>
      </c>
      <c r="J18" s="48">
        <f>'1. Inputs'!J97</f>
        <v>0.6</v>
      </c>
      <c r="K18" s="23"/>
      <c r="L18" s="23"/>
      <c r="M18" s="23"/>
      <c r="N18" s="23"/>
    </row>
    <row r="19" spans="2:14" ht="15" customHeight="1" x14ac:dyDescent="0.25">
      <c r="D19" s="1" t="s">
        <v>97</v>
      </c>
      <c r="E19" s="20" t="s">
        <v>31</v>
      </c>
      <c r="F19" s="40" t="s">
        <v>54</v>
      </c>
      <c r="G19" s="40" t="s">
        <v>76</v>
      </c>
      <c r="J19" s="48">
        <f>'1. Inputs'!J99</f>
        <v>0.3</v>
      </c>
      <c r="K19" s="23"/>
      <c r="L19" s="23"/>
      <c r="M19" s="23"/>
      <c r="N19" s="23"/>
    </row>
    <row r="20" spans="2:14" ht="15" customHeight="1" x14ac:dyDescent="0.25">
      <c r="E20" s="20"/>
      <c r="F20" s="20"/>
      <c r="G20" s="20"/>
    </row>
    <row r="21" spans="2:14" ht="15" customHeight="1" x14ac:dyDescent="0.25">
      <c r="D21" s="1" t="s">
        <v>129</v>
      </c>
      <c r="E21" s="20" t="s">
        <v>33</v>
      </c>
      <c r="F21" s="40" t="s">
        <v>54</v>
      </c>
      <c r="G21" s="40" t="s">
        <v>76</v>
      </c>
      <c r="J21" s="48">
        <f>'2. Calculations'!U52</f>
        <v>4.7722841062273133E-2</v>
      </c>
      <c r="K21" s="48">
        <f>'2. Calculations'!V52</f>
        <v>4.8615846264253096E-2</v>
      </c>
      <c r="L21" s="48">
        <f>'2. Calculations'!W52</f>
        <v>5.005740784042477E-2</v>
      </c>
      <c r="M21" s="48">
        <f>'2. Calculations'!X52</f>
        <v>5.1127882809444095E-2</v>
      </c>
      <c r="N21" s="48">
        <f>'2. Calculations'!Y52</f>
        <v>5.3892231216277495E-2</v>
      </c>
    </row>
    <row r="22" spans="2:14" ht="15" customHeight="1" x14ac:dyDescent="0.25">
      <c r="E22" s="20"/>
      <c r="F22" s="20"/>
      <c r="G22" s="20"/>
    </row>
    <row r="23" spans="2:14" ht="15" customHeight="1" x14ac:dyDescent="0.25">
      <c r="D23" s="5" t="s">
        <v>130</v>
      </c>
      <c r="E23" s="20"/>
      <c r="F23" s="20"/>
      <c r="G23" s="20"/>
      <c r="J23" s="56">
        <f>$J$16*(1-$J$18)+J21*$J$18</f>
        <v>6.0794034485721758E-2</v>
      </c>
      <c r="K23" s="56">
        <f t="shared" ref="K23:N23" si="0">$J$16*(1-$J$18)+K21*$J$18</f>
        <v>6.1329837606909736E-2</v>
      </c>
      <c r="L23" s="56">
        <f t="shared" si="0"/>
        <v>6.2194774552612742E-2</v>
      </c>
      <c r="M23" s="56">
        <f t="shared" si="0"/>
        <v>6.2837059534024325E-2</v>
      </c>
      <c r="N23" s="56">
        <f t="shared" si="0"/>
        <v>6.4495668578124374E-2</v>
      </c>
    </row>
    <row r="24" spans="2:14" ht="15" customHeight="1" x14ac:dyDescent="0.25">
      <c r="D24" s="27"/>
      <c r="E24" s="20"/>
      <c r="F24" s="20"/>
      <c r="G24" s="20"/>
    </row>
    <row r="26" spans="2:14" s="2" customFormat="1" ht="15" customHeight="1" x14ac:dyDescent="0.25">
      <c r="B26" s="14" t="s">
        <v>25</v>
      </c>
    </row>
  </sheetData>
  <phoneticPr fontId="2" type="noConversion"/>
  <hyperlinks>
    <hyperlink ref="D5" location="Index!A1" display="Index" xr:uid="{B35FAD30-F0B9-409E-B8D4-5B1665AE7C87}"/>
  </hyperlinks>
  <pageMargins left="0.7" right="0.7" top="0.75" bottom="0.75" header="0.3" footer="0.3"/>
  <pageSetup paperSize="9" orientation="portrait" r:id="rId1"/>
  <headerFooter>
    <oddFooter>&amp;C_x000D_&amp;1#&amp;"Calibri"&amp;10&amp;K000000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24BB75BCEF649A3A4EA2C8EA2DEE6" ma:contentTypeVersion="15" ma:contentTypeDescription="Create a new document." ma:contentTypeScope="" ma:versionID="f3a2c1669e6be8d5d6ac90f34d3e0791">
  <xsd:schema xmlns:xsd="http://www.w3.org/2001/XMLSchema" xmlns:xs="http://www.w3.org/2001/XMLSchema" xmlns:p="http://schemas.microsoft.com/office/2006/metadata/properties" xmlns:ns2="20e708b7-70c9-4619-8adb-98af544b7362" xmlns:ns3="d31dddaa-878a-4ea0-a049-155b52ca24f9" targetNamespace="http://schemas.microsoft.com/office/2006/metadata/properties" ma:root="true" ma:fieldsID="296f4dc2f06fa6070f284d8771c9a073" ns2:_="" ns3:_="">
    <xsd:import namespace="20e708b7-70c9-4619-8adb-98af544b7362"/>
    <xsd:import namespace="d31dddaa-878a-4ea0-a049-155b52ca24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708b7-70c9-4619-8adb-98af544b73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6dec70b-5686-468f-b815-f2accaae5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dddaa-878a-4ea0-a049-155b52ca24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40432c59-4d96-4a01-9b84-7b4fb17f7643}" ma:internalName="TaxCatchAll" ma:showField="CatchAllData" ma:web="d31dddaa-878a-4ea0-a049-155b52ca24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e708b7-70c9-4619-8adb-98af544b7362">
      <Terms xmlns="http://schemas.microsoft.com/office/infopath/2007/PartnerControls"/>
    </lcf76f155ced4ddcb4097134ff3c332f>
    <TaxCatchAll xmlns="d31dddaa-878a-4ea0-a049-155b52ca24f9" xsi:nil="true"/>
  </documentManagement>
</p:properties>
</file>

<file path=customXml/itemProps1.xml><?xml version="1.0" encoding="utf-8"?>
<ds:datastoreItem xmlns:ds="http://schemas.openxmlformats.org/officeDocument/2006/customXml" ds:itemID="{0DA191B3-0C8D-4FC8-A9A6-FCAD3228B13B}"/>
</file>

<file path=customXml/itemProps2.xml><?xml version="1.0" encoding="utf-8"?>
<ds:datastoreItem xmlns:ds="http://schemas.openxmlformats.org/officeDocument/2006/customXml" ds:itemID="{49436664-F9E9-42F2-BD4D-EAF777462E4C}"/>
</file>

<file path=customXml/itemProps3.xml><?xml version="1.0" encoding="utf-8"?>
<ds:datastoreItem xmlns:ds="http://schemas.openxmlformats.org/officeDocument/2006/customXml" ds:itemID="{3CD8F4A9-170F-429A-9093-1E8FF37453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</vt:lpstr>
      <vt:lpstr>Index</vt:lpstr>
      <vt:lpstr>1. Inputs</vt:lpstr>
      <vt:lpstr>2. Calculations</vt:lpstr>
      <vt:lpstr>3. Output</vt:lpstr>
      <vt:lpstr>Reg_Period_Length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2025-06-23T01:27:24Z</dcterms:created>
  <dcterms:modified xsi:type="dcterms:W3CDTF">2025-06-23T01:27:40Z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6e7cc6d-dbcf-401d-bb32-132838d0c8c7_Enabled">
    <vt:lpwstr>true</vt:lpwstr>
  </property>
  <property fmtid="{D5CDD505-2E9C-101B-9397-08002B2CF9AE}" pid="3" name="MSIP_Label_96e7cc6d-dbcf-401d-bb32-132838d0c8c7_SetDate">
    <vt:lpwstr>2025-06-23T01:27:35Z</vt:lpwstr>
  </property>
  <property fmtid="{D5CDD505-2E9C-101B-9397-08002B2CF9AE}" pid="4" name="MSIP_Label_96e7cc6d-dbcf-401d-bb32-132838d0c8c7_Method">
    <vt:lpwstr>Privileged</vt:lpwstr>
  </property>
  <property fmtid="{D5CDD505-2E9C-101B-9397-08002B2CF9AE}" pid="5" name="MSIP_Label_96e7cc6d-dbcf-401d-bb32-132838d0c8c7_Name">
    <vt:lpwstr>OFFICIAL</vt:lpwstr>
  </property>
  <property fmtid="{D5CDD505-2E9C-101B-9397-08002B2CF9AE}" pid="6" name="MSIP_Label_96e7cc6d-dbcf-401d-bb32-132838d0c8c7_SiteId">
    <vt:lpwstr>2a61d4c5-077b-4aba-8d42-5cd0ebd862ef</vt:lpwstr>
  </property>
  <property fmtid="{D5CDD505-2E9C-101B-9397-08002B2CF9AE}" pid="7" name="MSIP_Label_96e7cc6d-dbcf-401d-bb32-132838d0c8c7_ActionId">
    <vt:lpwstr>f6cdaa5b-f1ab-4bdf-bc7d-e10d226772a5</vt:lpwstr>
  </property>
  <property fmtid="{D5CDD505-2E9C-101B-9397-08002B2CF9AE}" pid="8" name="MSIP_Label_96e7cc6d-dbcf-401d-bb32-132838d0c8c7_ContentBits">
    <vt:lpwstr>2</vt:lpwstr>
  </property>
  <property fmtid="{D5CDD505-2E9C-101B-9397-08002B2CF9AE}" pid="9" name="MSIP_Label_96e7cc6d-dbcf-401d-bb32-132838d0c8c7_Tag">
    <vt:lpwstr>10, 0, 1, 1</vt:lpwstr>
  </property>
  <property fmtid="{D5CDD505-2E9C-101B-9397-08002B2CF9AE}" pid="10" name="Order">
    <vt:r8>185000</vt:r8>
  </property>
  <property fmtid="{D5CDD505-2E9C-101B-9397-08002B2CF9AE}" pid="11" name="MSIP_Label_bbee0ac0-f13e-468c-9ba8-7c112f3e5d4e_ContentBits">
    <vt:lpwstr>2</vt:lpwstr>
  </property>
  <property fmtid="{D5CDD505-2E9C-101B-9397-08002B2CF9AE}" pid="12" name="MSIP_Label_bbee0ac0-f13e-468c-9ba8-7c112f3e5d4e_SiteId">
    <vt:lpwstr>2a61d4c5-077b-4aba-8d42-5cd0ebd862ef</vt:lpwstr>
  </property>
  <property fmtid="{D5CDD505-2E9C-101B-9397-08002B2CF9AE}" pid="13" name="MSIP_Label_bbee0ac0-f13e-468c-9ba8-7c112f3e5d4e_Method">
    <vt:lpwstr>Privileged</vt:lpwstr>
  </property>
  <property fmtid="{D5CDD505-2E9C-101B-9397-08002B2CF9AE}" pid="14" name="MSIP_Label_bbee0ac0-f13e-468c-9ba8-7c112f3e5d4e_ActionId">
    <vt:lpwstr>e466d893-1312-45b7-855b-54cb1525ba4e</vt:lpwstr>
  </property>
  <property fmtid="{D5CDD505-2E9C-101B-9397-08002B2CF9AE}" pid="15" name="MediaServiceImageTags">
    <vt:lpwstr/>
  </property>
  <property fmtid="{D5CDD505-2E9C-101B-9397-08002B2CF9AE}" pid="16" name="xd_ProgID">
    <vt:lpwstr/>
  </property>
  <property fmtid="{D5CDD505-2E9C-101B-9397-08002B2CF9AE}" pid="17" name="ContentTypeId">
    <vt:lpwstr>0x010100C8F24BB75BCEF649A3A4EA2C8EA2DEE6</vt:lpwstr>
  </property>
  <property fmtid="{D5CDD505-2E9C-101B-9397-08002B2CF9AE}" pid="18" name="ComplianceAssetId">
    <vt:lpwstr/>
  </property>
  <property fmtid="{D5CDD505-2E9C-101B-9397-08002B2CF9AE}" pid="19" name="TemplateUrl">
    <vt:lpwstr/>
  </property>
  <property fmtid="{D5CDD505-2E9C-101B-9397-08002B2CF9AE}" pid="20" name="_ExtendedDescription">
    <vt:lpwstr/>
  </property>
  <property fmtid="{D5CDD505-2E9C-101B-9397-08002B2CF9AE}" pid="21" name="MSIP_Label_bbee0ac0-f13e-468c-9ba8-7c112f3e5d4e_Enabled">
    <vt:lpwstr>true</vt:lpwstr>
  </property>
  <property fmtid="{D5CDD505-2E9C-101B-9397-08002B2CF9AE}" pid="22" name="TriggerFlowInfo">
    <vt:lpwstr/>
  </property>
  <property fmtid="{D5CDD505-2E9C-101B-9397-08002B2CF9AE}" pid="23" name="MSIP_Label_bbee0ac0-f13e-468c-9ba8-7c112f3e5d4e_Name">
    <vt:lpwstr>Ringfenced - Official</vt:lpwstr>
  </property>
  <property fmtid="{D5CDD505-2E9C-101B-9397-08002B2CF9AE}" pid="24" name="MSIP_Label_bbee0ac0-f13e-468c-9ba8-7c112f3e5d4e_SetDate">
    <vt:lpwstr>2025-03-17T02:09:44Z</vt:lpwstr>
  </property>
  <property fmtid="{D5CDD505-2E9C-101B-9397-08002B2CF9AE}" pid="25" name="xd_Signature">
    <vt:bool>false</vt:bool>
  </property>
  <property fmtid="{D5CDD505-2E9C-101B-9397-08002B2CF9AE}" pid="26" name="MSIP_Label_bbee0ac0-f13e-468c-9ba8-7c112f3e5d4e_Tag">
    <vt:lpwstr>10, 0, 1, 1</vt:lpwstr>
  </property>
</Properties>
</file>